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4.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5.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6.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7.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8.xml" ContentType="application/vnd.openxmlformats-officedocument.drawing+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9.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0.xml" ContentType="application/vnd.openxmlformats-officedocument.drawing+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1.xml" ContentType="application/vnd.openxmlformats-officedocument.drawing+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2.xml" ContentType="application/vnd.openxmlformats-officedocument.drawing+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13.xml" ContentType="application/vnd.openxmlformats-officedocument.drawing+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14.xml" ContentType="application/vnd.openxmlformats-officedocument.drawing+xml"/>
  <Override PartName="/xl/drawings/drawing15.xml" ContentType="application/vnd.openxmlformats-officedocument.drawing+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16.xml" ContentType="application/vnd.openxmlformats-officedocument.drawing+xml"/>
  <Override PartName="/xl/drawings/drawing17.xml" ContentType="application/vnd.openxmlformats-officedocument.drawing+xml"/>
  <Override PartName="/xl/comments2.xml" ContentType="application/vnd.openxmlformats-officedocument.spreadsheetml.comments+xml"/>
  <Override PartName="/xl/threadedComments/threadedComment1.xml" ContentType="application/vnd.ms-excel.threadedcomments+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theme/themeOverride1.xml" ContentType="application/vnd.openxmlformats-officedocument.themeOverrid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theme/themeOverride2.xml" ContentType="application/vnd.openxmlformats-officedocument.themeOverrid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theme/themeOverride3.xml" ContentType="application/vnd.openxmlformats-officedocument.themeOverrid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theme/themeOverride4.xml" ContentType="application/vnd.openxmlformats-officedocument.themeOverrid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theme/themeOverride5.xml" ContentType="application/vnd.openxmlformats-officedocument.themeOverride+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theme/themeOverride6.xml" ContentType="application/vnd.openxmlformats-officedocument.themeOverrid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theme/themeOverride7.xml" ContentType="application/vnd.openxmlformats-officedocument.themeOverride+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theme/themeOverride8.xml" ContentType="application/vnd.openxmlformats-officedocument.themeOverride+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theme/themeOverride9.xml" ContentType="application/vnd.openxmlformats-officedocument.themeOverride+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theme/themeOverride10.xml" ContentType="application/vnd.openxmlformats-officedocument.themeOverride+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theme/themeOverride11.xml" ContentType="application/vnd.openxmlformats-officedocument.themeOverride+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theme/themeOverride12.xml" ContentType="application/vnd.openxmlformats-officedocument.themeOverride+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theme/themeOverride13.xml" ContentType="application/vnd.openxmlformats-officedocument.themeOverride+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theme/themeOverride14.xml" ContentType="application/vnd.openxmlformats-officedocument.themeOverride+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theme/themeOverride15.xml" ContentType="application/vnd.openxmlformats-officedocument.themeOverride+xml"/>
  <Override PartName="/xl/drawings/drawing18.xml" ContentType="application/vnd.openxmlformats-officedocument.drawing+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drawings/drawing19.xml" ContentType="application/vnd.openxmlformats-officedocument.drawing+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drawings/drawing20.xml" ContentType="application/vnd.openxmlformats-officedocument.drawing+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drawings/drawing21.xml" ContentType="application/vnd.openxmlformats-officedocument.drawing+xml"/>
  <Override PartName="/xl/charts/chart44.xml" ContentType="application/vnd.openxmlformats-officedocument.drawingml.chart+xml"/>
  <Override PartName="/xl/charts/style44.xml" ContentType="application/vnd.ms-office.chartstyle+xml"/>
  <Override PartName="/xl/charts/colors44.xml" ContentType="application/vnd.ms-office.chartcolorstyle+xml"/>
  <Override PartName="/xl/drawings/drawing22.xml" ContentType="application/vnd.openxmlformats-officedocument.drawing+xml"/>
  <Override PartName="/xl/charts/chart45.xml" ContentType="application/vnd.openxmlformats-officedocument.drawingml.chart+xml"/>
  <Override PartName="/xl/charts/style45.xml" ContentType="application/vnd.ms-office.chartstyle+xml"/>
  <Override PartName="/xl/charts/colors45.xml" ContentType="application/vnd.ms-office.chartcolorstyle+xml"/>
  <Override PartName="/xl/drawings/drawing23.xml" ContentType="application/vnd.openxmlformats-officedocument.drawing+xml"/>
  <Override PartName="/xl/charts/chart46.xml" ContentType="application/vnd.openxmlformats-officedocument.drawingml.chart+xml"/>
  <Override PartName="/xl/charts/style46.xml" ContentType="application/vnd.ms-office.chartstyle+xml"/>
  <Override PartName="/xl/charts/colors46.xml" ContentType="application/vnd.ms-office.chartcolorstyle+xml"/>
  <Override PartName="/xl/drawings/drawing24.xml" ContentType="application/vnd.openxmlformats-officedocument.drawing+xml"/>
  <Override PartName="/xl/charts/chart47.xml" ContentType="application/vnd.openxmlformats-officedocument.drawingml.chart+xml"/>
  <Override PartName="/xl/charts/style47.xml" ContentType="application/vnd.ms-office.chartstyle+xml"/>
  <Override PartName="/xl/charts/colors47.xml" ContentType="application/vnd.ms-office.chartcolorstyle+xml"/>
  <Override PartName="/xl/drawings/drawing25.xml" ContentType="application/vnd.openxmlformats-officedocument.drawing+xml"/>
  <Override PartName="/xl/charts/chart48.xml" ContentType="application/vnd.openxmlformats-officedocument.drawingml.chart+xml"/>
  <Override PartName="/xl/charts/style48.xml" ContentType="application/vnd.ms-office.chartstyle+xml"/>
  <Override PartName="/xl/charts/colors48.xml" ContentType="application/vnd.ms-office.chartcolorstyle+xml"/>
  <Override PartName="/xl/drawings/drawing26.xml" ContentType="application/vnd.openxmlformats-officedocument.drawing+xml"/>
  <Override PartName="/xl/charts/chart49.xml" ContentType="application/vnd.openxmlformats-officedocument.drawingml.chart+xml"/>
  <Override PartName="/xl/charts/style49.xml" ContentType="application/vnd.ms-office.chartstyle+xml"/>
  <Override PartName="/xl/charts/colors49.xml" ContentType="application/vnd.ms-office.chartcolorstyle+xml"/>
  <Override PartName="/xl/drawings/drawing27.xml" ContentType="application/vnd.openxmlformats-officedocument.drawing+xml"/>
  <Override PartName="/xl/charts/chart50.xml" ContentType="application/vnd.openxmlformats-officedocument.drawingml.chart+xml"/>
  <Override PartName="/xl/charts/style50.xml" ContentType="application/vnd.ms-office.chartstyle+xml"/>
  <Override PartName="/xl/charts/colors50.xml" ContentType="application/vnd.ms-office.chartcolorstyle+xml"/>
  <Override PartName="/xl/drawings/drawing28.xml" ContentType="application/vnd.openxmlformats-officedocument.drawing+xml"/>
  <Override PartName="/xl/charts/chart51.xml" ContentType="application/vnd.openxmlformats-officedocument.drawingml.chart+xml"/>
  <Override PartName="/xl/charts/style51.xml" ContentType="application/vnd.ms-office.chartstyle+xml"/>
  <Override PartName="/xl/charts/colors51.xml" ContentType="application/vnd.ms-office.chartcolorstyle+xml"/>
  <Override PartName="/xl/drawings/drawing29.xml" ContentType="application/vnd.openxmlformats-officedocument.drawing+xml"/>
  <Override PartName="/xl/charts/chart52.xml" ContentType="application/vnd.openxmlformats-officedocument.drawingml.chart+xml"/>
  <Override PartName="/xl/charts/style52.xml" ContentType="application/vnd.ms-office.chartstyle+xml"/>
  <Override PartName="/xl/charts/colors52.xml" ContentType="application/vnd.ms-office.chartcolorstyle+xml"/>
  <Override PartName="/xl/drawings/drawing30.xml" ContentType="application/vnd.openxmlformats-officedocument.drawing+xml"/>
  <Override PartName="/xl/charts/chart53.xml" ContentType="application/vnd.openxmlformats-officedocument.drawingml.chart+xml"/>
  <Override PartName="/xl/charts/style53.xml" ContentType="application/vnd.ms-office.chartstyle+xml"/>
  <Override PartName="/xl/charts/colors53.xml" ContentType="application/vnd.ms-office.chartcolorstyle+xml"/>
  <Override PartName="/xl/drawings/drawing31.xml" ContentType="application/vnd.openxmlformats-officedocument.drawing+xml"/>
  <Override PartName="/xl/charts/chart54.xml" ContentType="application/vnd.openxmlformats-officedocument.drawingml.chart+xml"/>
  <Override PartName="/xl/charts/style54.xml" ContentType="application/vnd.ms-office.chartstyle+xml"/>
  <Override PartName="/xl/charts/colors54.xml" ContentType="application/vnd.ms-office.chartcolorstyle+xml"/>
  <Override PartName="/xl/drawings/drawing32.xml" ContentType="application/vnd.openxmlformats-officedocument.drawing+xml"/>
  <Override PartName="/xl/charts/chart55.xml" ContentType="application/vnd.openxmlformats-officedocument.drawingml.chart+xml"/>
  <Override PartName="/xl/charts/style55.xml" ContentType="application/vnd.ms-office.chartstyle+xml"/>
  <Override PartName="/xl/charts/colors55.xml" ContentType="application/vnd.ms-office.chartcolorstyle+xml"/>
  <Override PartName="/xl/drawings/drawing33.xml" ContentType="application/vnd.openxmlformats-officedocument.drawing+xml"/>
  <Override PartName="/xl/charts/chart56.xml" ContentType="application/vnd.openxmlformats-officedocument.drawingml.chart+xml"/>
  <Override PartName="/xl/charts/style56.xml" ContentType="application/vnd.ms-office.chartstyle+xml"/>
  <Override PartName="/xl/charts/colors56.xml" ContentType="application/vnd.ms-office.chartcolorstyle+xml"/>
  <Override PartName="/xl/drawings/drawing34.xml" ContentType="application/vnd.openxmlformats-officedocument.drawing+xml"/>
  <Override PartName="/xl/charts/chart57.xml" ContentType="application/vnd.openxmlformats-officedocument.drawingml.chart+xml"/>
  <Override PartName="/xl/charts/style57.xml" ContentType="application/vnd.ms-office.chartstyle+xml"/>
  <Override PartName="/xl/charts/colors57.xml" ContentType="application/vnd.ms-office.chartcolorstyle+xml"/>
  <Override PartName="/xl/drawings/drawing35.xml" ContentType="application/vnd.openxmlformats-officedocument.drawing+xml"/>
  <Override PartName="/xl/comments3.xml" ContentType="application/vnd.openxmlformats-officedocument.spreadsheetml.comments+xml"/>
  <Override PartName="/xl/charts/chart58.xml" ContentType="application/vnd.openxmlformats-officedocument.drawingml.chart+xml"/>
  <Override PartName="/xl/charts/style58.xml" ContentType="application/vnd.ms-office.chartstyle+xml"/>
  <Override PartName="/xl/charts/colors58.xml" ContentType="application/vnd.ms-office.chartcolorstyle+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charts/chart59.xml" ContentType="application/vnd.openxmlformats-officedocument.drawingml.chart+xml"/>
  <Override PartName="/xl/charts/style59.xml" ContentType="application/vnd.ms-office.chartstyle+xml"/>
  <Override PartName="/xl/charts/colors59.xml" ContentType="application/vnd.ms-office.chartcolorstyle+xml"/>
  <Override PartName="/xl/charts/chart60.xml" ContentType="application/vnd.openxmlformats-officedocument.drawingml.chart+xml"/>
  <Override PartName="/xl/charts/style60.xml" ContentType="application/vnd.ms-office.chartstyle+xml"/>
  <Override PartName="/xl/charts/colors60.xml" ContentType="application/vnd.ms-office.chartcolorstyle+xml"/>
  <Override PartName="/xl/charts/chart61.xml" ContentType="application/vnd.openxmlformats-officedocument.drawingml.chart+xml"/>
  <Override PartName="/xl/charts/style61.xml" ContentType="application/vnd.ms-office.chartstyle+xml"/>
  <Override PartName="/xl/charts/colors61.xml" ContentType="application/vnd.ms-office.chartcolorstyle+xml"/>
  <Override PartName="/xl/charts/chart62.xml" ContentType="application/vnd.openxmlformats-officedocument.drawingml.chart+xml"/>
  <Override PartName="/xl/charts/style62.xml" ContentType="application/vnd.ms-office.chartstyle+xml"/>
  <Override PartName="/xl/charts/colors62.xml" ContentType="application/vnd.ms-office.chartcolorstyle+xml"/>
  <Override PartName="/xl/charts/chart63.xml" ContentType="application/vnd.openxmlformats-officedocument.drawingml.chart+xml"/>
  <Override PartName="/xl/charts/style63.xml" ContentType="application/vnd.ms-office.chartstyle+xml"/>
  <Override PartName="/xl/charts/colors63.xml" ContentType="application/vnd.ms-office.chartcolorstyle+xml"/>
  <Override PartName="/xl/charts/chart64.xml" ContentType="application/vnd.openxmlformats-officedocument.drawingml.chart+xml"/>
  <Override PartName="/xl/charts/style64.xml" ContentType="application/vnd.ms-office.chartstyle+xml"/>
  <Override PartName="/xl/charts/colors64.xml" ContentType="application/vnd.ms-office.chartcolorstyle+xml"/>
  <Override PartName="/xl/charts/chart65.xml" ContentType="application/vnd.openxmlformats-officedocument.drawingml.chart+xml"/>
  <Override PartName="/xl/charts/style65.xml" ContentType="application/vnd.ms-office.chartstyle+xml"/>
  <Override PartName="/xl/charts/colors65.xml" ContentType="application/vnd.ms-office.chartcolorstyle+xml"/>
  <Override PartName="/xl/charts/chart66.xml" ContentType="application/vnd.openxmlformats-officedocument.drawingml.chart+xml"/>
  <Override PartName="/xl/charts/style66.xml" ContentType="application/vnd.ms-office.chartstyle+xml"/>
  <Override PartName="/xl/charts/colors66.xml" ContentType="application/vnd.ms-office.chartcolorstyle+xml"/>
  <Override PartName="/xl/charts/chart67.xml" ContentType="application/vnd.openxmlformats-officedocument.drawingml.chart+xml"/>
  <Override PartName="/xl/charts/style67.xml" ContentType="application/vnd.ms-office.chartstyle+xml"/>
  <Override PartName="/xl/charts/colors67.xml" ContentType="application/vnd.ms-office.chartcolorstyle+xml"/>
  <Override PartName="/xl/charts/chart68.xml" ContentType="application/vnd.openxmlformats-officedocument.drawingml.chart+xml"/>
  <Override PartName="/xl/charts/style68.xml" ContentType="application/vnd.ms-office.chartstyle+xml"/>
  <Override PartName="/xl/charts/colors68.xml" ContentType="application/vnd.ms-office.chartcolorstyle+xml"/>
  <Override PartName="/xl/charts/chart69.xml" ContentType="application/vnd.openxmlformats-officedocument.drawingml.chart+xml"/>
  <Override PartName="/xl/charts/style69.xml" ContentType="application/vnd.ms-office.chartstyle+xml"/>
  <Override PartName="/xl/charts/colors69.xml" ContentType="application/vnd.ms-office.chartcolorstyle+xml"/>
  <Override PartName="/xl/charts/chart70.xml" ContentType="application/vnd.openxmlformats-officedocument.drawingml.chart+xml"/>
  <Override PartName="/xl/charts/style70.xml" ContentType="application/vnd.ms-office.chartstyle+xml"/>
  <Override PartName="/xl/charts/colors70.xml" ContentType="application/vnd.ms-office.chartcolorstyle+xml"/>
  <Override PartName="/xl/charts/chart71.xml" ContentType="application/vnd.openxmlformats-officedocument.drawingml.chart+xml"/>
  <Override PartName="/xl/charts/style71.xml" ContentType="application/vnd.ms-office.chartstyle+xml"/>
  <Override PartName="/xl/charts/colors71.xml" ContentType="application/vnd.ms-office.chartcolorstyle+xml"/>
  <Override PartName="/xl/charts/chart72.xml" ContentType="application/vnd.openxmlformats-officedocument.drawingml.chart+xml"/>
  <Override PartName="/xl/charts/style72.xml" ContentType="application/vnd.ms-office.chartstyle+xml"/>
  <Override PartName="/xl/charts/colors72.xml" ContentType="application/vnd.ms-office.chartcolorstyle+xml"/>
  <Override PartName="/xl/charts/chart73.xml" ContentType="application/vnd.openxmlformats-officedocument.drawingml.chart+xml"/>
  <Override PartName="/xl/charts/style73.xml" ContentType="application/vnd.ms-office.chartstyle+xml"/>
  <Override PartName="/xl/charts/colors73.xml" ContentType="application/vnd.ms-office.chartcolorstyle+xml"/>
  <Override PartName="/xl/charts/chart74.xml" ContentType="application/vnd.openxmlformats-officedocument.drawingml.chart+xml"/>
  <Override PartName="/xl/charts/style74.xml" ContentType="application/vnd.ms-office.chartstyle+xml"/>
  <Override PartName="/xl/charts/colors74.xml" ContentType="application/vnd.ms-office.chartcolorstyle+xml"/>
  <Override PartName="/xl/charts/chart75.xml" ContentType="application/vnd.openxmlformats-officedocument.drawingml.chart+xml"/>
  <Override PartName="/xl/charts/style75.xml" ContentType="application/vnd.ms-office.chartstyle+xml"/>
  <Override PartName="/xl/charts/colors75.xml" ContentType="application/vnd.ms-office.chartcolorstyle+xml"/>
  <Override PartName="/xl/charts/chart76.xml" ContentType="application/vnd.openxmlformats-officedocument.drawingml.chart+xml"/>
  <Override PartName="/xl/charts/style76.xml" ContentType="application/vnd.ms-office.chartstyle+xml"/>
  <Override PartName="/xl/charts/colors76.xml" ContentType="application/vnd.ms-office.chartcolorstyle+xml"/>
  <Override PartName="/xl/charts/chart77.xml" ContentType="application/vnd.openxmlformats-officedocument.drawingml.chart+xml"/>
  <Override PartName="/xl/charts/style77.xml" ContentType="application/vnd.ms-office.chartstyle+xml"/>
  <Override PartName="/xl/charts/colors77.xml" ContentType="application/vnd.ms-office.chartcolorstyle+xml"/>
  <Override PartName="/xl/charts/chart78.xml" ContentType="application/vnd.openxmlformats-officedocument.drawingml.chart+xml"/>
  <Override PartName="/xl/charts/style78.xml" ContentType="application/vnd.ms-office.chartstyle+xml"/>
  <Override PartName="/xl/charts/colors78.xml" ContentType="application/vnd.ms-office.chartcolorstyle+xml"/>
  <Override PartName="/xl/drawings/drawing39.xml" ContentType="application/vnd.openxmlformats-officedocument.drawing+xml"/>
  <Override PartName="/xl/charts/chart79.xml" ContentType="application/vnd.openxmlformats-officedocument.drawingml.chart+xml"/>
  <Override PartName="/xl/charts/style79.xml" ContentType="application/vnd.ms-office.chartstyle+xml"/>
  <Override PartName="/xl/charts/colors79.xml" ContentType="application/vnd.ms-office.chartcolorstyle+xml"/>
  <Override PartName="/xl/drawings/drawing40.xml" ContentType="application/vnd.openxmlformats-officedocument.drawing+xml"/>
  <Override PartName="/xl/drawings/drawing41.xml" ContentType="application/vnd.openxmlformats-officedocument.drawing+xml"/>
  <Override PartName="/xl/charts/chart80.xml" ContentType="application/vnd.openxmlformats-officedocument.drawingml.chart+xml"/>
  <Override PartName="/xl/charts/style80.xml" ContentType="application/vnd.ms-office.chartstyle+xml"/>
  <Override PartName="/xl/charts/colors80.xml" ContentType="application/vnd.ms-office.chartcolorstyle+xml"/>
  <Override PartName="/xl/drawings/drawing42.xml" ContentType="application/vnd.openxmlformats-officedocument.drawing+xml"/>
  <Override PartName="/xl/drawings/drawing43.xml" ContentType="application/vnd.openxmlformats-officedocument.drawing+xml"/>
  <Override PartName="/xl/charts/chart81.xml" ContentType="application/vnd.openxmlformats-officedocument.drawingml.chart+xml"/>
  <Override PartName="/xl/charts/style81.xml" ContentType="application/vnd.ms-office.chartstyle+xml"/>
  <Override PartName="/xl/charts/colors81.xml" ContentType="application/vnd.ms-office.chartcolorstyle+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929"/>
  <workbookPr showInkAnnotation="0" codeName="ThisWorkbook"/>
  <mc:AlternateContent xmlns:mc="http://schemas.openxmlformats.org/markup-compatibility/2006">
    <mc:Choice Requires="x15">
      <x15ac:absPath xmlns:x15ac="http://schemas.microsoft.com/office/spreadsheetml/2010/11/ac" url="C:\Users\PERSONAL\Desktop\Laura\Enero-Junio\Documentos\Publicación de documentos\RT03\"/>
    </mc:Choice>
  </mc:AlternateContent>
  <xr:revisionPtr revIDLastSave="0" documentId="13_ncr:1_{FF4401B3-9B60-4682-A10D-4F223D5D8060}" xr6:coauthVersionLast="46" xr6:coauthVersionMax="46" xr10:uidLastSave="{00000000-0000-0000-0000-000000000000}"/>
  <workbookProtection workbookPassword="E9FB" lockStructure="1"/>
  <bookViews>
    <workbookView xWindow="-120" yWindow="-120" windowWidth="20730" windowHeight="11160" tabRatio="559" firstSheet="46" activeTab="46" xr2:uid="{00000000-000D-0000-FFFF-FFFF00000000}"/>
  </bookViews>
  <sheets>
    <sheet name="RT03-F13 (mg)% " sheetId="256" state="hidden" r:id="rId1"/>
    <sheet name="1 mg % " sheetId="240" state="hidden" r:id="rId2"/>
    <sheet name="2 mg %" sheetId="241" state="hidden" r:id="rId3"/>
    <sheet name="2 mg + % " sheetId="242" state="hidden" r:id="rId4"/>
    <sheet name="5 mg % " sheetId="243" state="hidden" r:id="rId5"/>
    <sheet name="10 mg % " sheetId="244" state="hidden" r:id="rId6"/>
    <sheet name="20 mg % " sheetId="245" state="hidden" r:id="rId7"/>
    <sheet name="20 mg + % " sheetId="246" state="hidden" r:id="rId8"/>
    <sheet name="50 mg % " sheetId="247" state="hidden" r:id="rId9"/>
    <sheet name="100 mg % " sheetId="248" state="hidden" r:id="rId10"/>
    <sheet name="200 mg % " sheetId="249" state="hidden" r:id="rId11"/>
    <sheet name="200 mg + %" sheetId="251" state="hidden" r:id="rId12"/>
    <sheet name="500 mg % " sheetId="252" state="hidden" r:id="rId13"/>
    <sheet name="mili Max-Min % " sheetId="257" state="hidden" r:id="rId14"/>
    <sheet name="mili Pc % " sheetId="255" state="hidden" r:id="rId15"/>
    <sheet name="Cert juego miligramo" sheetId="254" state="hidden" r:id="rId16"/>
    <sheet name="DATOS %" sheetId="132" state="hidden" r:id="rId17"/>
    <sheet name="1 g %" sheetId="202" state="hidden" r:id="rId18"/>
    <sheet name="2 g %" sheetId="204" state="hidden" r:id="rId19"/>
    <sheet name="2 g + %" sheetId="205" state="hidden" r:id="rId20"/>
    <sheet name="5 g %" sheetId="206" state="hidden" r:id="rId21"/>
    <sheet name="10 g %" sheetId="207" state="hidden" r:id="rId22"/>
    <sheet name="20 g %" sheetId="208" state="hidden" r:id="rId23"/>
    <sheet name="20 g + %" sheetId="221" state="hidden" r:id="rId24"/>
    <sheet name="50 g %" sheetId="211" state="hidden" r:id="rId25"/>
    <sheet name="100 g %" sheetId="212" state="hidden" r:id="rId26"/>
    <sheet name="200 g %" sheetId="213" state="hidden" r:id="rId27"/>
    <sheet name="200 g + %" sheetId="214" state="hidden" r:id="rId28"/>
    <sheet name="500 g %" sheetId="215" state="hidden" r:id="rId29"/>
    <sheet name="1 kg %" sheetId="216" state="hidden" r:id="rId30"/>
    <sheet name="2 kg %" sheetId="217" state="hidden" r:id="rId31"/>
    <sheet name="2 kg + %" sheetId="218" state="hidden" r:id="rId32"/>
    <sheet name="5 kg %" sheetId="219" state="hidden" r:id="rId33"/>
    <sheet name="10 kg %" sheetId="220" state="hidden" r:id="rId34"/>
    <sheet name="RT03-F13 (g) %" sheetId="201" state="hidden" r:id="rId35"/>
    <sheet name="gramo Max-Min %" sheetId="231" state="hidden" r:id="rId36"/>
    <sheet name="Cert Juego gramo %" sheetId="137" state="hidden" r:id="rId37"/>
    <sheet name="gramo Pc %" sheetId="233" state="hidden" r:id="rId38"/>
    <sheet name="5 kg % (C)" sheetId="222" state="hidden" r:id="rId39"/>
    <sheet name=" Certi 5 kg (C) &amp;" sheetId="234" state="hidden" r:id="rId40"/>
    <sheet name="10 kg % (C)" sheetId="223" state="hidden" r:id="rId41"/>
    <sheet name="Certi 10 kg &amp; (C)" sheetId="235" state="hidden" r:id="rId42"/>
    <sheet name="20 kg % (C)" sheetId="224" state="hidden" r:id="rId43"/>
    <sheet name="Certi 20 kg &amp; (C)" sheetId="236" state="hidden" r:id="rId44"/>
    <sheet name="RT03-F40 miligramo " sheetId="262" state="hidden" r:id="rId45"/>
    <sheet name="RT03-F40 gramo" sheetId="259" state="hidden" r:id="rId46"/>
    <sheet name="RT03-F19" sheetId="261" r:id="rId47"/>
  </sheets>
  <externalReferences>
    <externalReference r:id="rId48"/>
    <externalReference r:id="rId49"/>
  </externalReferences>
  <definedNames>
    <definedName name="_xlnm.Print_Area" localSheetId="39">' Certi 5 kg (C) &amp;'!$A$1:$M$94</definedName>
    <definedName name="_xlnm.Print_Area" localSheetId="17">'1 g %'!$A$1:$M$79</definedName>
    <definedName name="_xlnm.Print_Area" localSheetId="29">'1 kg %'!$A$1:$M$79</definedName>
    <definedName name="_xlnm.Print_Area" localSheetId="1">'1 mg % '!$A$1:$M$79</definedName>
    <definedName name="_xlnm.Print_Area" localSheetId="21">'10 g %'!$A$1:$M$79</definedName>
    <definedName name="_xlnm.Print_Area" localSheetId="33">'10 kg %'!$A$1:$M$79</definedName>
    <definedName name="_xlnm.Print_Area" localSheetId="40">'10 kg % (C)'!$A$1:$M$79</definedName>
    <definedName name="_xlnm.Print_Area" localSheetId="5">'10 mg % '!$A$1:$M$79</definedName>
    <definedName name="_xlnm.Print_Area" localSheetId="25">'100 g %'!$A$1:$M$79</definedName>
    <definedName name="_xlnm.Print_Area" localSheetId="9">'100 mg % '!$A$1:$M$79</definedName>
    <definedName name="_xlnm.Print_Area" localSheetId="18">'2 g %'!$A$1:$M$81</definedName>
    <definedName name="_xlnm.Print_Area" localSheetId="19">'2 g + %'!$A$1:$M$81</definedName>
    <definedName name="_xlnm.Print_Area" localSheetId="30">'2 kg %'!$A$1:$M$79</definedName>
    <definedName name="_xlnm.Print_Area" localSheetId="31">'2 kg + %'!$A$1:$M$79</definedName>
    <definedName name="_xlnm.Print_Area" localSheetId="2">'2 mg %'!$A$1:$M$79</definedName>
    <definedName name="_xlnm.Print_Area" localSheetId="3">'2 mg + % '!$A$1:$M$79</definedName>
    <definedName name="_xlnm.Print_Area" localSheetId="22">'20 g %'!$A$1:$M$79</definedName>
    <definedName name="_xlnm.Print_Area" localSheetId="23">'20 g + %'!$A$1:$N$79</definedName>
    <definedName name="_xlnm.Print_Area" localSheetId="42">'20 kg % (C)'!$A$1:$M$79</definedName>
    <definedName name="_xlnm.Print_Area" localSheetId="6">'20 mg % '!$A$1:$M$79</definedName>
    <definedName name="_xlnm.Print_Area" localSheetId="7">'20 mg + % '!$A$1:$N$79</definedName>
    <definedName name="_xlnm.Print_Area" localSheetId="26">'200 g %'!$A$1:$M$79</definedName>
    <definedName name="_xlnm.Print_Area" localSheetId="27">'200 g + %'!$A$1:$M$79</definedName>
    <definedName name="_xlnm.Print_Area" localSheetId="10">'200 mg % '!$A$1:$M$79</definedName>
    <definedName name="_xlnm.Print_Area" localSheetId="11">'200 mg + %'!$A$1:$M$79</definedName>
    <definedName name="_xlnm.Print_Area" localSheetId="20">'5 g %'!$A$1:$M$81</definedName>
    <definedName name="_xlnm.Print_Area" localSheetId="32">'5 kg %'!$A$1:$M$79</definedName>
    <definedName name="_xlnm.Print_Area" localSheetId="38">'5 kg % (C)'!$A$1:$M$79</definedName>
    <definedName name="_xlnm.Print_Area" localSheetId="4">'5 mg % '!$A$1:$M$79</definedName>
    <definedName name="_xlnm.Print_Area" localSheetId="24">'50 g %'!$A$1:$M$79</definedName>
    <definedName name="_xlnm.Print_Area" localSheetId="8">'50 mg % '!$A$1:$M$79</definedName>
    <definedName name="_xlnm.Print_Area" localSheetId="28">'500 g %'!$A$1:$N$79</definedName>
    <definedName name="_xlnm.Print_Area" localSheetId="12">'500 mg % '!$A$1:$N$79</definedName>
    <definedName name="_xlnm.Print_Area" localSheetId="36">'Cert Juego gramo %'!$A$1:$M$115</definedName>
    <definedName name="_xlnm.Print_Area" localSheetId="15">'Cert juego miligramo'!$A$1:$M$106</definedName>
    <definedName name="_xlnm.Print_Area" localSheetId="41">'Certi 10 kg &amp; (C)'!$A$1:$M$94</definedName>
    <definedName name="_xlnm.Print_Area" localSheetId="43">'Certi 20 kg &amp; (C)'!$A$1:$M$94</definedName>
    <definedName name="_xlnm.Print_Area" localSheetId="16">'DATOS %'!$A$1:$AA$191</definedName>
    <definedName name="_xlnm.Print_Area" localSheetId="35">'gramo Max-Min %'!$A$1:$AC$45</definedName>
    <definedName name="_xlnm.Print_Area" localSheetId="37">'gramo Pc %'!$A$1:$X$59</definedName>
    <definedName name="_xlnm.Print_Area" localSheetId="13">'mili Max-Min % '!$A$1:$R$45</definedName>
    <definedName name="_xlnm.Print_Area" localSheetId="14">'mili Pc % '!$A$1:$X$42</definedName>
    <definedName name="_xlnm.Print_Area" localSheetId="34">'RT03-F13 (g) %'!$A$1:$N$79</definedName>
    <definedName name="_xlnm.Print_Area" localSheetId="0">'RT03-F13 (mg)% '!$A$1:$N$79</definedName>
    <definedName name="_xlnm.Print_Area" localSheetId="46">'RT03-F19'!$A$1:$L$69</definedName>
    <definedName name="_xlnm.Print_Area" localSheetId="45">'RT03-F40 gramo'!$A$1:$M$119</definedName>
    <definedName name="_xlnm.Print_Area" localSheetId="44">'RT03-F40 miligramo '!$A$1:$M$106</definedName>
    <definedName name="DELTAMAXI">'[1]PRUEBAS DE CALIBRACION'!$G$18</definedName>
    <definedName name="DIVISIÓNDEESCALA">[1]DATOS!$E$13</definedName>
    <definedName name="LEXCENTRICIDAD">'[1]PRUEBAS DE CALIBRACION'!$H$11</definedName>
    <definedName name="Print_Area" localSheetId="39">' Certi 5 kg (C) &amp;'!$A$1:$J$96</definedName>
    <definedName name="Print_Area" localSheetId="17">'1 g %'!$A$1:$K$106</definedName>
    <definedName name="Print_Area" localSheetId="29">'1 kg %'!$A$1:$K$105</definedName>
    <definedName name="Print_Area" localSheetId="1">'1 mg % '!$A$1:$K$106</definedName>
    <definedName name="Print_Area" localSheetId="21">'10 g %'!$A$1:$K$106</definedName>
    <definedName name="Print_Area" localSheetId="33">'10 kg %'!$A$1:$K$106</definedName>
    <definedName name="Print_Area" localSheetId="40">'10 kg % (C)'!$A$1:$K$105</definedName>
    <definedName name="Print_Area" localSheetId="5">'10 mg % '!$A$1:$K$106</definedName>
    <definedName name="Print_Area" localSheetId="25">'100 g %'!$A$1:$K$106</definedName>
    <definedName name="Print_Area" localSheetId="9">'100 mg % '!$A$1:$K$106</definedName>
    <definedName name="Print_Area" localSheetId="18">'2 g %'!$A$1:$K$106</definedName>
    <definedName name="Print_Area" localSheetId="19">'2 g + %'!$A$1:$K$106</definedName>
    <definedName name="Print_Area" localSheetId="30">'2 kg %'!$A$1:$K$106</definedName>
    <definedName name="Print_Area" localSheetId="31">'2 kg + %'!$A$1:$K$106</definedName>
    <definedName name="Print_Area" localSheetId="2">'2 mg %'!$A$1:$K$106</definedName>
    <definedName name="Print_Area" localSheetId="3">'2 mg + % '!$A$1:$K$106</definedName>
    <definedName name="Print_Area" localSheetId="22">'20 g %'!$A$1:$K$106</definedName>
    <definedName name="Print_Area" localSheetId="23">'20 g + %'!$A$1:$K$106</definedName>
    <definedName name="Print_Area" localSheetId="42">'20 kg % (C)'!$A$1:$K$105</definedName>
    <definedName name="Print_Area" localSheetId="6">'20 mg % '!$A$1:$K$106</definedName>
    <definedName name="Print_Area" localSheetId="7">'20 mg + % '!$A$1:$K$106</definedName>
    <definedName name="Print_Area" localSheetId="26">'200 g %'!$A$1:$K$106</definedName>
    <definedName name="Print_Area" localSheetId="27">'200 g + %'!$A$1:$K$106</definedName>
    <definedName name="Print_Area" localSheetId="10">'200 mg % '!$A$1:$K$106</definedName>
    <definedName name="Print_Area" localSheetId="11">'200 mg + %'!$A$1:$K$106</definedName>
    <definedName name="Print_Area" localSheetId="20">'5 g %'!$A$1:$K$106</definedName>
    <definedName name="Print_Area" localSheetId="32">'5 kg %'!$A$1:$K$106</definedName>
    <definedName name="Print_Area" localSheetId="38">'5 kg % (C)'!$A$1:$K$105</definedName>
    <definedName name="Print_Area" localSheetId="4">'5 mg % '!$A$1:$K$106</definedName>
    <definedName name="Print_Area" localSheetId="24">'50 g %'!$A$1:$K$106</definedName>
    <definedName name="Print_Area" localSheetId="8">'50 mg % '!$A$1:$K$106</definedName>
    <definedName name="Print_Area" localSheetId="28">'500 g %'!$A$1:$K$106</definedName>
    <definedName name="Print_Area" localSheetId="12">'500 mg % '!$A$1:$K$106</definedName>
    <definedName name="Print_Area" localSheetId="36">'Cert Juego gramo %'!$A$1:$J$117</definedName>
    <definedName name="Print_Area" localSheetId="15">'Cert juego miligramo'!$A$1:$J$108</definedName>
    <definedName name="Print_Area" localSheetId="41">'Certi 10 kg &amp; (C)'!$A$1:$J$96</definedName>
    <definedName name="Print_Area" localSheetId="43">'Certi 20 kg &amp; (C)'!$A$1:$J$96</definedName>
    <definedName name="Print_Area" localSheetId="16">'DATOS %'!$A$2:$AA$147</definedName>
    <definedName name="Print_Area" localSheetId="34">'RT03-F13 (g) %'!$A$1:$K$106</definedName>
    <definedName name="Print_Area" localSheetId="0">'RT03-F13 (mg)% '!$A$1:$K$105</definedName>
    <definedName name="Print_Area" localSheetId="46">'RT03-F19'!$A$1:$J$58</definedName>
    <definedName name="Print_Area" localSheetId="45">'RT03-F40 gramo'!$A$1:$J$121</definedName>
    <definedName name="Print_Area" localSheetId="44">'RT03-F40 miligramo '!$A$1:$J$108</definedName>
    <definedName name="Print_Titles" localSheetId="17">'1 g %'!$1:$1</definedName>
    <definedName name="Print_Titles" localSheetId="29">'1 kg %'!$1:$1</definedName>
    <definedName name="Print_Titles" localSheetId="1">'1 mg % '!$1:$1</definedName>
    <definedName name="Print_Titles" localSheetId="21">'10 g %'!$1:$1</definedName>
    <definedName name="Print_Titles" localSheetId="33">'10 kg %'!$1:$1</definedName>
    <definedName name="Print_Titles" localSheetId="40">'10 kg % (C)'!$1:$1</definedName>
    <definedName name="Print_Titles" localSheetId="5">'10 mg % '!$1:$1</definedName>
    <definedName name="Print_Titles" localSheetId="25">'100 g %'!$1:$1</definedName>
    <definedName name="Print_Titles" localSheetId="9">'100 mg % '!$1:$1</definedName>
    <definedName name="Print_Titles" localSheetId="18">'2 g %'!$1:$1</definedName>
    <definedName name="Print_Titles" localSheetId="19">'2 g + %'!$1:$1</definedName>
    <definedName name="Print_Titles" localSheetId="30">'2 kg %'!$1:$1</definedName>
    <definedName name="Print_Titles" localSheetId="31">'2 kg + %'!$1:$1</definedName>
    <definedName name="Print_Titles" localSheetId="2">'2 mg %'!$1:$1</definedName>
    <definedName name="Print_Titles" localSheetId="3">'2 mg + % '!$1:$1</definedName>
    <definedName name="Print_Titles" localSheetId="22">'20 g %'!$1:$1</definedName>
    <definedName name="Print_Titles" localSheetId="23">'20 g + %'!$1:$1</definedName>
    <definedName name="Print_Titles" localSheetId="42">'20 kg % (C)'!$1:$1</definedName>
    <definedName name="Print_Titles" localSheetId="6">'20 mg % '!$1:$1</definedName>
    <definedName name="Print_Titles" localSheetId="7">'20 mg + % '!$1:$1</definedName>
    <definedName name="Print_Titles" localSheetId="26">'200 g %'!$1:$1</definedName>
    <definedName name="Print_Titles" localSheetId="27">'200 g + %'!$1:$1</definedName>
    <definedName name="Print_Titles" localSheetId="10">'200 mg % '!$1:$1</definedName>
    <definedName name="Print_Titles" localSheetId="11">'200 mg + %'!$1:$1</definedName>
    <definedName name="Print_Titles" localSheetId="20">'5 g %'!$1:$1</definedName>
    <definedName name="Print_Titles" localSheetId="32">'5 kg %'!$1:$1</definedName>
    <definedName name="Print_Titles" localSheetId="38">'5 kg % (C)'!$1:$1</definedName>
    <definedName name="Print_Titles" localSheetId="4">'5 mg % '!$1:$1</definedName>
    <definedName name="Print_Titles" localSheetId="24">'50 g %'!$1:$1</definedName>
    <definedName name="Print_Titles" localSheetId="8">'50 mg % '!$1:$1</definedName>
    <definedName name="Print_Titles" localSheetId="28">'500 g %'!$1:$1</definedName>
    <definedName name="Print_Titles" localSheetId="12">'500 mg % '!$1:$1</definedName>
    <definedName name="Print_Titles" localSheetId="34">'RT03-F13 (g) %'!$1:$1</definedName>
    <definedName name="Print_Titles" localSheetId="0">'RT03-F13 (mg)% '!$1:$1</definedName>
    <definedName name="_xlnm.Print_Titles" localSheetId="17">'1 g %'!$1:$1</definedName>
    <definedName name="_xlnm.Print_Titles" localSheetId="29">'1 kg %'!$1:$1</definedName>
    <definedName name="_xlnm.Print_Titles" localSheetId="1">'1 mg % '!$1:$1</definedName>
    <definedName name="_xlnm.Print_Titles" localSheetId="21">'10 g %'!$1:$1</definedName>
    <definedName name="_xlnm.Print_Titles" localSheetId="33">'10 kg %'!$1:$1</definedName>
    <definedName name="_xlnm.Print_Titles" localSheetId="40">'10 kg % (C)'!$1:$1</definedName>
    <definedName name="_xlnm.Print_Titles" localSheetId="5">'10 mg % '!$1:$1</definedName>
    <definedName name="_xlnm.Print_Titles" localSheetId="25">'100 g %'!$1:$1</definedName>
    <definedName name="_xlnm.Print_Titles" localSheetId="9">'100 mg % '!$1:$1</definedName>
    <definedName name="_xlnm.Print_Titles" localSheetId="18">'2 g %'!$1:$1</definedName>
    <definedName name="_xlnm.Print_Titles" localSheetId="19">'2 g + %'!$1:$1</definedName>
    <definedName name="_xlnm.Print_Titles" localSheetId="30">'2 kg %'!$1:$1</definedName>
    <definedName name="_xlnm.Print_Titles" localSheetId="31">'2 kg + %'!$1:$1</definedName>
    <definedName name="_xlnm.Print_Titles" localSheetId="2">'2 mg %'!$1:$1</definedName>
    <definedName name="_xlnm.Print_Titles" localSheetId="3">'2 mg + % '!$1:$1</definedName>
    <definedName name="_xlnm.Print_Titles" localSheetId="22">'20 g %'!$1:$1</definedName>
    <definedName name="_xlnm.Print_Titles" localSheetId="23">'20 g + %'!$1:$1</definedName>
    <definedName name="_xlnm.Print_Titles" localSheetId="42">'20 kg % (C)'!$1:$1</definedName>
    <definedName name="_xlnm.Print_Titles" localSheetId="6">'20 mg % '!$1:$1</definedName>
    <definedName name="_xlnm.Print_Titles" localSheetId="7">'20 mg + % '!$1:$1</definedName>
    <definedName name="_xlnm.Print_Titles" localSheetId="26">'200 g %'!$1:$1</definedName>
    <definedName name="_xlnm.Print_Titles" localSheetId="27">'200 g + %'!$1:$1</definedName>
    <definedName name="_xlnm.Print_Titles" localSheetId="10">'200 mg % '!$1:$1</definedName>
    <definedName name="_xlnm.Print_Titles" localSheetId="11">'200 mg + %'!$1:$1</definedName>
    <definedName name="_xlnm.Print_Titles" localSheetId="20">'5 g %'!$1:$1</definedName>
    <definedName name="_xlnm.Print_Titles" localSheetId="32">'5 kg %'!$1:$1</definedName>
    <definedName name="_xlnm.Print_Titles" localSheetId="38">'5 kg % (C)'!$1:$1</definedName>
    <definedName name="_xlnm.Print_Titles" localSheetId="4">'5 mg % '!$1:$1</definedName>
    <definedName name="_xlnm.Print_Titles" localSheetId="24">'50 g %'!$1:$1</definedName>
    <definedName name="_xlnm.Print_Titles" localSheetId="8">'50 mg % '!$1:$1</definedName>
    <definedName name="_xlnm.Print_Titles" localSheetId="28">'500 g %'!$1:$1</definedName>
    <definedName name="_xlnm.Print_Titles" localSheetId="12">'500 mg % '!$1:$1</definedName>
    <definedName name="_xlnm.Print_Titles" localSheetId="34">'RT03-F13 (g) %'!$1:$1</definedName>
    <definedName name="_xlnm.Print_Titles" localSheetId="0">'RT03-F13 (mg)% '!$1:$1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101" i="262" l="1"/>
  <c r="B101" i="262"/>
  <c r="I100" i="262"/>
  <c r="B100" i="262"/>
  <c r="F70" i="262"/>
  <c r="E70" i="262"/>
  <c r="C70" i="262"/>
  <c r="B70" i="262"/>
  <c r="F69" i="262"/>
  <c r="E69" i="262"/>
  <c r="C69" i="262"/>
  <c r="B69" i="262"/>
  <c r="F68" i="262"/>
  <c r="E68" i="262"/>
  <c r="C68" i="262"/>
  <c r="B68" i="262"/>
  <c r="F67" i="262"/>
  <c r="E67" i="262"/>
  <c r="C67" i="262"/>
  <c r="B67" i="262"/>
  <c r="F66" i="262"/>
  <c r="E66" i="262"/>
  <c r="C66" i="262"/>
  <c r="B66" i="262"/>
  <c r="F65" i="262"/>
  <c r="E65" i="262"/>
  <c r="C65" i="262"/>
  <c r="B65" i="262"/>
  <c r="F64" i="262"/>
  <c r="E64" i="262"/>
  <c r="C64" i="262"/>
  <c r="B64" i="262"/>
  <c r="F63" i="262"/>
  <c r="E63" i="262"/>
  <c r="C63" i="262"/>
  <c r="B63" i="262"/>
  <c r="F62" i="262"/>
  <c r="E62" i="262"/>
  <c r="C62" i="262"/>
  <c r="B62" i="262"/>
  <c r="F61" i="262"/>
  <c r="E61" i="262"/>
  <c r="C61" i="262"/>
  <c r="B61" i="262"/>
  <c r="F60" i="262"/>
  <c r="E60" i="262"/>
  <c r="C60" i="262"/>
  <c r="B60" i="262"/>
  <c r="F59" i="262"/>
  <c r="E59" i="262"/>
  <c r="C59" i="262"/>
  <c r="B59" i="262"/>
  <c r="J45" i="262"/>
  <c r="H45" i="262"/>
  <c r="G45" i="262"/>
  <c r="F45" i="262"/>
  <c r="E45" i="262"/>
  <c r="J37" i="262"/>
  <c r="H37" i="262"/>
  <c r="F37" i="262"/>
  <c r="B37" i="262"/>
  <c r="E24" i="262"/>
  <c r="A22" i="262"/>
  <c r="D17" i="262"/>
  <c r="D16" i="262"/>
  <c r="D15" i="262"/>
  <c r="D10" i="262"/>
  <c r="D8" i="262"/>
  <c r="D7" i="262"/>
  <c r="D6" i="262"/>
  <c r="L3" i="262"/>
  <c r="L79" i="262" s="1"/>
  <c r="L54" i="262" l="1"/>
  <c r="L32" i="262"/>
  <c r="B4" i="241"/>
  <c r="C68" i="204" l="1"/>
  <c r="C68" i="205"/>
  <c r="C68" i="206"/>
  <c r="C68" i="207"/>
  <c r="C68" i="208"/>
  <c r="C68" i="221"/>
  <c r="C68" i="211"/>
  <c r="C68" i="212"/>
  <c r="C68" i="202"/>
  <c r="C68" i="241"/>
  <c r="C68" i="242"/>
  <c r="C68" i="243"/>
  <c r="C68" i="244"/>
  <c r="C68" i="245"/>
  <c r="C68" i="246"/>
  <c r="C68" i="247"/>
  <c r="C68" i="248"/>
  <c r="C68" i="249"/>
  <c r="C68" i="251"/>
  <c r="C68" i="252"/>
  <c r="C68" i="240"/>
  <c r="C68" i="256"/>
  <c r="C20" i="132" l="1"/>
  <c r="C68" i="213" l="1"/>
  <c r="C68" i="214"/>
  <c r="C68" i="215"/>
  <c r="C68" i="216"/>
  <c r="C68" i="217"/>
  <c r="C68" i="218"/>
  <c r="C68" i="219"/>
  <c r="C68" i="220"/>
  <c r="C68" i="201"/>
  <c r="C68" i="222"/>
  <c r="C68" i="223"/>
  <c r="C68" i="224"/>
  <c r="C10" i="201" l="1"/>
  <c r="H50" i="132"/>
  <c r="I50" i="132"/>
  <c r="H51" i="132"/>
  <c r="I51" i="132"/>
  <c r="H52" i="132"/>
  <c r="I52" i="132"/>
  <c r="H53" i="132"/>
  <c r="I53" i="132"/>
  <c r="H54" i="132"/>
  <c r="I54" i="132"/>
  <c r="H55" i="132"/>
  <c r="I55" i="132"/>
  <c r="H56" i="132"/>
  <c r="I56" i="132"/>
  <c r="H57" i="132"/>
  <c r="I57" i="132"/>
  <c r="H58" i="132"/>
  <c r="I58" i="132"/>
  <c r="H59" i="132"/>
  <c r="I59" i="132"/>
  <c r="C50" i="132"/>
  <c r="D50" i="132"/>
  <c r="E50" i="132"/>
  <c r="C51" i="132"/>
  <c r="D51" i="132"/>
  <c r="E51" i="132"/>
  <c r="C52" i="132"/>
  <c r="D52" i="132"/>
  <c r="E52" i="132"/>
  <c r="C53" i="132"/>
  <c r="D53" i="132"/>
  <c r="E53" i="132"/>
  <c r="C54" i="132"/>
  <c r="D54" i="132"/>
  <c r="E54" i="132"/>
  <c r="C55" i="132"/>
  <c r="D55" i="132"/>
  <c r="E55" i="132"/>
  <c r="C56" i="132"/>
  <c r="D56" i="132"/>
  <c r="E56" i="132"/>
  <c r="C57" i="132"/>
  <c r="D57" i="132"/>
  <c r="E57" i="132"/>
  <c r="C58" i="132"/>
  <c r="D58" i="132"/>
  <c r="E58" i="132"/>
  <c r="C59" i="132"/>
  <c r="D59" i="132"/>
  <c r="E59" i="132"/>
  <c r="I49" i="132"/>
  <c r="H49" i="132"/>
  <c r="E49" i="132"/>
  <c r="D49" i="132"/>
  <c r="C49" i="132"/>
  <c r="I63" i="261"/>
  <c r="B63" i="261"/>
  <c r="I62" i="261"/>
  <c r="B62" i="261"/>
  <c r="E21" i="261"/>
  <c r="D17" i="261"/>
  <c r="D16" i="261"/>
  <c r="D15" i="261"/>
  <c r="D10" i="261"/>
  <c r="D8" i="261"/>
  <c r="D7" i="261"/>
  <c r="D6" i="261"/>
  <c r="K3" i="261"/>
  <c r="K38" i="261" s="1"/>
  <c r="I114" i="259" l="1"/>
  <c r="B114" i="259"/>
  <c r="I113" i="259"/>
  <c r="B113" i="259"/>
  <c r="F82" i="259"/>
  <c r="E82" i="259"/>
  <c r="C82" i="259"/>
  <c r="F81" i="259"/>
  <c r="E81" i="259"/>
  <c r="C81" i="259"/>
  <c r="F80" i="259"/>
  <c r="E80" i="259"/>
  <c r="C80" i="259"/>
  <c r="F79" i="259"/>
  <c r="E79" i="259"/>
  <c r="C79" i="259"/>
  <c r="F78" i="259"/>
  <c r="E78" i="259"/>
  <c r="C78" i="259"/>
  <c r="F77" i="259"/>
  <c r="E77" i="259"/>
  <c r="C77" i="259"/>
  <c r="F76" i="259"/>
  <c r="E76" i="259"/>
  <c r="C76" i="259"/>
  <c r="F75" i="259"/>
  <c r="E75" i="259"/>
  <c r="C75" i="259"/>
  <c r="F74" i="259"/>
  <c r="E74" i="259"/>
  <c r="C74" i="259"/>
  <c r="F73" i="259"/>
  <c r="E73" i="259"/>
  <c r="C73" i="259"/>
  <c r="F72" i="259"/>
  <c r="E72" i="259"/>
  <c r="C72" i="259"/>
  <c r="F71" i="259"/>
  <c r="E71" i="259"/>
  <c r="C71" i="259"/>
  <c r="F70" i="259"/>
  <c r="E70" i="259"/>
  <c r="C70" i="259"/>
  <c r="F69" i="259"/>
  <c r="E69" i="259"/>
  <c r="C69" i="259"/>
  <c r="F68" i="259"/>
  <c r="E68" i="259"/>
  <c r="C68" i="259"/>
  <c r="F67" i="259"/>
  <c r="E67" i="259"/>
  <c r="C67" i="259"/>
  <c r="F66" i="259"/>
  <c r="E66" i="259"/>
  <c r="C66" i="259"/>
  <c r="F65" i="259"/>
  <c r="E65" i="259"/>
  <c r="C65" i="259"/>
  <c r="F64" i="259"/>
  <c r="E64" i="259"/>
  <c r="C64" i="259"/>
  <c r="F63" i="259"/>
  <c r="E63" i="259"/>
  <c r="C63" i="259"/>
  <c r="J49" i="259"/>
  <c r="H49" i="259"/>
  <c r="G49" i="259"/>
  <c r="F49" i="259"/>
  <c r="E49" i="259"/>
  <c r="J48" i="259"/>
  <c r="H48" i="259"/>
  <c r="G48" i="259"/>
  <c r="F48" i="259"/>
  <c r="E48" i="259"/>
  <c r="J38" i="259"/>
  <c r="H38" i="259"/>
  <c r="F38" i="259"/>
  <c r="B38" i="259"/>
  <c r="E24" i="259"/>
  <c r="A22" i="259"/>
  <c r="D17" i="259"/>
  <c r="D16" i="259"/>
  <c r="D15" i="259"/>
  <c r="D10" i="259"/>
  <c r="D8" i="259"/>
  <c r="D7" i="259"/>
  <c r="D6" i="259"/>
  <c r="L3" i="259"/>
  <c r="L86" i="259" s="1"/>
  <c r="H4" i="201"/>
  <c r="G4" i="201"/>
  <c r="F4" i="201"/>
  <c r="E4" i="201"/>
  <c r="D4" i="201"/>
  <c r="C4" i="201"/>
  <c r="B4" i="201"/>
  <c r="A4" i="201"/>
  <c r="E4" i="202"/>
  <c r="E4" i="204"/>
  <c r="E4" i="205"/>
  <c r="E4" i="206"/>
  <c r="E4" i="207"/>
  <c r="E4" i="208"/>
  <c r="E4" i="221"/>
  <c r="E4" i="211"/>
  <c r="E4" i="212"/>
  <c r="E4" i="224"/>
  <c r="E4" i="223"/>
  <c r="E4" i="222"/>
  <c r="E4" i="220"/>
  <c r="I10" i="261" s="1"/>
  <c r="E4" i="219"/>
  <c r="E4" i="218"/>
  <c r="E4" i="217"/>
  <c r="E4" i="216"/>
  <c r="E4" i="215"/>
  <c r="E4" i="214"/>
  <c r="E4" i="213"/>
  <c r="H16" i="231"/>
  <c r="H7" i="231"/>
  <c r="B34" i="231"/>
  <c r="C25" i="231"/>
  <c r="B25" i="231"/>
  <c r="C16" i="231"/>
  <c r="B16" i="231"/>
  <c r="L32" i="259" l="1"/>
  <c r="I10" i="259"/>
  <c r="L58" i="259"/>
  <c r="C7" i="231" l="1"/>
  <c r="B7" i="231"/>
  <c r="C9" i="132" l="1"/>
  <c r="D9" i="132"/>
  <c r="E9" i="132"/>
  <c r="F9" i="132"/>
  <c r="G9" i="132"/>
  <c r="C10" i="132"/>
  <c r="D10" i="132"/>
  <c r="E10" i="132"/>
  <c r="F10" i="132"/>
  <c r="G10" i="132"/>
  <c r="C11" i="132"/>
  <c r="D11" i="132"/>
  <c r="E11" i="132"/>
  <c r="F11" i="132"/>
  <c r="G11" i="132"/>
  <c r="C12" i="132"/>
  <c r="D12" i="132"/>
  <c r="E12" i="132"/>
  <c r="F12" i="132"/>
  <c r="G12" i="132"/>
  <c r="C13" i="132"/>
  <c r="D13" i="132"/>
  <c r="E13" i="132"/>
  <c r="F13" i="132"/>
  <c r="G13" i="132"/>
  <c r="C14" i="132"/>
  <c r="D14" i="132"/>
  <c r="E14" i="132"/>
  <c r="F14" i="132"/>
  <c r="G14" i="132"/>
  <c r="C15" i="132"/>
  <c r="D15" i="132"/>
  <c r="E15" i="132"/>
  <c r="F15" i="132"/>
  <c r="G15" i="132"/>
  <c r="C16" i="132"/>
  <c r="D16" i="132"/>
  <c r="E16" i="132"/>
  <c r="F16" i="132"/>
  <c r="G16" i="132"/>
  <c r="C17" i="132"/>
  <c r="D17" i="132"/>
  <c r="E17" i="132"/>
  <c r="F17" i="132"/>
  <c r="G17" i="132"/>
  <c r="C18" i="132"/>
  <c r="D18" i="132"/>
  <c r="E18" i="132"/>
  <c r="F18" i="132"/>
  <c r="G18" i="132"/>
  <c r="C19" i="132"/>
  <c r="D19" i="132"/>
  <c r="E19" i="132"/>
  <c r="F19" i="132"/>
  <c r="G19" i="132"/>
  <c r="I9" i="132"/>
  <c r="J9" i="132"/>
  <c r="I10" i="132"/>
  <c r="J10" i="132"/>
  <c r="I11" i="132"/>
  <c r="J11" i="132"/>
  <c r="I12" i="132"/>
  <c r="J12" i="132"/>
  <c r="I13" i="132"/>
  <c r="J13" i="132"/>
  <c r="I14" i="132"/>
  <c r="J14" i="132"/>
  <c r="I15" i="132"/>
  <c r="J15" i="132"/>
  <c r="I16" i="132"/>
  <c r="J16" i="132"/>
  <c r="I17" i="132"/>
  <c r="J17" i="132"/>
  <c r="I18" i="132"/>
  <c r="J18" i="132"/>
  <c r="I19" i="132"/>
  <c r="J19" i="132"/>
  <c r="H37" i="137"/>
  <c r="C10" i="251"/>
  <c r="C10" i="249"/>
  <c r="C10" i="248"/>
  <c r="C10" i="247"/>
  <c r="C10" i="246"/>
  <c r="C10" i="245"/>
  <c r="C10" i="244"/>
  <c r="C10" i="243"/>
  <c r="C10" i="242"/>
  <c r="C10" i="241"/>
  <c r="C10" i="256"/>
  <c r="C10" i="252"/>
  <c r="C10" i="240"/>
  <c r="C10" i="202"/>
  <c r="J45" i="254" l="1"/>
  <c r="H45" i="254"/>
  <c r="G45" i="254"/>
  <c r="F45" i="254"/>
  <c r="E45" i="254"/>
  <c r="O16" i="257"/>
  <c r="N16" i="257"/>
  <c r="O7" i="257"/>
  <c r="N7" i="257"/>
  <c r="I7" i="257"/>
  <c r="H7" i="257"/>
  <c r="I16" i="257"/>
  <c r="H16" i="257"/>
  <c r="I25" i="257"/>
  <c r="H25" i="257"/>
  <c r="I34" i="257"/>
  <c r="H34" i="257"/>
  <c r="C34" i="257"/>
  <c r="B34" i="257"/>
  <c r="C25" i="257"/>
  <c r="B25" i="257"/>
  <c r="C16" i="257"/>
  <c r="B16" i="257"/>
  <c r="Q25" i="257"/>
  <c r="Q16" i="257"/>
  <c r="Q7" i="257"/>
  <c r="K34" i="257"/>
  <c r="K25" i="257"/>
  <c r="K16" i="257"/>
  <c r="E25" i="257"/>
  <c r="K7" i="257"/>
  <c r="E34" i="257"/>
  <c r="E16" i="257"/>
  <c r="E7" i="257"/>
  <c r="C7" i="257"/>
  <c r="B7" i="257"/>
  <c r="O25" i="257"/>
  <c r="N25" i="257"/>
  <c r="O34" i="257"/>
  <c r="N34" i="257"/>
  <c r="Q34" i="257"/>
  <c r="F59" i="256" l="1"/>
  <c r="E49" i="256"/>
  <c r="D49" i="256"/>
  <c r="C49" i="256"/>
  <c r="F41" i="256"/>
  <c r="E41" i="256"/>
  <c r="D41" i="256"/>
  <c r="C41" i="256"/>
  <c r="F40" i="256"/>
  <c r="E40" i="256"/>
  <c r="D40" i="256"/>
  <c r="C40" i="256"/>
  <c r="G27" i="256"/>
  <c r="C16" i="256"/>
  <c r="J15" i="256"/>
  <c r="G15" i="256"/>
  <c r="C67" i="256" s="1"/>
  <c r="I14" i="256"/>
  <c r="G14" i="256"/>
  <c r="C14" i="256"/>
  <c r="C65" i="256" s="1"/>
  <c r="C13" i="256"/>
  <c r="C12" i="256"/>
  <c r="C61" i="256" s="1"/>
  <c r="C11" i="256"/>
  <c r="C75" i="256" s="1"/>
  <c r="C76" i="256" s="1"/>
  <c r="D9" i="256"/>
  <c r="B9" i="256"/>
  <c r="D8" i="256"/>
  <c r="B8" i="256"/>
  <c r="D7" i="256"/>
  <c r="B7" i="256"/>
  <c r="J6" i="256"/>
  <c r="H4" i="256"/>
  <c r="G4" i="256"/>
  <c r="F4" i="256"/>
  <c r="E4" i="256"/>
  <c r="D4" i="256"/>
  <c r="C4" i="256"/>
  <c r="B4" i="256"/>
  <c r="A4" i="256"/>
  <c r="P14" i="255"/>
  <c r="Q14" i="255"/>
  <c r="O14" i="255"/>
  <c r="T14" i="255" s="1"/>
  <c r="P18" i="255"/>
  <c r="Q18" i="255"/>
  <c r="P17" i="255"/>
  <c r="Q17" i="255"/>
  <c r="P16" i="255"/>
  <c r="Q16" i="255"/>
  <c r="P15" i="255"/>
  <c r="Q15" i="255"/>
  <c r="P13" i="255"/>
  <c r="Q13" i="255"/>
  <c r="P12" i="255"/>
  <c r="Q12" i="255"/>
  <c r="P11" i="255"/>
  <c r="Q11" i="255"/>
  <c r="P10" i="255"/>
  <c r="Q10" i="255"/>
  <c r="P9" i="255"/>
  <c r="Q9" i="255"/>
  <c r="O18" i="255"/>
  <c r="T18" i="255" s="1"/>
  <c r="O17" i="255"/>
  <c r="R17" i="255" s="1"/>
  <c r="O16" i="255"/>
  <c r="T16" i="255" s="1"/>
  <c r="O15" i="255"/>
  <c r="R15" i="255" s="1"/>
  <c r="O13" i="255"/>
  <c r="R13" i="255" s="1"/>
  <c r="O12" i="255"/>
  <c r="T12" i="255" s="1"/>
  <c r="O11" i="255"/>
  <c r="S11" i="255" s="1"/>
  <c r="O10" i="255"/>
  <c r="T10" i="255" s="1"/>
  <c r="O9" i="255"/>
  <c r="P8" i="255"/>
  <c r="Q8" i="255"/>
  <c r="O8" i="255"/>
  <c r="T8" i="255" s="1"/>
  <c r="O7" i="255"/>
  <c r="T7" i="255" s="1"/>
  <c r="R14" i="255"/>
  <c r="P7" i="255"/>
  <c r="Q7" i="255"/>
  <c r="T9" i="255"/>
  <c r="F60" i="254"/>
  <c r="F8" i="255" s="1"/>
  <c r="G8" i="255" s="1"/>
  <c r="F61" i="254"/>
  <c r="F9" i="255" s="1"/>
  <c r="G9" i="255" s="1"/>
  <c r="F62" i="254"/>
  <c r="F10" i="255" s="1"/>
  <c r="G10" i="255" s="1"/>
  <c r="F63" i="254"/>
  <c r="F11" i="255" s="1"/>
  <c r="G11" i="255" s="1"/>
  <c r="F64" i="254"/>
  <c r="F12" i="255" s="1"/>
  <c r="G12" i="255" s="1"/>
  <c r="F65" i="254"/>
  <c r="F13" i="255" s="1"/>
  <c r="G13" i="255" s="1"/>
  <c r="F66" i="254"/>
  <c r="F14" i="255" s="1"/>
  <c r="G14" i="255" s="1"/>
  <c r="F67" i="254"/>
  <c r="F15" i="255" s="1"/>
  <c r="G15" i="255" s="1"/>
  <c r="F68" i="254"/>
  <c r="F16" i="255" s="1"/>
  <c r="G16" i="255" s="1"/>
  <c r="F69" i="254"/>
  <c r="F17" i="255" s="1"/>
  <c r="G17" i="255" s="1"/>
  <c r="F70" i="254"/>
  <c r="F18" i="255" s="1"/>
  <c r="G18" i="255" s="1"/>
  <c r="F59" i="254"/>
  <c r="F7" i="255" s="1"/>
  <c r="G7" i="255" s="1"/>
  <c r="E61" i="254"/>
  <c r="E9" i="255" s="1"/>
  <c r="E62" i="254"/>
  <c r="E10" i="255" s="1"/>
  <c r="E63" i="254"/>
  <c r="E11" i="255" s="1"/>
  <c r="E64" i="254"/>
  <c r="E12" i="255" s="1"/>
  <c r="E65" i="254"/>
  <c r="E13" i="255" s="1"/>
  <c r="E66" i="254"/>
  <c r="E14" i="255" s="1"/>
  <c r="E67" i="254"/>
  <c r="E15" i="255" s="1"/>
  <c r="E68" i="254"/>
  <c r="E16" i="255" s="1"/>
  <c r="E69" i="254"/>
  <c r="E17" i="255" s="1"/>
  <c r="E70" i="254"/>
  <c r="E18" i="255" s="1"/>
  <c r="E60" i="254"/>
  <c r="E8" i="255" s="1"/>
  <c r="E59" i="254"/>
  <c r="E7" i="255" s="1"/>
  <c r="C69" i="254"/>
  <c r="C17" i="255" s="1"/>
  <c r="C61" i="254"/>
  <c r="C9" i="255" s="1"/>
  <c r="C65" i="254"/>
  <c r="C13" i="255" s="1"/>
  <c r="B60" i="254"/>
  <c r="B8" i="255" s="1"/>
  <c r="B61" i="254"/>
  <c r="B9" i="255" s="1"/>
  <c r="B62" i="254"/>
  <c r="B10" i="255" s="1"/>
  <c r="B63" i="254"/>
  <c r="B11" i="255" s="1"/>
  <c r="B64" i="254"/>
  <c r="B12" i="255" s="1"/>
  <c r="B65" i="254"/>
  <c r="B13" i="255" s="1"/>
  <c r="B66" i="254"/>
  <c r="B14" i="255" s="1"/>
  <c r="B67" i="254"/>
  <c r="B15" i="255" s="1"/>
  <c r="B68" i="254"/>
  <c r="B16" i="255" s="1"/>
  <c r="B69" i="254"/>
  <c r="B17" i="255" s="1"/>
  <c r="B70" i="254"/>
  <c r="B18" i="255" s="1"/>
  <c r="B59" i="254"/>
  <c r="B7" i="255" s="1"/>
  <c r="C60" i="254"/>
  <c r="C8" i="255" s="1"/>
  <c r="C62" i="254"/>
  <c r="C10" i="255" s="1"/>
  <c r="C63" i="254"/>
  <c r="C11" i="255" s="1"/>
  <c r="C64" i="254"/>
  <c r="C12" i="255" s="1"/>
  <c r="C66" i="254"/>
  <c r="C14" i="255" s="1"/>
  <c r="C67" i="254"/>
  <c r="C15" i="255" s="1"/>
  <c r="C68" i="254"/>
  <c r="C16" i="255" s="1"/>
  <c r="C70" i="254"/>
  <c r="C18" i="255" s="1"/>
  <c r="C59" i="254"/>
  <c r="C7" i="255" s="1"/>
  <c r="I101" i="254"/>
  <c r="B101" i="254"/>
  <c r="I100" i="254"/>
  <c r="B100" i="254"/>
  <c r="J37" i="254"/>
  <c r="H37" i="254"/>
  <c r="F37" i="254"/>
  <c r="B37" i="254"/>
  <c r="E24" i="254"/>
  <c r="A22" i="254"/>
  <c r="D17" i="254"/>
  <c r="D16" i="254"/>
  <c r="D15" i="254"/>
  <c r="D10" i="254"/>
  <c r="D8" i="254"/>
  <c r="D7" i="254"/>
  <c r="D6" i="254"/>
  <c r="L3" i="254"/>
  <c r="L79" i="254" s="1"/>
  <c r="F59" i="252"/>
  <c r="E49" i="252"/>
  <c r="D49" i="252"/>
  <c r="C49" i="252"/>
  <c r="F41" i="252"/>
  <c r="E41" i="252"/>
  <c r="D41" i="252"/>
  <c r="C41" i="252"/>
  <c r="F40" i="252"/>
  <c r="E40" i="252"/>
  <c r="D40" i="252"/>
  <c r="C40" i="252"/>
  <c r="G27" i="252"/>
  <c r="C16" i="252"/>
  <c r="J15" i="252"/>
  <c r="G15" i="252"/>
  <c r="C67" i="252" s="1"/>
  <c r="C15" i="252"/>
  <c r="I14" i="252"/>
  <c r="G14" i="252"/>
  <c r="C14" i="252"/>
  <c r="C65" i="252" s="1"/>
  <c r="C13" i="252"/>
  <c r="C12" i="252"/>
  <c r="C61" i="252" s="1"/>
  <c r="C11" i="252"/>
  <c r="C75" i="252" s="1"/>
  <c r="C76" i="252" s="1"/>
  <c r="D9" i="252"/>
  <c r="B9" i="252"/>
  <c r="D8" i="252"/>
  <c r="B8" i="252"/>
  <c r="D7" i="252"/>
  <c r="B7" i="252"/>
  <c r="J6" i="252"/>
  <c r="E4" i="252"/>
  <c r="I10" i="262" s="1"/>
  <c r="F59" i="251"/>
  <c r="E49" i="251"/>
  <c r="D49" i="251"/>
  <c r="C49" i="251"/>
  <c r="F41" i="251"/>
  <c r="E41" i="251"/>
  <c r="D41" i="251"/>
  <c r="C41" i="251"/>
  <c r="F40" i="251"/>
  <c r="E40" i="251"/>
  <c r="D40" i="251"/>
  <c r="C40" i="251"/>
  <c r="G27" i="251"/>
  <c r="C16" i="251"/>
  <c r="J15" i="251"/>
  <c r="G15" i="251"/>
  <c r="C67" i="251" s="1"/>
  <c r="C15" i="251"/>
  <c r="I14" i="251"/>
  <c r="G14" i="251"/>
  <c r="C14" i="251"/>
  <c r="C65" i="251" s="1"/>
  <c r="C13" i="251"/>
  <c r="C12" i="251"/>
  <c r="C61" i="251" s="1"/>
  <c r="C11" i="251"/>
  <c r="C75" i="251" s="1"/>
  <c r="C76" i="251" s="1"/>
  <c r="D9" i="251"/>
  <c r="B9" i="251"/>
  <c r="D8" i="251"/>
  <c r="B8" i="251"/>
  <c r="D7" i="251"/>
  <c r="B7" i="251"/>
  <c r="J6" i="251"/>
  <c r="E4" i="251"/>
  <c r="M27" i="257" s="1"/>
  <c r="F59" i="249"/>
  <c r="E49" i="249"/>
  <c r="D49" i="249"/>
  <c r="C49" i="249"/>
  <c r="F41" i="249"/>
  <c r="E41" i="249"/>
  <c r="D41" i="249"/>
  <c r="C41" i="249"/>
  <c r="F40" i="249"/>
  <c r="E40" i="249"/>
  <c r="D40" i="249"/>
  <c r="C40" i="249"/>
  <c r="G27" i="249"/>
  <c r="C16" i="249"/>
  <c r="J15" i="249"/>
  <c r="G15" i="249"/>
  <c r="C67" i="249" s="1"/>
  <c r="C15" i="249"/>
  <c r="I14" i="249"/>
  <c r="G14" i="249"/>
  <c r="C14" i="249"/>
  <c r="C65" i="249" s="1"/>
  <c r="C13" i="249"/>
  <c r="C12" i="249"/>
  <c r="C61" i="249" s="1"/>
  <c r="C11" i="249"/>
  <c r="C75" i="249" s="1"/>
  <c r="C76" i="249" s="1"/>
  <c r="D9" i="249"/>
  <c r="B9" i="249"/>
  <c r="D8" i="249"/>
  <c r="B8" i="249"/>
  <c r="D7" i="249"/>
  <c r="B7" i="249"/>
  <c r="J6" i="249"/>
  <c r="G7" i="249" s="1"/>
  <c r="E4" i="249"/>
  <c r="M18" i="257" s="1"/>
  <c r="F59" i="248"/>
  <c r="E49" i="248"/>
  <c r="D49" i="248"/>
  <c r="C49" i="248"/>
  <c r="F41" i="248"/>
  <c r="E41" i="248"/>
  <c r="D41" i="248"/>
  <c r="C41" i="248"/>
  <c r="F40" i="248"/>
  <c r="E40" i="248"/>
  <c r="D40" i="248"/>
  <c r="C40" i="248"/>
  <c r="G27" i="248"/>
  <c r="C16" i="248"/>
  <c r="J15" i="248"/>
  <c r="G15" i="248"/>
  <c r="C67" i="248" s="1"/>
  <c r="C15" i="248"/>
  <c r="I14" i="248"/>
  <c r="G14" i="248"/>
  <c r="C14" i="248"/>
  <c r="C65" i="248" s="1"/>
  <c r="C13" i="248"/>
  <c r="C12" i="248"/>
  <c r="C61" i="248" s="1"/>
  <c r="C11" i="248"/>
  <c r="C75" i="248" s="1"/>
  <c r="C76" i="248" s="1"/>
  <c r="D9" i="248"/>
  <c r="B9" i="248"/>
  <c r="D8" i="248"/>
  <c r="B8" i="248"/>
  <c r="D7" i="248"/>
  <c r="B7" i="248"/>
  <c r="J6" i="248"/>
  <c r="E4" i="248"/>
  <c r="M9" i="257" s="1"/>
  <c r="F59" i="247"/>
  <c r="E49" i="247"/>
  <c r="D49" i="247"/>
  <c r="C49" i="247"/>
  <c r="F41" i="247"/>
  <c r="E41" i="247"/>
  <c r="D41" i="247"/>
  <c r="C41" i="247"/>
  <c r="F40" i="247"/>
  <c r="E40" i="247"/>
  <c r="D40" i="247"/>
  <c r="C40" i="247"/>
  <c r="G27" i="247"/>
  <c r="C16" i="247"/>
  <c r="J15" i="247"/>
  <c r="G15" i="247"/>
  <c r="C67" i="247" s="1"/>
  <c r="C15" i="247"/>
  <c r="I14" i="247"/>
  <c r="G14" i="247"/>
  <c r="C14" i="247"/>
  <c r="C65" i="247" s="1"/>
  <c r="C13" i="247"/>
  <c r="C12" i="247"/>
  <c r="C61" i="247" s="1"/>
  <c r="C11" i="247"/>
  <c r="C75" i="247" s="1"/>
  <c r="C76" i="247" s="1"/>
  <c r="D9" i="247"/>
  <c r="B9" i="247"/>
  <c r="D8" i="247"/>
  <c r="B8" i="247"/>
  <c r="D7" i="247"/>
  <c r="B7" i="247"/>
  <c r="J6" i="247"/>
  <c r="E4" i="247"/>
  <c r="G36" i="257" s="1"/>
  <c r="F59" i="246"/>
  <c r="E49" i="246"/>
  <c r="D49" i="246"/>
  <c r="C49" i="246"/>
  <c r="F41" i="246"/>
  <c r="E41" i="246"/>
  <c r="D41" i="246"/>
  <c r="C41" i="246"/>
  <c r="F40" i="246"/>
  <c r="E40" i="246"/>
  <c r="D40" i="246"/>
  <c r="C40" i="246"/>
  <c r="G27" i="246"/>
  <c r="C16" i="246"/>
  <c r="J15" i="246"/>
  <c r="G15" i="246"/>
  <c r="C67" i="246" s="1"/>
  <c r="C15" i="246"/>
  <c r="I14" i="246"/>
  <c r="G14" i="246"/>
  <c r="C14" i="246"/>
  <c r="C65" i="246" s="1"/>
  <c r="C13" i="246"/>
  <c r="C12" i="246"/>
  <c r="C61" i="246" s="1"/>
  <c r="C11" i="246"/>
  <c r="C75" i="246" s="1"/>
  <c r="C76" i="246" s="1"/>
  <c r="D9" i="246"/>
  <c r="B9" i="246"/>
  <c r="D8" i="246"/>
  <c r="B8" i="246"/>
  <c r="D7" i="246"/>
  <c r="B7" i="246"/>
  <c r="J6" i="246"/>
  <c r="E4" i="246"/>
  <c r="G27" i="257" s="1"/>
  <c r="F59" i="245"/>
  <c r="E49" i="245"/>
  <c r="D49" i="245"/>
  <c r="C49" i="245"/>
  <c r="F41" i="245"/>
  <c r="E41" i="245"/>
  <c r="D41" i="245"/>
  <c r="C41" i="245"/>
  <c r="F40" i="245"/>
  <c r="E40" i="245"/>
  <c r="D40" i="245"/>
  <c r="C40" i="245"/>
  <c r="G27" i="245"/>
  <c r="C16" i="245"/>
  <c r="J15" i="245"/>
  <c r="G15" i="245"/>
  <c r="C67" i="245" s="1"/>
  <c r="C15" i="245"/>
  <c r="I14" i="245"/>
  <c r="G14" i="245"/>
  <c r="C14" i="245"/>
  <c r="C65" i="245" s="1"/>
  <c r="C13" i="245"/>
  <c r="C12" i="245"/>
  <c r="C61" i="245" s="1"/>
  <c r="C11" i="245"/>
  <c r="C75" i="245" s="1"/>
  <c r="C76" i="245" s="1"/>
  <c r="D9" i="245"/>
  <c r="B9" i="245"/>
  <c r="D8" i="245"/>
  <c r="B8" i="245"/>
  <c r="D7" i="245"/>
  <c r="B7" i="245"/>
  <c r="J6" i="245"/>
  <c r="E4" i="245"/>
  <c r="G18" i="257" s="1"/>
  <c r="F59" i="244"/>
  <c r="E49" i="244"/>
  <c r="D49" i="244"/>
  <c r="C49" i="244"/>
  <c r="F41" i="244"/>
  <c r="E41" i="244"/>
  <c r="D41" i="244"/>
  <c r="C41" i="244"/>
  <c r="F40" i="244"/>
  <c r="E40" i="244"/>
  <c r="D40" i="244"/>
  <c r="C40" i="244"/>
  <c r="G27" i="244"/>
  <c r="C16" i="244"/>
  <c r="J15" i="244"/>
  <c r="G15" i="244"/>
  <c r="C67" i="244" s="1"/>
  <c r="C15" i="244"/>
  <c r="I14" i="244"/>
  <c r="G14" i="244"/>
  <c r="C14" i="244"/>
  <c r="C65" i="244" s="1"/>
  <c r="C13" i="244"/>
  <c r="C12" i="244"/>
  <c r="C61" i="244" s="1"/>
  <c r="C11" i="244"/>
  <c r="C75" i="244" s="1"/>
  <c r="C76" i="244" s="1"/>
  <c r="D9" i="244"/>
  <c r="B9" i="244"/>
  <c r="D8" i="244"/>
  <c r="B8" i="244"/>
  <c r="D7" i="244"/>
  <c r="B7" i="244"/>
  <c r="J6" i="244"/>
  <c r="E4" i="244"/>
  <c r="G9" i="257" s="1"/>
  <c r="F59" i="243"/>
  <c r="E49" i="243"/>
  <c r="D49" i="243"/>
  <c r="C49" i="243"/>
  <c r="F41" i="243"/>
  <c r="E41" i="243"/>
  <c r="D41" i="243"/>
  <c r="C41" i="243"/>
  <c r="F40" i="243"/>
  <c r="E40" i="243"/>
  <c r="D40" i="243"/>
  <c r="C40" i="243"/>
  <c r="G27" i="243"/>
  <c r="C16" i="243"/>
  <c r="J15" i="243"/>
  <c r="G15" i="243"/>
  <c r="C67" i="243" s="1"/>
  <c r="C15" i="243"/>
  <c r="I14" i="243"/>
  <c r="G14" i="243"/>
  <c r="C14" i="243"/>
  <c r="C65" i="243" s="1"/>
  <c r="C13" i="243"/>
  <c r="C12" i="243"/>
  <c r="C61" i="243" s="1"/>
  <c r="C11" i="243"/>
  <c r="C75" i="243" s="1"/>
  <c r="C76" i="243" s="1"/>
  <c r="D9" i="243"/>
  <c r="B9" i="243"/>
  <c r="D8" i="243"/>
  <c r="B8" i="243"/>
  <c r="D7" i="243"/>
  <c r="B7" i="243"/>
  <c r="J6" i="243"/>
  <c r="E4" i="243"/>
  <c r="A36" i="257" s="1"/>
  <c r="F59" i="242"/>
  <c r="E49" i="242"/>
  <c r="D49" i="242"/>
  <c r="C49" i="242"/>
  <c r="F41" i="242"/>
  <c r="E41" i="242"/>
  <c r="D41" i="242"/>
  <c r="C41" i="242"/>
  <c r="F40" i="242"/>
  <c r="E40" i="242"/>
  <c r="D40" i="242"/>
  <c r="C40" i="242"/>
  <c r="G27" i="242"/>
  <c r="C16" i="242"/>
  <c r="J15" i="242"/>
  <c r="G15" i="242"/>
  <c r="C67" i="242" s="1"/>
  <c r="C15" i="242"/>
  <c r="I14" i="242"/>
  <c r="G14" i="242"/>
  <c r="C14" i="242"/>
  <c r="C65" i="242" s="1"/>
  <c r="C13" i="242"/>
  <c r="C12" i="242"/>
  <c r="C61" i="242" s="1"/>
  <c r="C11" i="242"/>
  <c r="C75" i="242" s="1"/>
  <c r="C76" i="242" s="1"/>
  <c r="D9" i="242"/>
  <c r="B9" i="242"/>
  <c r="D8" i="242"/>
  <c r="B8" i="242"/>
  <c r="D7" i="242"/>
  <c r="B7" i="242"/>
  <c r="J6" i="242"/>
  <c r="E4" i="242"/>
  <c r="A27" i="257" s="1"/>
  <c r="F59" i="241"/>
  <c r="E49" i="241"/>
  <c r="D49" i="241"/>
  <c r="C49" i="241"/>
  <c r="F41" i="241"/>
  <c r="E41" i="241"/>
  <c r="D41" i="241"/>
  <c r="C41" i="241"/>
  <c r="F40" i="241"/>
  <c r="E40" i="241"/>
  <c r="D40" i="241"/>
  <c r="C40" i="241"/>
  <c r="G27" i="241"/>
  <c r="C16" i="241"/>
  <c r="J15" i="241"/>
  <c r="G15" i="241"/>
  <c r="C67" i="241" s="1"/>
  <c r="C15" i="241"/>
  <c r="I14" i="241"/>
  <c r="G14" i="241"/>
  <c r="C14" i="241"/>
  <c r="C65" i="241" s="1"/>
  <c r="C13" i="241"/>
  <c r="C12" i="241"/>
  <c r="C60" i="241" s="1"/>
  <c r="C11" i="241"/>
  <c r="C75" i="241" s="1"/>
  <c r="C76" i="241" s="1"/>
  <c r="D9" i="241"/>
  <c r="B9" i="241"/>
  <c r="D8" i="241"/>
  <c r="B8" i="241"/>
  <c r="D7" i="241"/>
  <c r="B7" i="241"/>
  <c r="J6" i="241"/>
  <c r="E4" i="241"/>
  <c r="A18" i="257" s="1"/>
  <c r="F59" i="240"/>
  <c r="E49" i="240"/>
  <c r="D49" i="240"/>
  <c r="C49" i="240"/>
  <c r="F41" i="240"/>
  <c r="E41" i="240"/>
  <c r="D41" i="240"/>
  <c r="C41" i="240"/>
  <c r="F40" i="240"/>
  <c r="E40" i="240"/>
  <c r="D40" i="240"/>
  <c r="C40" i="240"/>
  <c r="G27" i="240"/>
  <c r="C16" i="240"/>
  <c r="J15" i="240"/>
  <c r="G15" i="240"/>
  <c r="C67" i="240" s="1"/>
  <c r="I14" i="240"/>
  <c r="G14" i="240"/>
  <c r="C14" i="240"/>
  <c r="C65" i="240" s="1"/>
  <c r="C13" i="240"/>
  <c r="C12" i="240"/>
  <c r="C61" i="240" s="1"/>
  <c r="C11" i="240"/>
  <c r="D9" i="240"/>
  <c r="B9" i="240"/>
  <c r="D8" i="240"/>
  <c r="B8" i="240"/>
  <c r="D7" i="240"/>
  <c r="B7" i="240"/>
  <c r="J6" i="240"/>
  <c r="H4" i="240"/>
  <c r="G4" i="240"/>
  <c r="F4" i="240"/>
  <c r="E4" i="240"/>
  <c r="A9" i="257" s="1"/>
  <c r="D4" i="240"/>
  <c r="C4" i="240"/>
  <c r="B4" i="240"/>
  <c r="A4" i="240"/>
  <c r="Z98" i="132"/>
  <c r="Z97" i="132"/>
  <c r="Z96" i="132"/>
  <c r="Z95" i="132"/>
  <c r="Z94" i="132"/>
  <c r="Z93" i="132"/>
  <c r="Z92" i="132"/>
  <c r="Z91" i="132"/>
  <c r="Z90" i="132"/>
  <c r="Z89" i="132"/>
  <c r="Z88" i="132"/>
  <c r="Z87" i="132"/>
  <c r="Z86" i="132"/>
  <c r="C15" i="256" s="1"/>
  <c r="J48" i="132"/>
  <c r="C60" i="132"/>
  <c r="D60" i="132"/>
  <c r="E60" i="132"/>
  <c r="H60" i="132"/>
  <c r="I60" i="132"/>
  <c r="C61" i="132"/>
  <c r="D61" i="132"/>
  <c r="E61" i="132"/>
  <c r="H61" i="132"/>
  <c r="I61" i="132"/>
  <c r="C62" i="132"/>
  <c r="D62" i="132"/>
  <c r="E62" i="132"/>
  <c r="H62" i="132"/>
  <c r="I62" i="132"/>
  <c r="C63" i="132"/>
  <c r="D63" i="132"/>
  <c r="E63" i="132"/>
  <c r="H63" i="132"/>
  <c r="I63" i="132"/>
  <c r="C64" i="132"/>
  <c r="D64" i="132"/>
  <c r="E64" i="132"/>
  <c r="H64" i="132"/>
  <c r="I64" i="132"/>
  <c r="C65" i="132"/>
  <c r="D65" i="132"/>
  <c r="E65" i="132"/>
  <c r="H65" i="132"/>
  <c r="I65" i="132"/>
  <c r="C66" i="132"/>
  <c r="D66" i="132"/>
  <c r="E66" i="132"/>
  <c r="H66" i="132"/>
  <c r="I66" i="132"/>
  <c r="C67" i="132"/>
  <c r="D67" i="132"/>
  <c r="E67" i="132"/>
  <c r="H67" i="132"/>
  <c r="I67" i="132"/>
  <c r="C68" i="132"/>
  <c r="D68" i="132"/>
  <c r="E68" i="132"/>
  <c r="H68" i="132"/>
  <c r="I68" i="132"/>
  <c r="C69" i="132"/>
  <c r="D69" i="132"/>
  <c r="E69" i="132"/>
  <c r="H69" i="132"/>
  <c r="I69" i="132"/>
  <c r="C70" i="132"/>
  <c r="D70" i="132"/>
  <c r="E70" i="132"/>
  <c r="H70" i="132"/>
  <c r="I70" i="132"/>
  <c r="C71" i="132"/>
  <c r="D71" i="132"/>
  <c r="E71" i="132"/>
  <c r="H71" i="132"/>
  <c r="I71" i="132"/>
  <c r="C72" i="132"/>
  <c r="D72" i="132"/>
  <c r="E72" i="132"/>
  <c r="H72" i="132"/>
  <c r="I72" i="132"/>
  <c r="C73" i="132"/>
  <c r="D73" i="132"/>
  <c r="E73" i="132"/>
  <c r="H73" i="132"/>
  <c r="I73" i="132"/>
  <c r="C74" i="132"/>
  <c r="D74" i="132"/>
  <c r="E74" i="132"/>
  <c r="H74" i="132"/>
  <c r="I74" i="132"/>
  <c r="C75" i="132"/>
  <c r="D75" i="132"/>
  <c r="E75" i="132"/>
  <c r="H75" i="132"/>
  <c r="I75" i="132"/>
  <c r="J75" i="132"/>
  <c r="C76" i="132"/>
  <c r="D76" i="132"/>
  <c r="E76" i="132"/>
  <c r="H76" i="132"/>
  <c r="I76" i="132"/>
  <c r="C77" i="132"/>
  <c r="D77" i="132"/>
  <c r="E77" i="132"/>
  <c r="H77" i="132"/>
  <c r="I77" i="132"/>
  <c r="C78" i="132"/>
  <c r="D78" i="132"/>
  <c r="E78" i="132"/>
  <c r="H78" i="132"/>
  <c r="I78" i="132"/>
  <c r="C79" i="132"/>
  <c r="D79" i="132"/>
  <c r="E79" i="132"/>
  <c r="H79" i="132"/>
  <c r="I79" i="132"/>
  <c r="C29" i="132"/>
  <c r="A4" i="213" s="1"/>
  <c r="D29" i="132"/>
  <c r="B4" i="213" s="1"/>
  <c r="E29" i="132"/>
  <c r="F4" i="213" s="1"/>
  <c r="F29" i="132"/>
  <c r="G4" i="213" s="1"/>
  <c r="G29" i="132"/>
  <c r="D4" i="213" s="1"/>
  <c r="I29" i="132"/>
  <c r="C4" i="213" s="1"/>
  <c r="J29" i="132"/>
  <c r="H4" i="213" s="1"/>
  <c r="C30" i="132"/>
  <c r="A4" i="214" s="1"/>
  <c r="D30" i="132"/>
  <c r="B4" i="214" s="1"/>
  <c r="E30" i="132"/>
  <c r="F4" i="214" s="1"/>
  <c r="F30" i="132"/>
  <c r="G4" i="214" s="1"/>
  <c r="G30" i="132"/>
  <c r="D4" i="214" s="1"/>
  <c r="I30" i="132"/>
  <c r="C4" i="214" s="1"/>
  <c r="J30" i="132"/>
  <c r="H4" i="214" s="1"/>
  <c r="C31" i="132"/>
  <c r="A4" i="215" s="1"/>
  <c r="D31" i="132"/>
  <c r="B4" i="215" s="1"/>
  <c r="E31" i="132"/>
  <c r="F4" i="215" s="1"/>
  <c r="F31" i="132"/>
  <c r="G4" i="215" s="1"/>
  <c r="G31" i="132"/>
  <c r="D4" i="215" s="1"/>
  <c r="I31" i="132"/>
  <c r="C4" i="215" s="1"/>
  <c r="J31" i="132"/>
  <c r="H4" i="215" s="1"/>
  <c r="C32" i="132"/>
  <c r="A4" i="216" s="1"/>
  <c r="D32" i="132"/>
  <c r="B4" i="216" s="1"/>
  <c r="E32" i="132"/>
  <c r="F4" i="216" s="1"/>
  <c r="F32" i="132"/>
  <c r="G4" i="216" s="1"/>
  <c r="G32" i="132"/>
  <c r="D4" i="216" s="1"/>
  <c r="I32" i="132"/>
  <c r="C4" i="216" s="1"/>
  <c r="J32" i="132"/>
  <c r="H4" i="216" s="1"/>
  <c r="C33" i="132"/>
  <c r="A4" i="217" s="1"/>
  <c r="D33" i="132"/>
  <c r="B4" i="217" s="1"/>
  <c r="E33" i="132"/>
  <c r="F4" i="217" s="1"/>
  <c r="F33" i="132"/>
  <c r="G4" i="217" s="1"/>
  <c r="G33" i="132"/>
  <c r="D4" i="217" s="1"/>
  <c r="I33" i="132"/>
  <c r="C4" i="217" s="1"/>
  <c r="J33" i="132"/>
  <c r="H4" i="217" s="1"/>
  <c r="C34" i="132"/>
  <c r="A4" i="218" s="1"/>
  <c r="D34" i="132"/>
  <c r="B4" i="218" s="1"/>
  <c r="E34" i="132"/>
  <c r="F4" i="218" s="1"/>
  <c r="F34" i="132"/>
  <c r="G4" i="218" s="1"/>
  <c r="G34" i="132"/>
  <c r="D4" i="218" s="1"/>
  <c r="I34" i="132"/>
  <c r="C4" i="218" s="1"/>
  <c r="J34" i="132"/>
  <c r="H4" i="218" s="1"/>
  <c r="C35" i="132"/>
  <c r="A4" i="219" s="1"/>
  <c r="D35" i="132"/>
  <c r="B4" i="219" s="1"/>
  <c r="E35" i="132"/>
  <c r="F4" i="219" s="1"/>
  <c r="F35" i="132"/>
  <c r="G4" i="219" s="1"/>
  <c r="G35" i="132"/>
  <c r="D4" i="219" s="1"/>
  <c r="I35" i="132"/>
  <c r="C4" i="219" s="1"/>
  <c r="J35" i="132"/>
  <c r="H4" i="219" s="1"/>
  <c r="C36" i="132"/>
  <c r="A4" i="220" s="1"/>
  <c r="D36" i="132"/>
  <c r="B4" i="220" s="1"/>
  <c r="E36" i="132"/>
  <c r="F4" i="220" s="1"/>
  <c r="F36" i="132"/>
  <c r="G4" i="220" s="1"/>
  <c r="G36" i="132"/>
  <c r="D4" i="220" s="1"/>
  <c r="I36" i="132"/>
  <c r="C4" i="220" s="1"/>
  <c r="J36" i="132"/>
  <c r="H4" i="220" s="1"/>
  <c r="C37" i="132"/>
  <c r="A4" i="222" s="1"/>
  <c r="D37" i="132"/>
  <c r="B4" i="222" s="1"/>
  <c r="E37" i="132"/>
  <c r="F4" i="222" s="1"/>
  <c r="F37" i="132"/>
  <c r="G4" i="222" s="1"/>
  <c r="G37" i="132"/>
  <c r="D4" i="222" s="1"/>
  <c r="I37" i="132"/>
  <c r="C4" i="222" s="1"/>
  <c r="J37" i="132"/>
  <c r="H4" i="222" s="1"/>
  <c r="C38" i="132"/>
  <c r="A4" i="223" s="1"/>
  <c r="D38" i="132"/>
  <c r="B4" i="223" s="1"/>
  <c r="E38" i="132"/>
  <c r="F4" i="223" s="1"/>
  <c r="F38" i="132"/>
  <c r="G4" i="223" s="1"/>
  <c r="G38" i="132"/>
  <c r="D4" i="223" s="1"/>
  <c r="I38" i="132"/>
  <c r="C4" i="223" s="1"/>
  <c r="J38" i="132"/>
  <c r="H4" i="223" s="1"/>
  <c r="C39" i="132"/>
  <c r="A4" i="224" s="1"/>
  <c r="D39" i="132"/>
  <c r="B4" i="224" s="1"/>
  <c r="E39" i="132"/>
  <c r="F4" i="224" s="1"/>
  <c r="F39" i="132"/>
  <c r="G4" i="224" s="1"/>
  <c r="G39" i="132"/>
  <c r="D4" i="224" s="1"/>
  <c r="I39" i="132"/>
  <c r="C4" i="224" s="1"/>
  <c r="J39" i="132"/>
  <c r="H4" i="224" s="1"/>
  <c r="C28" i="132"/>
  <c r="A4" i="212" s="1"/>
  <c r="D28" i="132"/>
  <c r="B4" i="212" s="1"/>
  <c r="E28" i="132"/>
  <c r="F4" i="212" s="1"/>
  <c r="F28" i="132"/>
  <c r="G4" i="212" s="1"/>
  <c r="G28" i="132"/>
  <c r="D4" i="212" s="1"/>
  <c r="I28" i="132"/>
  <c r="C4" i="212" s="1"/>
  <c r="J28" i="132"/>
  <c r="H4" i="212" s="1"/>
  <c r="J6" i="201"/>
  <c r="H11" i="201" s="1"/>
  <c r="B88" i="236"/>
  <c r="B88" i="235"/>
  <c r="L54" i="254" l="1"/>
  <c r="R7" i="255"/>
  <c r="C42" i="246"/>
  <c r="D42" i="247"/>
  <c r="E42" i="248"/>
  <c r="E42" i="247"/>
  <c r="M36" i="257"/>
  <c r="I10" i="254"/>
  <c r="C15" i="240"/>
  <c r="J74" i="132"/>
  <c r="J49" i="132"/>
  <c r="J50" i="132" s="1"/>
  <c r="J51" i="132" s="1"/>
  <c r="J52" i="132" s="1"/>
  <c r="J53" i="132" s="1"/>
  <c r="J54" i="132" s="1"/>
  <c r="J55" i="132" s="1"/>
  <c r="J56" i="132" s="1"/>
  <c r="J57" i="132" s="1"/>
  <c r="J58" i="132" s="1"/>
  <c r="J59" i="132" s="1"/>
  <c r="D42" i="249"/>
  <c r="D42" i="248"/>
  <c r="I8" i="256"/>
  <c r="H9" i="256"/>
  <c r="E42" i="256"/>
  <c r="I8" i="241"/>
  <c r="H9" i="241"/>
  <c r="I8" i="242"/>
  <c r="H9" i="242"/>
  <c r="I8" i="243"/>
  <c r="H9" i="243"/>
  <c r="E42" i="243"/>
  <c r="I8" i="244"/>
  <c r="H9" i="244"/>
  <c r="I8" i="245"/>
  <c r="H9" i="245"/>
  <c r="I8" i="246"/>
  <c r="H9" i="246"/>
  <c r="I8" i="247"/>
  <c r="H9" i="247"/>
  <c r="I8" i="248"/>
  <c r="H9" i="248"/>
  <c r="F42" i="249"/>
  <c r="I8" i="249"/>
  <c r="H9" i="249"/>
  <c r="I8" i="251"/>
  <c r="H9" i="251"/>
  <c r="F42" i="256"/>
  <c r="E42" i="244"/>
  <c r="D42" i="251"/>
  <c r="D42" i="252"/>
  <c r="E42" i="242"/>
  <c r="G7" i="256"/>
  <c r="T17" i="255"/>
  <c r="D54" i="256"/>
  <c r="D42" i="241"/>
  <c r="J79" i="132"/>
  <c r="J76" i="132"/>
  <c r="J67" i="132"/>
  <c r="F42" i="241"/>
  <c r="F42" i="242"/>
  <c r="F42" i="243"/>
  <c r="F42" i="244"/>
  <c r="F42" i="245"/>
  <c r="F42" i="248"/>
  <c r="E42" i="249"/>
  <c r="E42" i="251"/>
  <c r="F42" i="252"/>
  <c r="D42" i="242"/>
  <c r="C42" i="244"/>
  <c r="C42" i="245"/>
  <c r="J65" i="132"/>
  <c r="E42" i="245"/>
  <c r="I8" i="252"/>
  <c r="H9" i="252"/>
  <c r="S7" i="255"/>
  <c r="D42" i="256"/>
  <c r="I8" i="240"/>
  <c r="H10" i="240"/>
  <c r="H9" i="240"/>
  <c r="J78" i="132"/>
  <c r="C42" i="247"/>
  <c r="C75" i="240"/>
  <c r="C76" i="240" s="1"/>
  <c r="D54" i="240"/>
  <c r="R16" i="255"/>
  <c r="S16" i="255"/>
  <c r="D54" i="241"/>
  <c r="D54" i="242"/>
  <c r="D54" i="243"/>
  <c r="D54" i="244"/>
  <c r="D54" i="251"/>
  <c r="E42" i="240"/>
  <c r="D42" i="240"/>
  <c r="D42" i="244"/>
  <c r="C42" i="248"/>
  <c r="E42" i="252"/>
  <c r="J71" i="132"/>
  <c r="D54" i="246"/>
  <c r="J61" i="132"/>
  <c r="D54" i="245"/>
  <c r="T11" i="255"/>
  <c r="C42" i="256"/>
  <c r="J69" i="132"/>
  <c r="J62" i="132"/>
  <c r="F42" i="240"/>
  <c r="C42" i="241"/>
  <c r="C42" i="242"/>
  <c r="C42" i="243"/>
  <c r="D42" i="246"/>
  <c r="F42" i="247"/>
  <c r="D54" i="248"/>
  <c r="J77" i="132"/>
  <c r="J73" i="132"/>
  <c r="J66" i="132"/>
  <c r="C42" i="240"/>
  <c r="C60" i="242"/>
  <c r="C62" i="242" s="1"/>
  <c r="D42" i="243"/>
  <c r="E42" i="246"/>
  <c r="D54" i="249"/>
  <c r="C42" i="249"/>
  <c r="C60" i="249"/>
  <c r="C62" i="249" s="1"/>
  <c r="F42" i="251"/>
  <c r="D54" i="252"/>
  <c r="C42" i="252"/>
  <c r="C60" i="252"/>
  <c r="C62" i="252" s="1"/>
  <c r="J70" i="132"/>
  <c r="J63" i="132"/>
  <c r="E42" i="241"/>
  <c r="D42" i="245"/>
  <c r="F42" i="246"/>
  <c r="D54" i="247"/>
  <c r="H10" i="249"/>
  <c r="C42" i="251"/>
  <c r="H10" i="252"/>
  <c r="L8" i="255"/>
  <c r="L17" i="255"/>
  <c r="L9" i="255"/>
  <c r="L18" i="255"/>
  <c r="L16" i="255"/>
  <c r="L11" i="255"/>
  <c r="L12" i="255"/>
  <c r="L7" i="255"/>
  <c r="L13" i="255"/>
  <c r="L10" i="255"/>
  <c r="L14" i="255"/>
  <c r="I7" i="252"/>
  <c r="I7" i="249"/>
  <c r="G7" i="251"/>
  <c r="I7" i="251"/>
  <c r="G7" i="248"/>
  <c r="I7" i="248"/>
  <c r="G7" i="247"/>
  <c r="G7" i="246"/>
  <c r="H10" i="245"/>
  <c r="G7" i="244"/>
  <c r="G7" i="243"/>
  <c r="I7" i="243"/>
  <c r="G7" i="242"/>
  <c r="H10" i="242"/>
  <c r="I7" i="242"/>
  <c r="H10" i="241"/>
  <c r="I7" i="256"/>
  <c r="H10" i="256"/>
  <c r="C60" i="256"/>
  <c r="C62" i="256" s="1"/>
  <c r="B75" i="256"/>
  <c r="G8" i="256"/>
  <c r="H11" i="256"/>
  <c r="C64" i="256" s="1"/>
  <c r="R8" i="255"/>
  <c r="S8" i="255"/>
  <c r="T15" i="255"/>
  <c r="T13" i="255"/>
  <c r="S15" i="255"/>
  <c r="S14" i="255"/>
  <c r="S13" i="255"/>
  <c r="R11" i="255"/>
  <c r="L15" i="255"/>
  <c r="R9" i="255"/>
  <c r="S9" i="255"/>
  <c r="R10" i="255"/>
  <c r="S17" i="255"/>
  <c r="R18" i="255"/>
  <c r="S10" i="255"/>
  <c r="S18" i="255"/>
  <c r="R12" i="255"/>
  <c r="S12" i="255"/>
  <c r="L32" i="254"/>
  <c r="G7" i="252"/>
  <c r="B75" i="252"/>
  <c r="G8" i="252"/>
  <c r="H11" i="252"/>
  <c r="C64" i="252" s="1"/>
  <c r="H10" i="251"/>
  <c r="C60" i="251"/>
  <c r="C62" i="251" s="1"/>
  <c r="B75" i="251"/>
  <c r="G8" i="251"/>
  <c r="H11" i="251"/>
  <c r="C64" i="251" s="1"/>
  <c r="B75" i="249"/>
  <c r="G8" i="249"/>
  <c r="H11" i="249"/>
  <c r="C64" i="249" s="1"/>
  <c r="H10" i="248"/>
  <c r="C60" i="248"/>
  <c r="C62" i="248" s="1"/>
  <c r="B75" i="248"/>
  <c r="G8" i="248"/>
  <c r="H11" i="248"/>
  <c r="C64" i="248" s="1"/>
  <c r="I7" i="247"/>
  <c r="H10" i="247"/>
  <c r="C60" i="247"/>
  <c r="C62" i="247" s="1"/>
  <c r="B75" i="247"/>
  <c r="G8" i="247"/>
  <c r="H11" i="247"/>
  <c r="C64" i="247" s="1"/>
  <c r="I7" i="246"/>
  <c r="H10" i="246"/>
  <c r="C60" i="246"/>
  <c r="C62" i="246" s="1"/>
  <c r="B75" i="246"/>
  <c r="G8" i="246"/>
  <c r="H11" i="246"/>
  <c r="C64" i="246" s="1"/>
  <c r="G7" i="245"/>
  <c r="I7" i="245"/>
  <c r="C60" i="245"/>
  <c r="C62" i="245" s="1"/>
  <c r="B75" i="245"/>
  <c r="G8" i="245"/>
  <c r="H11" i="245"/>
  <c r="C64" i="245" s="1"/>
  <c r="I7" i="244"/>
  <c r="H10" i="244"/>
  <c r="C60" i="244"/>
  <c r="C62" i="244" s="1"/>
  <c r="B75" i="244"/>
  <c r="G8" i="244"/>
  <c r="H11" i="244"/>
  <c r="C64" i="244" s="1"/>
  <c r="H10" i="243"/>
  <c r="C60" i="243"/>
  <c r="C62" i="243" s="1"/>
  <c r="B75" i="243"/>
  <c r="G8" i="243"/>
  <c r="H11" i="243"/>
  <c r="C64" i="243" s="1"/>
  <c r="B75" i="242"/>
  <c r="G8" i="242"/>
  <c r="H11" i="242"/>
  <c r="C64" i="242" s="1"/>
  <c r="G7" i="241"/>
  <c r="I7" i="241"/>
  <c r="C61" i="241"/>
  <c r="C62" i="241" s="1"/>
  <c r="B75" i="241"/>
  <c r="G8" i="241"/>
  <c r="H11" i="241"/>
  <c r="C64" i="241" s="1"/>
  <c r="I7" i="240"/>
  <c r="C60" i="240"/>
  <c r="C62" i="240" s="1"/>
  <c r="B75" i="240"/>
  <c r="G7" i="240"/>
  <c r="G8" i="240"/>
  <c r="H11" i="240"/>
  <c r="C64" i="240" s="1"/>
  <c r="J72" i="132"/>
  <c r="J68" i="132"/>
  <c r="J64" i="132"/>
  <c r="J60" i="132"/>
  <c r="G7" i="201"/>
  <c r="I7" i="201"/>
  <c r="G8" i="201"/>
  <c r="H9" i="201"/>
  <c r="H10" i="201"/>
  <c r="I8" i="201"/>
  <c r="C43" i="247" l="1"/>
  <c r="B54" i="247" s="1"/>
  <c r="C44" i="246"/>
  <c r="C59" i="246" s="1"/>
  <c r="C44" i="244"/>
  <c r="C59" i="244" s="1"/>
  <c r="C44" i="247"/>
  <c r="C59" i="247" s="1"/>
  <c r="C44" i="249"/>
  <c r="C59" i="249" s="1"/>
  <c r="C43" i="251"/>
  <c r="B54" i="251" s="1"/>
  <c r="C43" i="249"/>
  <c r="B54" i="249" s="1"/>
  <c r="C43" i="248"/>
  <c r="B54" i="248" s="1"/>
  <c r="C43" i="246"/>
  <c r="B54" i="246" s="1"/>
  <c r="C44" i="245"/>
  <c r="C59" i="245" s="1"/>
  <c r="C43" i="244"/>
  <c r="B54" i="244" s="1"/>
  <c r="C43" i="243"/>
  <c r="B54" i="243" s="1"/>
  <c r="C44" i="243"/>
  <c r="C59" i="243" s="1"/>
  <c r="C43" i="256"/>
  <c r="B54" i="256" s="1"/>
  <c r="C44" i="256"/>
  <c r="C59" i="256" s="1"/>
  <c r="C44" i="240"/>
  <c r="C59" i="240" s="1"/>
  <c r="C43" i="245"/>
  <c r="B54" i="245" s="1"/>
  <c r="C43" i="241"/>
  <c r="B54" i="241" s="1"/>
  <c r="C44" i="248"/>
  <c r="C59" i="248" s="1"/>
  <c r="C44" i="251"/>
  <c r="C59" i="251" s="1"/>
  <c r="C43" i="252"/>
  <c r="B54" i="252" s="1"/>
  <c r="C43" i="242"/>
  <c r="B54" i="242" s="1"/>
  <c r="C44" i="241"/>
  <c r="C59" i="241" s="1"/>
  <c r="C43" i="240"/>
  <c r="B54" i="240" s="1"/>
  <c r="C44" i="242"/>
  <c r="C59" i="242" s="1"/>
  <c r="C44" i="252"/>
  <c r="C59" i="252" s="1"/>
  <c r="B76" i="256"/>
  <c r="B76" i="252"/>
  <c r="B76" i="251"/>
  <c r="B76" i="249"/>
  <c r="B76" i="248"/>
  <c r="B76" i="247"/>
  <c r="B76" i="246"/>
  <c r="B76" i="245"/>
  <c r="B76" i="244"/>
  <c r="B76" i="243"/>
  <c r="B76" i="242"/>
  <c r="B76" i="241"/>
  <c r="B76" i="240"/>
  <c r="B109" i="137"/>
  <c r="C16" i="201" l="1"/>
  <c r="C15" i="201"/>
  <c r="C14" i="201"/>
  <c r="C13" i="201"/>
  <c r="C12" i="201"/>
  <c r="C11" i="201"/>
  <c r="D9" i="201"/>
  <c r="B9" i="201"/>
  <c r="D8" i="201"/>
  <c r="B8" i="201"/>
  <c r="D7" i="201"/>
  <c r="B7" i="201"/>
  <c r="C16" i="224"/>
  <c r="C14" i="224"/>
  <c r="C13" i="224"/>
  <c r="C12" i="224"/>
  <c r="C11" i="224"/>
  <c r="C10" i="224"/>
  <c r="D9" i="224"/>
  <c r="B9" i="224"/>
  <c r="D8" i="224"/>
  <c r="B8" i="224"/>
  <c r="D7" i="224"/>
  <c r="B7" i="224"/>
  <c r="C16" i="223"/>
  <c r="C14" i="223"/>
  <c r="C13" i="223"/>
  <c r="C12" i="223"/>
  <c r="C11" i="223"/>
  <c r="C10" i="223"/>
  <c r="D9" i="223"/>
  <c r="B9" i="223"/>
  <c r="D8" i="223"/>
  <c r="B8" i="223"/>
  <c r="D7" i="223"/>
  <c r="B7" i="223"/>
  <c r="C16" i="222"/>
  <c r="C14" i="222"/>
  <c r="C13" i="222"/>
  <c r="C12" i="222"/>
  <c r="C11" i="222"/>
  <c r="C10" i="222"/>
  <c r="D9" i="222"/>
  <c r="B9" i="222"/>
  <c r="D8" i="222"/>
  <c r="B8" i="222"/>
  <c r="D7" i="222"/>
  <c r="B7" i="222"/>
  <c r="C16" i="220"/>
  <c r="C14" i="220"/>
  <c r="C13" i="220"/>
  <c r="C12" i="220"/>
  <c r="C11" i="220"/>
  <c r="C10" i="220"/>
  <c r="D9" i="220"/>
  <c r="B9" i="220"/>
  <c r="D8" i="220"/>
  <c r="B8" i="220"/>
  <c r="D7" i="220"/>
  <c r="B7" i="220"/>
  <c r="C16" i="219"/>
  <c r="C14" i="219"/>
  <c r="C13" i="219"/>
  <c r="C12" i="219"/>
  <c r="C11" i="219"/>
  <c r="C10" i="219"/>
  <c r="D9" i="219"/>
  <c r="B9" i="219"/>
  <c r="D8" i="219"/>
  <c r="B8" i="219"/>
  <c r="D7" i="219"/>
  <c r="B7" i="219"/>
  <c r="C16" i="218"/>
  <c r="C14" i="218"/>
  <c r="C13" i="218"/>
  <c r="C12" i="218"/>
  <c r="C11" i="218"/>
  <c r="C10" i="218"/>
  <c r="D9" i="218"/>
  <c r="B9" i="218"/>
  <c r="D8" i="218"/>
  <c r="B8" i="218"/>
  <c r="D7" i="218"/>
  <c r="B7" i="218"/>
  <c r="C16" i="217"/>
  <c r="C14" i="217"/>
  <c r="C13" i="217"/>
  <c r="C12" i="217"/>
  <c r="C11" i="217"/>
  <c r="C10" i="217"/>
  <c r="D9" i="217"/>
  <c r="B9" i="217"/>
  <c r="D8" i="217"/>
  <c r="B8" i="217"/>
  <c r="D7" i="217"/>
  <c r="B7" i="217"/>
  <c r="C16" i="216"/>
  <c r="C14" i="216"/>
  <c r="C13" i="216"/>
  <c r="C12" i="216"/>
  <c r="C11" i="216"/>
  <c r="C10" i="216"/>
  <c r="D9" i="216"/>
  <c r="B9" i="216"/>
  <c r="D8" i="216"/>
  <c r="B8" i="216"/>
  <c r="D7" i="216"/>
  <c r="B7" i="216"/>
  <c r="C14" i="215"/>
  <c r="C13" i="215"/>
  <c r="C12" i="215"/>
  <c r="C11" i="215"/>
  <c r="C10" i="215"/>
  <c r="D9" i="215"/>
  <c r="B9" i="215"/>
  <c r="D8" i="215"/>
  <c r="B8" i="215"/>
  <c r="D7" i="215"/>
  <c r="B7" i="215"/>
  <c r="C16" i="214"/>
  <c r="C14" i="214"/>
  <c r="C13" i="214"/>
  <c r="C12" i="214"/>
  <c r="C11" i="214"/>
  <c r="C10" i="214"/>
  <c r="D9" i="214"/>
  <c r="B9" i="214"/>
  <c r="D8" i="214"/>
  <c r="B8" i="214"/>
  <c r="D7" i="214"/>
  <c r="B7" i="214"/>
  <c r="C16" i="213"/>
  <c r="C14" i="213"/>
  <c r="C13" i="213"/>
  <c r="C12" i="213"/>
  <c r="C11" i="213"/>
  <c r="C10" i="213"/>
  <c r="D9" i="213"/>
  <c r="B9" i="213"/>
  <c r="D8" i="213"/>
  <c r="B8" i="213"/>
  <c r="D7" i="213"/>
  <c r="B7" i="213"/>
  <c r="C14" i="212"/>
  <c r="C13" i="212"/>
  <c r="C12" i="212"/>
  <c r="C11" i="212"/>
  <c r="C10" i="212"/>
  <c r="D9" i="212"/>
  <c r="B9" i="212"/>
  <c r="D8" i="212"/>
  <c r="B8" i="212"/>
  <c r="D7" i="212"/>
  <c r="B7" i="212"/>
  <c r="C16" i="211"/>
  <c r="C14" i="211"/>
  <c r="C13" i="211"/>
  <c r="C12" i="211"/>
  <c r="C11" i="211"/>
  <c r="C10" i="211"/>
  <c r="D9" i="211"/>
  <c r="B9" i="211"/>
  <c r="D8" i="211"/>
  <c r="B8" i="211"/>
  <c r="D7" i="211"/>
  <c r="B7" i="211"/>
  <c r="C14" i="221"/>
  <c r="C13" i="221"/>
  <c r="C12" i="221"/>
  <c r="C11" i="221"/>
  <c r="C10" i="221"/>
  <c r="D9" i="221"/>
  <c r="B9" i="221"/>
  <c r="D8" i="221"/>
  <c r="B8" i="221"/>
  <c r="D7" i="221"/>
  <c r="B7" i="221"/>
  <c r="C14" i="208"/>
  <c r="C13" i="208"/>
  <c r="C12" i="208"/>
  <c r="C11" i="208"/>
  <c r="C10" i="208"/>
  <c r="D9" i="208"/>
  <c r="B9" i="208"/>
  <c r="D8" i="208"/>
  <c r="B8" i="208"/>
  <c r="D7" i="208"/>
  <c r="B7" i="208"/>
  <c r="C16" i="207"/>
  <c r="C14" i="207"/>
  <c r="C13" i="207"/>
  <c r="C12" i="207"/>
  <c r="C11" i="207"/>
  <c r="C10" i="207"/>
  <c r="D9" i="207"/>
  <c r="B9" i="207"/>
  <c r="D8" i="207"/>
  <c r="B8" i="207"/>
  <c r="D7" i="207"/>
  <c r="B7" i="207"/>
  <c r="C16" i="206"/>
  <c r="C14" i="206"/>
  <c r="C13" i="206"/>
  <c r="C12" i="206"/>
  <c r="C11" i="206"/>
  <c r="C10" i="206"/>
  <c r="D9" i="206"/>
  <c r="B9" i="206"/>
  <c r="D8" i="206"/>
  <c r="B8" i="206"/>
  <c r="D7" i="206"/>
  <c r="B7" i="206"/>
  <c r="C16" i="205"/>
  <c r="C14" i="205"/>
  <c r="C13" i="205"/>
  <c r="C12" i="205"/>
  <c r="C11" i="205"/>
  <c r="C10" i="205"/>
  <c r="D9" i="205"/>
  <c r="B9" i="205"/>
  <c r="D8" i="205"/>
  <c r="B8" i="205"/>
  <c r="D7" i="205"/>
  <c r="B7" i="205"/>
  <c r="C16" i="204"/>
  <c r="C14" i="204"/>
  <c r="C13" i="204"/>
  <c r="C12" i="204"/>
  <c r="C11" i="204"/>
  <c r="C10" i="204"/>
  <c r="D9" i="204"/>
  <c r="B9" i="204"/>
  <c r="D8" i="204"/>
  <c r="B8" i="204"/>
  <c r="D7" i="204"/>
  <c r="B7" i="204"/>
  <c r="C16" i="202"/>
  <c r="C14" i="202"/>
  <c r="C13" i="202"/>
  <c r="C12" i="202"/>
  <c r="C11" i="202"/>
  <c r="D54" i="202" s="1"/>
  <c r="D9" i="202"/>
  <c r="D8" i="202"/>
  <c r="D7" i="202"/>
  <c r="B9" i="202"/>
  <c r="B8" i="202"/>
  <c r="B7" i="202"/>
  <c r="Z85" i="132" l="1"/>
  <c r="Z84" i="132"/>
  <c r="Z83" i="132"/>
  <c r="Z82" i="132"/>
  <c r="Z81" i="132"/>
  <c r="Z80" i="132"/>
  <c r="Z79" i="132"/>
  <c r="Z78" i="132"/>
  <c r="Z77" i="132"/>
  <c r="Z76" i="132"/>
  <c r="Z75" i="132"/>
  <c r="Z74" i="132"/>
  <c r="Z73" i="132"/>
  <c r="Z72" i="132"/>
  <c r="Z71" i="132"/>
  <c r="Z70" i="132"/>
  <c r="D6" i="137" l="1"/>
  <c r="F58" i="236" l="1"/>
  <c r="E58" i="236"/>
  <c r="C58" i="236"/>
  <c r="I89" i="236"/>
  <c r="B89" i="236"/>
  <c r="I88" i="236"/>
  <c r="B46" i="236"/>
  <c r="J35" i="236"/>
  <c r="H35" i="236"/>
  <c r="F35" i="236"/>
  <c r="B35" i="236"/>
  <c r="A22" i="236"/>
  <c r="F58" i="235"/>
  <c r="E58" i="235"/>
  <c r="C58" i="235"/>
  <c r="B46" i="235"/>
  <c r="I89" i="235"/>
  <c r="B89" i="235"/>
  <c r="I88" i="235"/>
  <c r="J35" i="235"/>
  <c r="H35" i="235"/>
  <c r="F35" i="235"/>
  <c r="B35" i="235"/>
  <c r="A22" i="235"/>
  <c r="F59" i="234"/>
  <c r="E59" i="234"/>
  <c r="C59" i="234"/>
  <c r="D15" i="137"/>
  <c r="D8" i="137"/>
  <c r="I89" i="234"/>
  <c r="B89" i="234"/>
  <c r="I88" i="234"/>
  <c r="A88" i="234"/>
  <c r="J35" i="234"/>
  <c r="H35" i="234"/>
  <c r="F35" i="234"/>
  <c r="B35" i="234"/>
  <c r="A22" i="234"/>
  <c r="P20" i="233" l="1"/>
  <c r="Q20" i="233"/>
  <c r="O20" i="233"/>
  <c r="S20" i="233" s="1"/>
  <c r="P19" i="233"/>
  <c r="Q19" i="233"/>
  <c r="O19" i="233"/>
  <c r="R19" i="233" s="1"/>
  <c r="P18" i="233"/>
  <c r="Q18" i="233"/>
  <c r="O18" i="233"/>
  <c r="S18" i="233" s="1"/>
  <c r="P17" i="233"/>
  <c r="Q17" i="233"/>
  <c r="O17" i="233"/>
  <c r="S17" i="233" s="1"/>
  <c r="P16" i="233"/>
  <c r="Q16" i="233"/>
  <c r="O16" i="233"/>
  <c r="S16" i="233" s="1"/>
  <c r="P15" i="233"/>
  <c r="Q15" i="233"/>
  <c r="O15" i="233"/>
  <c r="R15" i="233" s="1"/>
  <c r="P14" i="233"/>
  <c r="Q14" i="233"/>
  <c r="O14" i="233"/>
  <c r="S14" i="233" s="1"/>
  <c r="P13" i="233"/>
  <c r="Q13" i="233"/>
  <c r="O13" i="233"/>
  <c r="S13" i="233" s="1"/>
  <c r="P12" i="233"/>
  <c r="Q12" i="233"/>
  <c r="O12" i="233"/>
  <c r="S12" i="233" s="1"/>
  <c r="O11" i="233"/>
  <c r="T11" i="233" s="1"/>
  <c r="P11" i="233"/>
  <c r="Q11" i="233"/>
  <c r="P10" i="233"/>
  <c r="Q10" i="233"/>
  <c r="O10" i="233"/>
  <c r="S10" i="233" s="1"/>
  <c r="P9" i="233"/>
  <c r="Q9" i="233"/>
  <c r="O9" i="233"/>
  <c r="T9" i="233" s="1"/>
  <c r="P8" i="233"/>
  <c r="Q8" i="233"/>
  <c r="O8" i="233"/>
  <c r="S8" i="233" s="1"/>
  <c r="P7" i="233"/>
  <c r="Q7" i="233"/>
  <c r="O7" i="233"/>
  <c r="T7" i="233" s="1"/>
  <c r="S15" i="233" l="1"/>
  <c r="T15" i="233"/>
  <c r="R9" i="233"/>
  <c r="T19" i="233"/>
  <c r="S9" i="233"/>
  <c r="S19" i="233"/>
  <c r="R14" i="233"/>
  <c r="R12" i="233"/>
  <c r="T14" i="233"/>
  <c r="R18" i="233"/>
  <c r="R16" i="233"/>
  <c r="T18" i="233"/>
  <c r="S7" i="233"/>
  <c r="R13" i="233"/>
  <c r="R17" i="233"/>
  <c r="R10" i="233"/>
  <c r="T13" i="233"/>
  <c r="T17" i="233"/>
  <c r="R20" i="233"/>
  <c r="T20" i="233"/>
  <c r="T10" i="233"/>
  <c r="T12" i="233"/>
  <c r="T16" i="233"/>
  <c r="R11" i="233"/>
  <c r="S11" i="233"/>
  <c r="R8" i="233"/>
  <c r="T8" i="233"/>
  <c r="R7" i="233"/>
  <c r="AC34" i="231" l="1"/>
  <c r="AA34" i="231"/>
  <c r="Z34" i="231"/>
  <c r="AC25" i="231"/>
  <c r="AA25" i="231"/>
  <c r="Z25" i="231"/>
  <c r="AC16" i="231"/>
  <c r="AA16" i="231"/>
  <c r="Z16" i="231"/>
  <c r="D54" i="219" l="1"/>
  <c r="G47" i="234"/>
  <c r="H47" i="234"/>
  <c r="E47" i="234"/>
  <c r="J47" i="234"/>
  <c r="F47" i="234"/>
  <c r="G46" i="235"/>
  <c r="H46" i="235"/>
  <c r="E46" i="235"/>
  <c r="J46" i="235"/>
  <c r="F46" i="235"/>
  <c r="G46" i="236"/>
  <c r="H46" i="236"/>
  <c r="E46" i="236"/>
  <c r="J46" i="236"/>
  <c r="F46" i="236"/>
  <c r="J6" i="224"/>
  <c r="J6" i="223"/>
  <c r="H11" i="223" l="1"/>
  <c r="I8" i="223"/>
  <c r="B81" i="259" s="1"/>
  <c r="H10" i="223"/>
  <c r="H9" i="223"/>
  <c r="G8" i="223"/>
  <c r="G7" i="223"/>
  <c r="I7" i="223"/>
  <c r="H11" i="224"/>
  <c r="H10" i="224"/>
  <c r="I7" i="224"/>
  <c r="G7" i="224"/>
  <c r="H9" i="224"/>
  <c r="I8" i="224"/>
  <c r="B82" i="259" s="1"/>
  <c r="G8" i="224"/>
  <c r="D54" i="220"/>
  <c r="J6" i="222"/>
  <c r="F75" i="137"/>
  <c r="F23" i="233" s="1"/>
  <c r="H11" i="222" l="1"/>
  <c r="H10" i="222"/>
  <c r="G7" i="222"/>
  <c r="H9" i="222"/>
  <c r="I8" i="222"/>
  <c r="B80" i="259" s="1"/>
  <c r="G8" i="222"/>
  <c r="I7" i="222"/>
  <c r="J6" i="220"/>
  <c r="J6" i="219"/>
  <c r="J6" i="218"/>
  <c r="J21" i="132"/>
  <c r="H4" i="204" s="1"/>
  <c r="J22" i="132"/>
  <c r="H4" i="205" s="1"/>
  <c r="J23" i="132"/>
  <c r="H4" i="206" s="1"/>
  <c r="J24" i="132"/>
  <c r="H4" i="207" s="1"/>
  <c r="I21" i="132"/>
  <c r="C4" i="204" s="1"/>
  <c r="I22" i="132"/>
  <c r="C4" i="205" s="1"/>
  <c r="I23" i="132"/>
  <c r="C4" i="206" s="1"/>
  <c r="I24" i="132"/>
  <c r="C4" i="207" s="1"/>
  <c r="J6" i="217"/>
  <c r="H11" i="220" l="1"/>
  <c r="G7" i="220"/>
  <c r="H10" i="220"/>
  <c r="H9" i="220"/>
  <c r="I8" i="220"/>
  <c r="B79" i="259" s="1"/>
  <c r="G8" i="220"/>
  <c r="I7" i="220"/>
  <c r="H11" i="219"/>
  <c r="H10" i="219"/>
  <c r="H9" i="219"/>
  <c r="I8" i="219"/>
  <c r="B78" i="259" s="1"/>
  <c r="G8" i="219"/>
  <c r="I7" i="219"/>
  <c r="G7" i="219"/>
  <c r="H11" i="217"/>
  <c r="H10" i="217"/>
  <c r="H9" i="217"/>
  <c r="I8" i="217"/>
  <c r="B76" i="259" s="1"/>
  <c r="G8" i="217"/>
  <c r="G7" i="217"/>
  <c r="I7" i="217"/>
  <c r="H11" i="218"/>
  <c r="H10" i="218"/>
  <c r="H9" i="218"/>
  <c r="I8" i="218"/>
  <c r="B77" i="259" s="1"/>
  <c r="G8" i="218"/>
  <c r="I7" i="218"/>
  <c r="G7" i="218"/>
  <c r="J6" i="216"/>
  <c r="J6" i="215"/>
  <c r="J6" i="214"/>
  <c r="J6" i="213"/>
  <c r="J6" i="212"/>
  <c r="J6" i="211"/>
  <c r="J6" i="221"/>
  <c r="J6" i="208"/>
  <c r="J6" i="207"/>
  <c r="J6" i="206"/>
  <c r="J6" i="205"/>
  <c r="G27" i="204"/>
  <c r="J6" i="204"/>
  <c r="I8" i="206" l="1"/>
  <c r="B66" i="259" s="1"/>
  <c r="G7" i="206"/>
  <c r="G8" i="206"/>
  <c r="I7" i="206"/>
  <c r="H11" i="206"/>
  <c r="H10" i="206"/>
  <c r="H9" i="206"/>
  <c r="H9" i="207"/>
  <c r="I7" i="207"/>
  <c r="I8" i="207"/>
  <c r="B67" i="259" s="1"/>
  <c r="G8" i="207"/>
  <c r="G7" i="207"/>
  <c r="H11" i="207"/>
  <c r="H10" i="207"/>
  <c r="G8" i="205"/>
  <c r="I7" i="205"/>
  <c r="G7" i="205"/>
  <c r="H11" i="205"/>
  <c r="H9" i="205"/>
  <c r="I8" i="205"/>
  <c r="B65" i="259" s="1"/>
  <c r="H10" i="205"/>
  <c r="H10" i="208"/>
  <c r="G8" i="208"/>
  <c r="H9" i="208"/>
  <c r="I8" i="208"/>
  <c r="B68" i="259" s="1"/>
  <c r="I7" i="208"/>
  <c r="H11" i="208"/>
  <c r="G7" i="208"/>
  <c r="I7" i="204"/>
  <c r="H11" i="204"/>
  <c r="G7" i="204"/>
  <c r="H10" i="204"/>
  <c r="I8" i="204"/>
  <c r="B64" i="259" s="1"/>
  <c r="G8" i="204"/>
  <c r="H9" i="204"/>
  <c r="H11" i="216"/>
  <c r="H10" i="216"/>
  <c r="H9" i="216"/>
  <c r="I8" i="216"/>
  <c r="B75" i="259" s="1"/>
  <c r="G7" i="216"/>
  <c r="G8" i="216"/>
  <c r="I7" i="216"/>
  <c r="H11" i="213"/>
  <c r="H10" i="213"/>
  <c r="H9" i="213"/>
  <c r="I8" i="213"/>
  <c r="B72" i="259" s="1"/>
  <c r="G8" i="213"/>
  <c r="G7" i="213"/>
  <c r="I7" i="213"/>
  <c r="H11" i="215"/>
  <c r="H10" i="215"/>
  <c r="H9" i="215"/>
  <c r="G7" i="215"/>
  <c r="I8" i="215"/>
  <c r="B74" i="259" s="1"/>
  <c r="G8" i="215"/>
  <c r="I7" i="215"/>
  <c r="H10" i="214"/>
  <c r="H9" i="214"/>
  <c r="I8" i="214"/>
  <c r="B73" i="259" s="1"/>
  <c r="G8" i="214"/>
  <c r="I7" i="214"/>
  <c r="G7" i="214"/>
  <c r="H11" i="214"/>
  <c r="H11" i="221"/>
  <c r="I7" i="221"/>
  <c r="H10" i="221"/>
  <c r="H9" i="221"/>
  <c r="G7" i="221"/>
  <c r="I8" i="221"/>
  <c r="B69" i="259" s="1"/>
  <c r="G8" i="221"/>
  <c r="H11" i="211"/>
  <c r="G7" i="211"/>
  <c r="H10" i="211"/>
  <c r="H9" i="211"/>
  <c r="I8" i="211"/>
  <c r="B70" i="259" s="1"/>
  <c r="G8" i="211"/>
  <c r="I7" i="211"/>
  <c r="H10" i="212"/>
  <c r="I8" i="212"/>
  <c r="B71" i="259" s="1"/>
  <c r="H9" i="212"/>
  <c r="G8" i="212"/>
  <c r="I7" i="212"/>
  <c r="G7" i="212"/>
  <c r="H11" i="212"/>
  <c r="D17" i="234"/>
  <c r="D17" i="235"/>
  <c r="D17" i="236"/>
  <c r="J6" i="202" l="1"/>
  <c r="H9" i="202" s="1"/>
  <c r="H11" i="202" l="1"/>
  <c r="H10" i="202"/>
  <c r="I8" i="202"/>
  <c r="B63" i="259" s="1"/>
  <c r="G8" i="202"/>
  <c r="I7" i="202"/>
  <c r="G7" i="202"/>
  <c r="Z62" i="132"/>
  <c r="Z61" i="132"/>
  <c r="Z60" i="132"/>
  <c r="Z59" i="132"/>
  <c r="Z58" i="132"/>
  <c r="Z57" i="132"/>
  <c r="Z56" i="132"/>
  <c r="Z55" i="132"/>
  <c r="Z54" i="132"/>
  <c r="Z53" i="132"/>
  <c r="Z52" i="132"/>
  <c r="Z51" i="132"/>
  <c r="Z50" i="132"/>
  <c r="Z49" i="132"/>
  <c r="Z48" i="132"/>
  <c r="Z47" i="132"/>
  <c r="Z69" i="132"/>
  <c r="Z68" i="132"/>
  <c r="Z67" i="132"/>
  <c r="Z66" i="132"/>
  <c r="Z65" i="132"/>
  <c r="Z64" i="132"/>
  <c r="Z63" i="132"/>
  <c r="F78" i="137"/>
  <c r="F26" i="233" s="1"/>
  <c r="F77" i="137"/>
  <c r="F25" i="233" s="1"/>
  <c r="C80" i="132"/>
  <c r="F19" i="262" s="1"/>
  <c r="F19" i="261" l="1"/>
  <c r="F19" i="259"/>
  <c r="F19" i="254"/>
  <c r="F19" i="235"/>
  <c r="F19" i="234"/>
  <c r="F19" i="236"/>
  <c r="W34" i="231"/>
  <c r="U34" i="231"/>
  <c r="T34" i="231"/>
  <c r="Q34" i="231"/>
  <c r="O34" i="231"/>
  <c r="N34" i="231"/>
  <c r="K34" i="231"/>
  <c r="I34" i="231"/>
  <c r="H34" i="231"/>
  <c r="E34" i="231"/>
  <c r="C34" i="231"/>
  <c r="W25" i="231"/>
  <c r="U25" i="231"/>
  <c r="T25" i="231"/>
  <c r="Q25" i="231"/>
  <c r="O25" i="231"/>
  <c r="N25" i="231"/>
  <c r="K25" i="231"/>
  <c r="I25" i="231"/>
  <c r="H25" i="231"/>
  <c r="E25" i="231"/>
  <c r="W16" i="231"/>
  <c r="U16" i="231"/>
  <c r="T16" i="231"/>
  <c r="Q16" i="231"/>
  <c r="O16" i="231"/>
  <c r="N16" i="231"/>
  <c r="K16" i="231"/>
  <c r="I16" i="231"/>
  <c r="E16" i="231"/>
  <c r="AC7" i="231"/>
  <c r="AA7" i="231"/>
  <c r="Z7" i="231"/>
  <c r="W7" i="231"/>
  <c r="U7" i="231"/>
  <c r="T7" i="231"/>
  <c r="Q7" i="231"/>
  <c r="O7" i="231"/>
  <c r="N7" i="231"/>
  <c r="K7" i="231"/>
  <c r="I7" i="231"/>
  <c r="E7" i="231"/>
  <c r="F76" i="137"/>
  <c r="F24" i="233" s="1"/>
  <c r="E49" i="218" l="1"/>
  <c r="E41" i="224"/>
  <c r="E40" i="224"/>
  <c r="F41" i="224"/>
  <c r="F40" i="224"/>
  <c r="C41" i="224"/>
  <c r="C40" i="224"/>
  <c r="E49" i="224"/>
  <c r="D49" i="224"/>
  <c r="C49" i="224"/>
  <c r="C75" i="224"/>
  <c r="C76" i="224" s="1"/>
  <c r="D75" i="224"/>
  <c r="D76" i="224" s="1"/>
  <c r="E49" i="223"/>
  <c r="D49" i="223"/>
  <c r="C49" i="223"/>
  <c r="B75" i="223"/>
  <c r="C75" i="223"/>
  <c r="C76" i="223" s="1"/>
  <c r="C41" i="223"/>
  <c r="C40" i="223"/>
  <c r="E49" i="222"/>
  <c r="D49" i="222"/>
  <c r="C49" i="222"/>
  <c r="C75" i="222"/>
  <c r="C76" i="222" s="1"/>
  <c r="C41" i="222"/>
  <c r="C40" i="222"/>
  <c r="E49" i="220"/>
  <c r="D49" i="220"/>
  <c r="C49" i="220"/>
  <c r="C75" i="220"/>
  <c r="C76" i="220" s="1"/>
  <c r="C41" i="220"/>
  <c r="C40" i="220"/>
  <c r="B75" i="219"/>
  <c r="B76" i="219" s="1"/>
  <c r="C75" i="219"/>
  <c r="C76" i="219" s="1"/>
  <c r="E49" i="219"/>
  <c r="D49" i="219"/>
  <c r="C49" i="219"/>
  <c r="C41" i="219"/>
  <c r="C40" i="219"/>
  <c r="D49" i="218"/>
  <c r="C49" i="218"/>
  <c r="C75" i="218"/>
  <c r="C76" i="218" s="1"/>
  <c r="C41" i="218"/>
  <c r="C40" i="218"/>
  <c r="E49" i="217"/>
  <c r="D49" i="217"/>
  <c r="C49" i="217"/>
  <c r="B75" i="217"/>
  <c r="B76" i="217" s="1"/>
  <c r="C75" i="217"/>
  <c r="C76" i="217" s="1"/>
  <c r="C41" i="217"/>
  <c r="C40" i="217"/>
  <c r="E49" i="216"/>
  <c r="D49" i="216"/>
  <c r="C49" i="216"/>
  <c r="C75" i="216"/>
  <c r="C76" i="216" s="1"/>
  <c r="C41" i="216"/>
  <c r="C40" i="216"/>
  <c r="E49" i="215"/>
  <c r="D49" i="215"/>
  <c r="C49" i="215"/>
  <c r="C75" i="215"/>
  <c r="C76" i="215" s="1"/>
  <c r="C41" i="215"/>
  <c r="C40" i="215"/>
  <c r="E49" i="214"/>
  <c r="D49" i="214"/>
  <c r="C49" i="214"/>
  <c r="B75" i="214"/>
  <c r="B76" i="214" s="1"/>
  <c r="C75" i="214"/>
  <c r="C76" i="214" s="1"/>
  <c r="C41" i="214"/>
  <c r="C40" i="214"/>
  <c r="E49" i="213"/>
  <c r="D49" i="213"/>
  <c r="C49" i="213"/>
  <c r="C75" i="213"/>
  <c r="C76" i="213" s="1"/>
  <c r="C41" i="213"/>
  <c r="C40" i="213"/>
  <c r="E49" i="212"/>
  <c r="D49" i="212"/>
  <c r="C49" i="212"/>
  <c r="B75" i="212"/>
  <c r="B76" i="212" s="1"/>
  <c r="C75" i="212"/>
  <c r="C76" i="212" s="1"/>
  <c r="C41" i="212"/>
  <c r="C40" i="212"/>
  <c r="E49" i="211"/>
  <c r="D49" i="211"/>
  <c r="C49" i="211"/>
  <c r="C75" i="211"/>
  <c r="C76" i="211" s="1"/>
  <c r="C41" i="211"/>
  <c r="C40" i="211"/>
  <c r="E49" i="221"/>
  <c r="D49" i="221"/>
  <c r="C49" i="221"/>
  <c r="C75" i="221"/>
  <c r="C76" i="221" s="1"/>
  <c r="C41" i="221"/>
  <c r="C40" i="221"/>
  <c r="E49" i="208"/>
  <c r="D49" i="208"/>
  <c r="C49" i="208"/>
  <c r="C75" i="208"/>
  <c r="C76" i="208" s="1"/>
  <c r="C41" i="208"/>
  <c r="C40" i="208"/>
  <c r="C49" i="207"/>
  <c r="D49" i="207"/>
  <c r="E49" i="207"/>
  <c r="C41" i="207"/>
  <c r="C40" i="207"/>
  <c r="E49" i="206"/>
  <c r="D49" i="206"/>
  <c r="C49" i="206"/>
  <c r="B75" i="206"/>
  <c r="B76" i="206" s="1"/>
  <c r="C75" i="206"/>
  <c r="C76" i="206" s="1"/>
  <c r="C41" i="206"/>
  <c r="C40" i="206"/>
  <c r="E49" i="205"/>
  <c r="D49" i="205"/>
  <c r="C49" i="205"/>
  <c r="C75" i="205"/>
  <c r="C76" i="205" s="1"/>
  <c r="C41" i="205"/>
  <c r="C40" i="205"/>
  <c r="E49" i="204"/>
  <c r="D49" i="204"/>
  <c r="C49" i="204"/>
  <c r="C75" i="204"/>
  <c r="C76" i="204" s="1"/>
  <c r="C41" i="204"/>
  <c r="C40" i="204"/>
  <c r="E49" i="202"/>
  <c r="D49" i="202"/>
  <c r="C49" i="202"/>
  <c r="C75" i="202"/>
  <c r="C76" i="202" s="1"/>
  <c r="C41" i="202"/>
  <c r="C40" i="202"/>
  <c r="C60" i="202"/>
  <c r="G27" i="205"/>
  <c r="G27" i="201"/>
  <c r="I25" i="132"/>
  <c r="J25" i="132"/>
  <c r="I26" i="132"/>
  <c r="J26" i="132"/>
  <c r="I27" i="132"/>
  <c r="J27" i="132"/>
  <c r="C25" i="132"/>
  <c r="D25" i="132"/>
  <c r="E25" i="132"/>
  <c r="F25" i="132"/>
  <c r="G25" i="132"/>
  <c r="D4" i="208" s="1"/>
  <c r="C26" i="132"/>
  <c r="D26" i="132"/>
  <c r="E26" i="132"/>
  <c r="F26" i="132"/>
  <c r="G26" i="132"/>
  <c r="D4" i="221" s="1"/>
  <c r="C27" i="132"/>
  <c r="D27" i="132"/>
  <c r="E27" i="132"/>
  <c r="F27" i="132"/>
  <c r="G27" i="132"/>
  <c r="D4" i="211" s="1"/>
  <c r="C64" i="222"/>
  <c r="C64" i="223"/>
  <c r="C64" i="224"/>
  <c r="D15" i="234"/>
  <c r="D16" i="234"/>
  <c r="D15" i="235"/>
  <c r="D16" i="235"/>
  <c r="D15" i="236"/>
  <c r="D16" i="236"/>
  <c r="C78" i="137"/>
  <c r="C26" i="233" s="1"/>
  <c r="C77" i="137"/>
  <c r="C25" i="233" s="1"/>
  <c r="C76" i="137"/>
  <c r="C24" i="233" s="1"/>
  <c r="E78" i="137"/>
  <c r="E26" i="233" s="1"/>
  <c r="L26" i="233" s="1"/>
  <c r="E76" i="137"/>
  <c r="E24" i="233" s="1"/>
  <c r="J46" i="137"/>
  <c r="H46" i="137"/>
  <c r="G46" i="137"/>
  <c r="F46" i="137"/>
  <c r="E46" i="137"/>
  <c r="F59" i="224"/>
  <c r="D41" i="224"/>
  <c r="D40" i="224"/>
  <c r="G27" i="224"/>
  <c r="J15" i="224"/>
  <c r="G15" i="224"/>
  <c r="C67" i="224" s="1"/>
  <c r="I14" i="224"/>
  <c r="G14" i="224"/>
  <c r="C65" i="224"/>
  <c r="C60" i="224"/>
  <c r="F59" i="223"/>
  <c r="F41" i="223"/>
  <c r="E41" i="223"/>
  <c r="D41" i="223"/>
  <c r="F40" i="223"/>
  <c r="E40" i="223"/>
  <c r="D40" i="223"/>
  <c r="G27" i="223"/>
  <c r="J15" i="223"/>
  <c r="G15" i="223"/>
  <c r="C67" i="223" s="1"/>
  <c r="I14" i="223"/>
  <c r="G14" i="223"/>
  <c r="C65" i="223"/>
  <c r="C61" i="223"/>
  <c r="F59" i="222"/>
  <c r="F41" i="222"/>
  <c r="E41" i="222"/>
  <c r="D41" i="222"/>
  <c r="F40" i="222"/>
  <c r="E40" i="222"/>
  <c r="D40" i="222"/>
  <c r="G27" i="222"/>
  <c r="J15" i="222"/>
  <c r="G15" i="222"/>
  <c r="C67" i="222" s="1"/>
  <c r="I14" i="222"/>
  <c r="G14" i="222"/>
  <c r="C65" i="222"/>
  <c r="C61" i="222"/>
  <c r="F59" i="221"/>
  <c r="F41" i="221"/>
  <c r="E41" i="221"/>
  <c r="D41" i="221"/>
  <c r="F40" i="221"/>
  <c r="E40" i="221"/>
  <c r="D40" i="221"/>
  <c r="G27" i="221"/>
  <c r="J15" i="221"/>
  <c r="G15" i="221"/>
  <c r="C67" i="221" s="1"/>
  <c r="I14" i="221"/>
  <c r="G14" i="221"/>
  <c r="C65" i="221"/>
  <c r="C60" i="221"/>
  <c r="F59" i="220"/>
  <c r="F41" i="220"/>
  <c r="E41" i="220"/>
  <c r="D41" i="220"/>
  <c r="F40" i="220"/>
  <c r="E40" i="220"/>
  <c r="D40" i="220"/>
  <c r="G27" i="220"/>
  <c r="J15" i="220"/>
  <c r="G15" i="220"/>
  <c r="C67" i="220" s="1"/>
  <c r="I14" i="220"/>
  <c r="G14" i="220"/>
  <c r="C65" i="220"/>
  <c r="C61" i="220"/>
  <c r="F59" i="219"/>
  <c r="F41" i="219"/>
  <c r="E41" i="219"/>
  <c r="D41" i="219"/>
  <c r="F40" i="219"/>
  <c r="E40" i="219"/>
  <c r="D40" i="219"/>
  <c r="G27" i="219"/>
  <c r="J15" i="219"/>
  <c r="G15" i="219"/>
  <c r="C67" i="219" s="1"/>
  <c r="I14" i="219"/>
  <c r="G14" i="219"/>
  <c r="C65" i="219"/>
  <c r="C60" i="219"/>
  <c r="F59" i="218"/>
  <c r="F41" i="218"/>
  <c r="E41" i="218"/>
  <c r="D41" i="218"/>
  <c r="F40" i="218"/>
  <c r="E40" i="218"/>
  <c r="D40" i="218"/>
  <c r="G27" i="218"/>
  <c r="J15" i="218"/>
  <c r="G15" i="218"/>
  <c r="C67" i="218" s="1"/>
  <c r="I14" i="218"/>
  <c r="G14" i="218"/>
  <c r="C65" i="218"/>
  <c r="C60" i="218"/>
  <c r="F59" i="217"/>
  <c r="F41" i="217"/>
  <c r="E41" i="217"/>
  <c r="D41" i="217"/>
  <c r="F40" i="217"/>
  <c r="E40" i="217"/>
  <c r="D40" i="217"/>
  <c r="G27" i="217"/>
  <c r="J15" i="217"/>
  <c r="G15" i="217"/>
  <c r="C67" i="217" s="1"/>
  <c r="I14" i="217"/>
  <c r="G14" i="217"/>
  <c r="C65" i="217"/>
  <c r="C60" i="217"/>
  <c r="F59" i="216"/>
  <c r="F41" i="216"/>
  <c r="E41" i="216"/>
  <c r="D41" i="216"/>
  <c r="F40" i="216"/>
  <c r="E40" i="216"/>
  <c r="D40" i="216"/>
  <c r="G27" i="216"/>
  <c r="J15" i="216"/>
  <c r="G15" i="216"/>
  <c r="C67" i="216" s="1"/>
  <c r="I14" i="216"/>
  <c r="G14" i="216"/>
  <c r="C65" i="216"/>
  <c r="C60" i="216"/>
  <c r="J45" i="137"/>
  <c r="H45" i="137"/>
  <c r="G45" i="137"/>
  <c r="F45" i="137"/>
  <c r="E45" i="137"/>
  <c r="F37" i="137"/>
  <c r="F59" i="215"/>
  <c r="F41" i="215"/>
  <c r="E41" i="215"/>
  <c r="D41" i="215"/>
  <c r="F40" i="215"/>
  <c r="E40" i="215"/>
  <c r="D40" i="215"/>
  <c r="G27" i="215"/>
  <c r="J15" i="215"/>
  <c r="G15" i="215"/>
  <c r="C67" i="215" s="1"/>
  <c r="I14" i="215"/>
  <c r="G14" i="215"/>
  <c r="C65" i="215"/>
  <c r="F59" i="214"/>
  <c r="F41" i="214"/>
  <c r="E41" i="214"/>
  <c r="D41" i="214"/>
  <c r="F40" i="214"/>
  <c r="E40" i="214"/>
  <c r="D40" i="214"/>
  <c r="G27" i="214"/>
  <c r="J15" i="214"/>
  <c r="G15" i="214"/>
  <c r="C67" i="214" s="1"/>
  <c r="I14" i="214"/>
  <c r="G14" i="214"/>
  <c r="C65" i="214"/>
  <c r="C61" i="214"/>
  <c r="F59" i="213"/>
  <c r="F41" i="213"/>
  <c r="E41" i="213"/>
  <c r="D41" i="213"/>
  <c r="F40" i="213"/>
  <c r="E40" i="213"/>
  <c r="D40" i="213"/>
  <c r="G27" i="213"/>
  <c r="J15" i="213"/>
  <c r="G15" i="213"/>
  <c r="C67" i="213" s="1"/>
  <c r="I14" i="213"/>
  <c r="G14" i="213"/>
  <c r="C65" i="213"/>
  <c r="C61" i="213"/>
  <c r="F59" i="212"/>
  <c r="F41" i="212"/>
  <c r="E41" i="212"/>
  <c r="D41" i="212"/>
  <c r="F40" i="212"/>
  <c r="E40" i="212"/>
  <c r="D40" i="212"/>
  <c r="G27" i="212"/>
  <c r="J15" i="212"/>
  <c r="G15" i="212"/>
  <c r="C67" i="212" s="1"/>
  <c r="I14" i="212"/>
  <c r="G14" i="212"/>
  <c r="C65" i="212"/>
  <c r="C61" i="212"/>
  <c r="F59" i="211"/>
  <c r="F41" i="211"/>
  <c r="E41" i="211"/>
  <c r="D41" i="211"/>
  <c r="F40" i="211"/>
  <c r="E40" i="211"/>
  <c r="D40" i="211"/>
  <c r="G27" i="211"/>
  <c r="J15" i="211"/>
  <c r="G15" i="211"/>
  <c r="C67" i="211" s="1"/>
  <c r="I14" i="211"/>
  <c r="G14" i="211"/>
  <c r="C65" i="211"/>
  <c r="F59" i="208"/>
  <c r="F41" i="208"/>
  <c r="E41" i="208"/>
  <c r="D41" i="208"/>
  <c r="F40" i="208"/>
  <c r="E40" i="208"/>
  <c r="D40" i="208"/>
  <c r="G27" i="208"/>
  <c r="J15" i="208"/>
  <c r="G15" i="208"/>
  <c r="C67" i="208" s="1"/>
  <c r="I14" i="208"/>
  <c r="G14" i="208"/>
  <c r="C65" i="208"/>
  <c r="C60" i="208"/>
  <c r="F59" i="207"/>
  <c r="F41" i="207"/>
  <c r="E41" i="207"/>
  <c r="D41" i="207"/>
  <c r="F40" i="207"/>
  <c r="E40" i="207"/>
  <c r="D40" i="207"/>
  <c r="G27" i="207"/>
  <c r="J15" i="207"/>
  <c r="G15" i="207"/>
  <c r="C67" i="207" s="1"/>
  <c r="I14" i="207"/>
  <c r="G14" i="207"/>
  <c r="C65" i="207"/>
  <c r="C61" i="207"/>
  <c r="C75" i="207"/>
  <c r="C76" i="207" s="1"/>
  <c r="B75" i="207"/>
  <c r="F59" i="206"/>
  <c r="F41" i="206"/>
  <c r="E41" i="206"/>
  <c r="D41" i="206"/>
  <c r="F40" i="206"/>
  <c r="E40" i="206"/>
  <c r="D40" i="206"/>
  <c r="G27" i="206"/>
  <c r="J15" i="206"/>
  <c r="G15" i="206"/>
  <c r="C67" i="206" s="1"/>
  <c r="I14" i="206"/>
  <c r="G14" i="206"/>
  <c r="C65" i="206"/>
  <c r="C60" i="206"/>
  <c r="F59" i="205"/>
  <c r="F41" i="205"/>
  <c r="E41" i="205"/>
  <c r="D41" i="205"/>
  <c r="F40" i="205"/>
  <c r="E40" i="205"/>
  <c r="D40" i="205"/>
  <c r="J15" i="205"/>
  <c r="G15" i="205"/>
  <c r="C67" i="205" s="1"/>
  <c r="I14" i="205"/>
  <c r="G14" i="205"/>
  <c r="C65" i="205"/>
  <c r="C60" i="205"/>
  <c r="F59" i="204"/>
  <c r="F41" i="204"/>
  <c r="E41" i="204"/>
  <c r="D41" i="204"/>
  <c r="F40" i="204"/>
  <c r="E40" i="204"/>
  <c r="D40" i="204"/>
  <c r="J15" i="204"/>
  <c r="G15" i="204"/>
  <c r="C67" i="204" s="1"/>
  <c r="I14" i="204"/>
  <c r="G14" i="204"/>
  <c r="C65" i="204"/>
  <c r="F59" i="202"/>
  <c r="F41" i="202"/>
  <c r="E41" i="202"/>
  <c r="D41" i="202"/>
  <c r="F40" i="202"/>
  <c r="E40" i="202"/>
  <c r="D40" i="202"/>
  <c r="G27" i="202"/>
  <c r="J15" i="202"/>
  <c r="G15" i="202"/>
  <c r="C67" i="202" s="1"/>
  <c r="I14" i="202"/>
  <c r="G14" i="202"/>
  <c r="C65" i="202"/>
  <c r="C64" i="202"/>
  <c r="A9" i="231"/>
  <c r="B110" i="137"/>
  <c r="I109" i="137"/>
  <c r="N179" i="132"/>
  <c r="B37" i="137"/>
  <c r="C64" i="201"/>
  <c r="C73" i="137"/>
  <c r="C21" i="233" s="1"/>
  <c r="C69" i="137"/>
  <c r="C17" i="233" s="1"/>
  <c r="C61" i="137"/>
  <c r="C9" i="233" s="1"/>
  <c r="C65" i="137"/>
  <c r="C13" i="233" s="1"/>
  <c r="Z30" i="132"/>
  <c r="C15" i="224" s="1"/>
  <c r="Z29" i="132"/>
  <c r="C59" i="137"/>
  <c r="C7" i="233" s="1"/>
  <c r="E77" i="137"/>
  <c r="E25" i="233" s="1"/>
  <c r="L25" i="233" s="1"/>
  <c r="F59" i="201"/>
  <c r="E49" i="201"/>
  <c r="D49" i="201"/>
  <c r="C49" i="201"/>
  <c r="F41" i="201"/>
  <c r="E41" i="201"/>
  <c r="D41" i="201"/>
  <c r="C41" i="201"/>
  <c r="F40" i="201"/>
  <c r="E40" i="201"/>
  <c r="D40" i="201"/>
  <c r="C40" i="201"/>
  <c r="J15" i="201"/>
  <c r="G15" i="201"/>
  <c r="C67" i="201" s="1"/>
  <c r="I14" i="201"/>
  <c r="G14" i="201"/>
  <c r="C65" i="201"/>
  <c r="C61" i="201"/>
  <c r="C75" i="201"/>
  <c r="C76" i="201" s="1"/>
  <c r="E60" i="137"/>
  <c r="E8" i="233" s="1"/>
  <c r="E61" i="137"/>
  <c r="E9" i="233" s="1"/>
  <c r="E62" i="137"/>
  <c r="E10" i="233" s="1"/>
  <c r="E63" i="137"/>
  <c r="E11" i="233" s="1"/>
  <c r="E64" i="137"/>
  <c r="E12" i="233" s="1"/>
  <c r="E65" i="137"/>
  <c r="E13" i="233" s="1"/>
  <c r="E66" i="137"/>
  <c r="E14" i="233" s="1"/>
  <c r="E67" i="137"/>
  <c r="E15" i="233" s="1"/>
  <c r="E68" i="137"/>
  <c r="E16" i="233" s="1"/>
  <c r="E69" i="137"/>
  <c r="E17" i="233" s="1"/>
  <c r="E70" i="137"/>
  <c r="E18" i="233" s="1"/>
  <c r="E71" i="137"/>
  <c r="E19" i="233" s="1"/>
  <c r="E72" i="137"/>
  <c r="E20" i="233" s="1"/>
  <c r="E73" i="137"/>
  <c r="E74" i="137"/>
  <c r="E22" i="233" s="1"/>
  <c r="E75" i="137"/>
  <c r="E23" i="233" s="1"/>
  <c r="L23" i="233" s="1"/>
  <c r="C60" i="137"/>
  <c r="C8" i="233" s="1"/>
  <c r="C62" i="137"/>
  <c r="C10" i="233" s="1"/>
  <c r="C63" i="137"/>
  <c r="C11" i="233" s="1"/>
  <c r="C64" i="137"/>
  <c r="C12" i="233" s="1"/>
  <c r="C66" i="137"/>
  <c r="C14" i="233" s="1"/>
  <c r="C67" i="137"/>
  <c r="C15" i="233" s="1"/>
  <c r="C68" i="137"/>
  <c r="C16" i="233" s="1"/>
  <c r="C70" i="137"/>
  <c r="C18" i="233" s="1"/>
  <c r="C71" i="137"/>
  <c r="C19" i="233" s="1"/>
  <c r="C72" i="137"/>
  <c r="C20" i="233" s="1"/>
  <c r="C74" i="137"/>
  <c r="C22" i="233" s="1"/>
  <c r="C75" i="137"/>
  <c r="C23" i="233" s="1"/>
  <c r="F74" i="137"/>
  <c r="F22" i="233" s="1"/>
  <c r="J37" i="137"/>
  <c r="C64" i="205"/>
  <c r="C64" i="206"/>
  <c r="C64" i="207"/>
  <c r="C64" i="208"/>
  <c r="C64" i="221"/>
  <c r="C64" i="211"/>
  <c r="C64" i="212"/>
  <c r="C64" i="213"/>
  <c r="C64" i="214"/>
  <c r="C64" i="215"/>
  <c r="C64" i="216"/>
  <c r="C64" i="217"/>
  <c r="C64" i="218"/>
  <c r="C64" i="219"/>
  <c r="C64" i="220"/>
  <c r="C64" i="204"/>
  <c r="D17" i="137"/>
  <c r="A22" i="137"/>
  <c r="E24" i="137"/>
  <c r="G20" i="132"/>
  <c r="D4" i="202" s="1"/>
  <c r="G21" i="132"/>
  <c r="D4" i="204" s="1"/>
  <c r="G22" i="132"/>
  <c r="D4" i="205" s="1"/>
  <c r="G23" i="132"/>
  <c r="D4" i="206" s="1"/>
  <c r="G24" i="132"/>
  <c r="D4" i="207" s="1"/>
  <c r="W179" i="132"/>
  <c r="W178" i="132"/>
  <c r="W177" i="132"/>
  <c r="W176" i="132"/>
  <c r="W175" i="132"/>
  <c r="V179" i="132"/>
  <c r="V178" i="132"/>
  <c r="V177" i="132"/>
  <c r="V176" i="132"/>
  <c r="T176" i="132"/>
  <c r="V175" i="132"/>
  <c r="U179" i="132"/>
  <c r="U178" i="132"/>
  <c r="U177" i="132"/>
  <c r="U176" i="132"/>
  <c r="U175" i="132"/>
  <c r="T179" i="132"/>
  <c r="T178" i="132"/>
  <c r="T177" i="132"/>
  <c r="T175" i="132"/>
  <c r="S179" i="132"/>
  <c r="R179" i="132"/>
  <c r="S178" i="132"/>
  <c r="R178" i="132"/>
  <c r="S177" i="132"/>
  <c r="R177" i="132"/>
  <c r="R176" i="132"/>
  <c r="S176" i="132"/>
  <c r="S175" i="132"/>
  <c r="R175" i="132"/>
  <c r="N173" i="132"/>
  <c r="M173" i="132"/>
  <c r="L173" i="132"/>
  <c r="K173" i="132"/>
  <c r="N177" i="132"/>
  <c r="M177" i="132"/>
  <c r="N176" i="132"/>
  <c r="M176" i="132"/>
  <c r="M179" i="132"/>
  <c r="N178" i="132"/>
  <c r="M178" i="132"/>
  <c r="N175" i="132"/>
  <c r="M175" i="132"/>
  <c r="L175" i="132"/>
  <c r="L178" i="132"/>
  <c r="L179" i="132"/>
  <c r="L176" i="132"/>
  <c r="L177" i="132"/>
  <c r="K177" i="132"/>
  <c r="K176" i="132"/>
  <c r="K179" i="132"/>
  <c r="K178" i="132"/>
  <c r="K175" i="132"/>
  <c r="J175" i="132"/>
  <c r="J178" i="132"/>
  <c r="J179" i="132"/>
  <c r="J176" i="132"/>
  <c r="J177" i="132"/>
  <c r="F24" i="132"/>
  <c r="G4" i="207" s="1"/>
  <c r="E24" i="132"/>
  <c r="F4" i="207" s="1"/>
  <c r="D24" i="132"/>
  <c r="B4" i="207" s="1"/>
  <c r="C24" i="132"/>
  <c r="A4" i="207" s="1"/>
  <c r="F23" i="132"/>
  <c r="G4" i="206" s="1"/>
  <c r="E23" i="132"/>
  <c r="F4" i="206" s="1"/>
  <c r="D23" i="132"/>
  <c r="B4" i="206" s="1"/>
  <c r="C23" i="132"/>
  <c r="A4" i="206" s="1"/>
  <c r="F22" i="132"/>
  <c r="G4" i="205" s="1"/>
  <c r="E22" i="132"/>
  <c r="F4" i="205" s="1"/>
  <c r="D22" i="132"/>
  <c r="B4" i="205" s="1"/>
  <c r="C22" i="132"/>
  <c r="A4" i="205" s="1"/>
  <c r="F21" i="132"/>
  <c r="G4" i="204" s="1"/>
  <c r="E21" i="132"/>
  <c r="F4" i="204" s="1"/>
  <c r="D21" i="132"/>
  <c r="B4" i="204" s="1"/>
  <c r="C21" i="132"/>
  <c r="A4" i="204" s="1"/>
  <c r="J20" i="132"/>
  <c r="H4" i="202" s="1"/>
  <c r="I20" i="132"/>
  <c r="C4" i="202" s="1"/>
  <c r="F20" i="132"/>
  <c r="G4" i="202" s="1"/>
  <c r="E20" i="132"/>
  <c r="F4" i="202" s="1"/>
  <c r="D20" i="132"/>
  <c r="B4" i="202" s="1"/>
  <c r="A4" i="202"/>
  <c r="Q143" i="132"/>
  <c r="Q179" i="132" s="1"/>
  <c r="O133" i="132"/>
  <c r="O178" i="132" s="1"/>
  <c r="I110" i="137"/>
  <c r="Z46" i="132"/>
  <c r="Z45" i="132"/>
  <c r="Z44" i="132"/>
  <c r="Z43" i="132"/>
  <c r="C15" i="216" s="1"/>
  <c r="Z42" i="132"/>
  <c r="C15" i="215" s="1"/>
  <c r="Z41" i="132"/>
  <c r="Z40" i="132"/>
  <c r="Z39" i="132"/>
  <c r="C15" i="212" s="1"/>
  <c r="Z38" i="132"/>
  <c r="C15" i="211" s="1"/>
  <c r="Z37" i="132"/>
  <c r="Z36" i="132"/>
  <c r="Z35" i="132"/>
  <c r="C15" i="207" s="1"/>
  <c r="Z34" i="132"/>
  <c r="C15" i="206" s="1"/>
  <c r="Z33" i="132"/>
  <c r="Z32" i="132"/>
  <c r="Z31" i="132"/>
  <c r="C15" i="202" s="1"/>
  <c r="Z28" i="132"/>
  <c r="Z27" i="132"/>
  <c r="Z26" i="132"/>
  <c r="Z25" i="132"/>
  <c r="Z24" i="132"/>
  <c r="Z23" i="132"/>
  <c r="Z22" i="132"/>
  <c r="Z21" i="132"/>
  <c r="Z20" i="132"/>
  <c r="Z19" i="132"/>
  <c r="Z18" i="132"/>
  <c r="Z17" i="132"/>
  <c r="Z16" i="132"/>
  <c r="Z15" i="132"/>
  <c r="Z14" i="132"/>
  <c r="Z13" i="132"/>
  <c r="Z12" i="132"/>
  <c r="Q163" i="132"/>
  <c r="Q177" i="132" s="1"/>
  <c r="P163" i="132"/>
  <c r="P177" i="132" s="1"/>
  <c r="O163" i="132"/>
  <c r="O177" i="132" s="1"/>
  <c r="Q153" i="132"/>
  <c r="Q176" i="132" s="1"/>
  <c r="P153" i="132"/>
  <c r="P176" i="132" s="1"/>
  <c r="O153" i="132"/>
  <c r="O176" i="132" s="1"/>
  <c r="P143" i="132"/>
  <c r="P179" i="132" s="1"/>
  <c r="O143" i="132"/>
  <c r="O179" i="132" s="1"/>
  <c r="Q133" i="132"/>
  <c r="Q178" i="132" s="1"/>
  <c r="P133" i="132"/>
  <c r="P178" i="132" s="1"/>
  <c r="Q123" i="132"/>
  <c r="Q175" i="132" s="1"/>
  <c r="P123" i="132"/>
  <c r="P175" i="132" s="1"/>
  <c r="O123" i="132"/>
  <c r="O175" i="132" s="1"/>
  <c r="F73" i="137"/>
  <c r="F21" i="233" s="1"/>
  <c r="F72" i="137"/>
  <c r="F20" i="233" s="1"/>
  <c r="F71" i="137"/>
  <c r="F19" i="233" s="1"/>
  <c r="F70" i="137"/>
  <c r="F18" i="233" s="1"/>
  <c r="F69" i="137"/>
  <c r="F17" i="233" s="1"/>
  <c r="F68" i="137"/>
  <c r="F16" i="233" s="1"/>
  <c r="F67" i="137"/>
  <c r="F15" i="233" s="1"/>
  <c r="F66" i="137"/>
  <c r="F14" i="233" s="1"/>
  <c r="F65" i="137"/>
  <c r="F13" i="233" s="1"/>
  <c r="F64" i="137"/>
  <c r="F12" i="233" s="1"/>
  <c r="F63" i="137"/>
  <c r="F11" i="233" s="1"/>
  <c r="F62" i="137"/>
  <c r="F10" i="233" s="1"/>
  <c r="F61" i="137"/>
  <c r="F9" i="233" s="1"/>
  <c r="F60" i="137"/>
  <c r="F8" i="233" s="1"/>
  <c r="F59" i="137"/>
  <c r="F7" i="233" s="1"/>
  <c r="E59" i="137"/>
  <c r="E7" i="233" s="1"/>
  <c r="D16" i="137"/>
  <c r="D10" i="137"/>
  <c r="D7" i="137"/>
  <c r="L3" i="137"/>
  <c r="AA45" i="132"/>
  <c r="AA42" i="132"/>
  <c r="C16" i="215" s="1"/>
  <c r="AA39" i="132"/>
  <c r="C16" i="212" s="1"/>
  <c r="AA36" i="132"/>
  <c r="AA33" i="132"/>
  <c r="C15" i="219" l="1"/>
  <c r="C15" i="222"/>
  <c r="D6" i="234"/>
  <c r="F4" i="208"/>
  <c r="D6" i="236"/>
  <c r="F4" i="211"/>
  <c r="E24" i="235"/>
  <c r="C4" i="221"/>
  <c r="D7" i="234"/>
  <c r="G4" i="208"/>
  <c r="D8" i="236"/>
  <c r="A4" i="211"/>
  <c r="C16" i="221"/>
  <c r="C16" i="208"/>
  <c r="C15" i="223"/>
  <c r="C15" i="220"/>
  <c r="C15" i="213"/>
  <c r="C15" i="214"/>
  <c r="D7" i="235"/>
  <c r="G4" i="221"/>
  <c r="D8" i="234"/>
  <c r="A4" i="208"/>
  <c r="D6" i="235"/>
  <c r="F4" i="221"/>
  <c r="L3" i="236"/>
  <c r="H4" i="211"/>
  <c r="D10" i="235"/>
  <c r="B4" i="221"/>
  <c r="E24" i="236"/>
  <c r="C4" i="211"/>
  <c r="D10" i="236"/>
  <c r="B4" i="211"/>
  <c r="L3" i="234"/>
  <c r="L68" i="234" s="1"/>
  <c r="H4" i="208"/>
  <c r="E24" i="234"/>
  <c r="C4" i="208"/>
  <c r="C15" i="205"/>
  <c r="C15" i="204"/>
  <c r="D10" i="234"/>
  <c r="B4" i="208"/>
  <c r="C15" i="221"/>
  <c r="C15" i="208"/>
  <c r="C15" i="217"/>
  <c r="C15" i="218"/>
  <c r="Q30" i="231"/>
  <c r="J29" i="231"/>
  <c r="O29" i="231"/>
  <c r="C20" i="231"/>
  <c r="D7" i="236"/>
  <c r="G4" i="211"/>
  <c r="D8" i="235"/>
  <c r="A4" i="221"/>
  <c r="L3" i="235"/>
  <c r="L40" i="235" s="1"/>
  <c r="H4" i="221"/>
  <c r="F4" i="247"/>
  <c r="H4" i="248"/>
  <c r="F4" i="246"/>
  <c r="C4" i="252"/>
  <c r="H4" i="241"/>
  <c r="B4" i="243"/>
  <c r="G4" i="244"/>
  <c r="H4" i="245"/>
  <c r="B4" i="247"/>
  <c r="G4" i="248"/>
  <c r="H4" i="249"/>
  <c r="B4" i="252"/>
  <c r="D4" i="246"/>
  <c r="F4" i="252"/>
  <c r="D4" i="245"/>
  <c r="D4" i="244"/>
  <c r="D4" i="252"/>
  <c r="D4" i="243"/>
  <c r="F4" i="243"/>
  <c r="A4" i="251"/>
  <c r="B4" i="242"/>
  <c r="B4" i="251"/>
  <c r="F4" i="242"/>
  <c r="C4" i="247"/>
  <c r="F4" i="251"/>
  <c r="A4" i="241"/>
  <c r="G4" i="242"/>
  <c r="H4" i="243"/>
  <c r="B4" i="245"/>
  <c r="G4" i="246"/>
  <c r="H4" i="247"/>
  <c r="B4" i="249"/>
  <c r="G4" i="251"/>
  <c r="H4" i="252"/>
  <c r="D4" i="251"/>
  <c r="D4" i="242"/>
  <c r="A4" i="242"/>
  <c r="C4" i="248"/>
  <c r="G4" i="243"/>
  <c r="G4" i="252"/>
  <c r="A4" i="245"/>
  <c r="F4" i="241"/>
  <c r="C4" i="242"/>
  <c r="A4" i="244"/>
  <c r="F4" i="245"/>
  <c r="C4" i="246"/>
  <c r="A4" i="248"/>
  <c r="F4" i="249"/>
  <c r="C4" i="251"/>
  <c r="D4" i="249"/>
  <c r="D4" i="241"/>
  <c r="C42" i="221"/>
  <c r="C4" i="244"/>
  <c r="B4" i="246"/>
  <c r="C4" i="243"/>
  <c r="G4" i="241"/>
  <c r="H4" i="242"/>
  <c r="B4" i="244"/>
  <c r="G4" i="245"/>
  <c r="H4" i="246"/>
  <c r="B4" i="248"/>
  <c r="G4" i="249"/>
  <c r="H4" i="251"/>
  <c r="D4" i="248"/>
  <c r="A4" i="246"/>
  <c r="H4" i="244"/>
  <c r="G4" i="247"/>
  <c r="A4" i="249"/>
  <c r="C4" i="241"/>
  <c r="A4" i="243"/>
  <c r="F4" i="244"/>
  <c r="C4" i="245"/>
  <c r="A4" i="247"/>
  <c r="F4" i="248"/>
  <c r="C4" i="249"/>
  <c r="A4" i="252"/>
  <c r="P30" i="257"/>
  <c r="O21" i="257"/>
  <c r="K39" i="257"/>
  <c r="J30" i="257"/>
  <c r="I21" i="257"/>
  <c r="E39" i="257"/>
  <c r="D30" i="257"/>
  <c r="C21" i="257"/>
  <c r="Q39" i="257"/>
  <c r="I38" i="257"/>
  <c r="C38" i="257"/>
  <c r="O12" i="257"/>
  <c r="I12" i="257"/>
  <c r="P20" i="257"/>
  <c r="J20" i="257"/>
  <c r="D20" i="257"/>
  <c r="C11" i="257"/>
  <c r="P29" i="257"/>
  <c r="O20" i="257"/>
  <c r="K38" i="257"/>
  <c r="J29" i="257"/>
  <c r="I20" i="257"/>
  <c r="E38" i="257"/>
  <c r="D29" i="257"/>
  <c r="C20" i="257"/>
  <c r="P39" i="257"/>
  <c r="Q11" i="257"/>
  <c r="I29" i="257"/>
  <c r="D38" i="257"/>
  <c r="E11" i="257"/>
  <c r="Q21" i="257"/>
  <c r="K21" i="257"/>
  <c r="C39" i="257"/>
  <c r="E21" i="257"/>
  <c r="P38" i="257"/>
  <c r="Q20" i="257"/>
  <c r="J11" i="257"/>
  <c r="D11" i="257"/>
  <c r="O38" i="257"/>
  <c r="P21" i="257"/>
  <c r="K30" i="257"/>
  <c r="E30" i="257"/>
  <c r="C12" i="257"/>
  <c r="Q29" i="257"/>
  <c r="K29" i="257"/>
  <c r="E29" i="257"/>
  <c r="O30" i="257"/>
  <c r="Q12" i="257"/>
  <c r="J39" i="257"/>
  <c r="I30" i="257"/>
  <c r="K12" i="257"/>
  <c r="D39" i="257"/>
  <c r="C30" i="257"/>
  <c r="E12" i="257"/>
  <c r="O39" i="257"/>
  <c r="O29" i="257"/>
  <c r="J38" i="257"/>
  <c r="K11" i="257"/>
  <c r="C29" i="257"/>
  <c r="Q38" i="257"/>
  <c r="P12" i="257"/>
  <c r="I39" i="257"/>
  <c r="J12" i="257"/>
  <c r="D12" i="257"/>
  <c r="P11" i="257"/>
  <c r="K20" i="257"/>
  <c r="E20" i="257"/>
  <c r="Q30" i="257"/>
  <c r="J21" i="257"/>
  <c r="D21" i="257"/>
  <c r="O11" i="257"/>
  <c r="I11" i="257"/>
  <c r="G20" i="252"/>
  <c r="D20" i="251"/>
  <c r="G20" i="249"/>
  <c r="G20" i="247"/>
  <c r="I19" i="246"/>
  <c r="D19" i="245"/>
  <c r="B19" i="244"/>
  <c r="I20" i="243"/>
  <c r="I20" i="242"/>
  <c r="I20" i="241"/>
  <c r="G20" i="240"/>
  <c r="D19" i="251"/>
  <c r="C50" i="248"/>
  <c r="D20" i="248"/>
  <c r="B19" i="246"/>
  <c r="I20" i="245"/>
  <c r="I20" i="256"/>
  <c r="D20" i="252"/>
  <c r="I19" i="251"/>
  <c r="D20" i="249"/>
  <c r="I20" i="248"/>
  <c r="D20" i="247"/>
  <c r="F19" i="246"/>
  <c r="B19" i="245"/>
  <c r="G20" i="243"/>
  <c r="G20" i="242"/>
  <c r="G20" i="241"/>
  <c r="D20" i="240"/>
  <c r="F19" i="249"/>
  <c r="F19" i="247"/>
  <c r="G20" i="244"/>
  <c r="I19" i="243"/>
  <c r="F19" i="240"/>
  <c r="C50" i="244"/>
  <c r="D19" i="242"/>
  <c r="G20" i="256"/>
  <c r="I19" i="252"/>
  <c r="F19" i="251"/>
  <c r="I19" i="249"/>
  <c r="G20" i="248"/>
  <c r="I19" i="247"/>
  <c r="D19" i="246"/>
  <c r="I20" i="244"/>
  <c r="D20" i="243"/>
  <c r="D20" i="242"/>
  <c r="D20" i="241"/>
  <c r="I19" i="240"/>
  <c r="F19" i="252"/>
  <c r="I19" i="242"/>
  <c r="I19" i="241"/>
  <c r="D19" i="243"/>
  <c r="D20" i="256"/>
  <c r="I19" i="256"/>
  <c r="D19" i="252"/>
  <c r="B19" i="251"/>
  <c r="D19" i="249"/>
  <c r="I19" i="248"/>
  <c r="D19" i="247"/>
  <c r="G20" i="245"/>
  <c r="D20" i="244"/>
  <c r="F19" i="243"/>
  <c r="F19" i="242"/>
  <c r="F19" i="241"/>
  <c r="D19" i="240"/>
  <c r="B19" i="249"/>
  <c r="B19" i="247"/>
  <c r="D20" i="245"/>
  <c r="I19" i="244"/>
  <c r="F19" i="256"/>
  <c r="B19" i="252"/>
  <c r="F19" i="248"/>
  <c r="I20" i="246"/>
  <c r="D19" i="256"/>
  <c r="I20" i="251"/>
  <c r="D19" i="248"/>
  <c r="G20" i="246"/>
  <c r="I19" i="245"/>
  <c r="F19" i="244"/>
  <c r="B19" i="243"/>
  <c r="B19" i="242"/>
  <c r="B19" i="241"/>
  <c r="I20" i="240"/>
  <c r="D19" i="241"/>
  <c r="B19" i="256"/>
  <c r="I20" i="252"/>
  <c r="G20" i="251"/>
  <c r="I20" i="249"/>
  <c r="B19" i="248"/>
  <c r="I20" i="247"/>
  <c r="D20" i="246"/>
  <c r="F19" i="245"/>
  <c r="D19" i="244"/>
  <c r="B19" i="240"/>
  <c r="C50" i="256"/>
  <c r="C50" i="240"/>
  <c r="C50" i="251"/>
  <c r="D50" i="249"/>
  <c r="D50" i="256"/>
  <c r="C50" i="247"/>
  <c r="E50" i="241"/>
  <c r="D50" i="252"/>
  <c r="E50" i="246"/>
  <c r="D50" i="245"/>
  <c r="D50" i="241"/>
  <c r="D50" i="248"/>
  <c r="E50" i="242"/>
  <c r="D50" i="246"/>
  <c r="E50" i="247"/>
  <c r="D50" i="242"/>
  <c r="C50" i="252"/>
  <c r="E50" i="243"/>
  <c r="E50" i="249"/>
  <c r="C50" i="245"/>
  <c r="C50" i="241"/>
  <c r="E50" i="256"/>
  <c r="E50" i="240"/>
  <c r="D50" i="251"/>
  <c r="E50" i="244"/>
  <c r="D50" i="244"/>
  <c r="C50" i="242"/>
  <c r="C50" i="249"/>
  <c r="D50" i="247"/>
  <c r="D50" i="240"/>
  <c r="E50" i="251"/>
  <c r="E50" i="252"/>
  <c r="E50" i="245"/>
  <c r="C50" i="243"/>
  <c r="E50" i="248"/>
  <c r="C50" i="246"/>
  <c r="D50" i="243"/>
  <c r="D4" i="247"/>
  <c r="M18" i="231"/>
  <c r="S27" i="231"/>
  <c r="G27" i="231"/>
  <c r="A36" i="231"/>
  <c r="M9" i="231"/>
  <c r="S18" i="231"/>
  <c r="G18" i="231"/>
  <c r="A27" i="231"/>
  <c r="S9" i="231"/>
  <c r="G36" i="231"/>
  <c r="I10" i="235"/>
  <c r="I10" i="236"/>
  <c r="A18" i="231"/>
  <c r="M36" i="231"/>
  <c r="G9" i="231"/>
  <c r="M27" i="231"/>
  <c r="S36" i="231"/>
  <c r="L40" i="236"/>
  <c r="L67" i="236"/>
  <c r="L67" i="235"/>
  <c r="L32" i="137"/>
  <c r="L82" i="137"/>
  <c r="D42" i="219"/>
  <c r="O38" i="231"/>
  <c r="P38" i="231"/>
  <c r="Q38" i="231"/>
  <c r="I19" i="204"/>
  <c r="B59" i="234"/>
  <c r="B58" i="235"/>
  <c r="B58" i="236"/>
  <c r="B61" i="137"/>
  <c r="B68" i="137"/>
  <c r="I10" i="137"/>
  <c r="I10" i="234"/>
  <c r="L12" i="233"/>
  <c r="L14" i="233"/>
  <c r="L9" i="233"/>
  <c r="L17" i="233"/>
  <c r="L19" i="233"/>
  <c r="L10" i="233"/>
  <c r="L18" i="233"/>
  <c r="L24" i="233"/>
  <c r="L13" i="233"/>
  <c r="L11" i="233"/>
  <c r="L15" i="233"/>
  <c r="L22" i="233"/>
  <c r="L20" i="233"/>
  <c r="L7" i="233"/>
  <c r="L8" i="233"/>
  <c r="L16" i="233"/>
  <c r="F42" i="206"/>
  <c r="E21" i="233"/>
  <c r="L21" i="233" s="1"/>
  <c r="F42" i="202"/>
  <c r="Y27" i="231"/>
  <c r="D42" i="223"/>
  <c r="Y36" i="231"/>
  <c r="D42" i="207"/>
  <c r="AC30" i="231"/>
  <c r="AC12" i="231"/>
  <c r="W30" i="231"/>
  <c r="V21" i="231"/>
  <c r="P39" i="231"/>
  <c r="Q20" i="231"/>
  <c r="K38" i="231"/>
  <c r="K21" i="231"/>
  <c r="I12" i="231"/>
  <c r="D29" i="231"/>
  <c r="W12" i="231"/>
  <c r="AC29" i="231"/>
  <c r="AC11" i="231"/>
  <c r="W29" i="231"/>
  <c r="V20" i="231"/>
  <c r="P21" i="231"/>
  <c r="J39" i="231"/>
  <c r="K20" i="231"/>
  <c r="E39" i="231"/>
  <c r="C30" i="231"/>
  <c r="V30" i="231"/>
  <c r="J21" i="231"/>
  <c r="AB30" i="231"/>
  <c r="AB29" i="231"/>
  <c r="AB11" i="231"/>
  <c r="V29" i="231"/>
  <c r="W11" i="231"/>
  <c r="P30" i="231"/>
  <c r="Q12" i="231"/>
  <c r="K30" i="231"/>
  <c r="J20" i="231"/>
  <c r="D39" i="231"/>
  <c r="E21" i="231"/>
  <c r="E20" i="231"/>
  <c r="E38" i="231"/>
  <c r="AC39" i="231"/>
  <c r="AC21" i="231"/>
  <c r="W39" i="231"/>
  <c r="U30" i="231"/>
  <c r="V12" i="231"/>
  <c r="P29" i="231"/>
  <c r="Q11" i="231"/>
  <c r="K29" i="231"/>
  <c r="K12" i="231"/>
  <c r="D38" i="231"/>
  <c r="P20" i="231"/>
  <c r="AC38" i="231"/>
  <c r="AC20" i="231"/>
  <c r="W38" i="231"/>
  <c r="U29" i="231"/>
  <c r="V11" i="231"/>
  <c r="O30" i="231"/>
  <c r="P12" i="231"/>
  <c r="J30" i="231"/>
  <c r="K11" i="231"/>
  <c r="E30" i="231"/>
  <c r="D21" i="231"/>
  <c r="Q29" i="231"/>
  <c r="AB39" i="231"/>
  <c r="AB21" i="231"/>
  <c r="V39" i="231"/>
  <c r="W21" i="231"/>
  <c r="Q39" i="231"/>
  <c r="P11" i="231"/>
  <c r="J12" i="231"/>
  <c r="E29" i="231"/>
  <c r="D20" i="231"/>
  <c r="J38" i="231"/>
  <c r="AB38" i="231"/>
  <c r="AB20" i="231"/>
  <c r="V38" i="231"/>
  <c r="W20" i="231"/>
  <c r="Q21" i="231"/>
  <c r="K39" i="231"/>
  <c r="I29" i="231"/>
  <c r="J11" i="231"/>
  <c r="D30" i="231"/>
  <c r="AB12" i="231"/>
  <c r="C29" i="231"/>
  <c r="E12" i="231"/>
  <c r="E11" i="231"/>
  <c r="D12" i="231"/>
  <c r="D11" i="231"/>
  <c r="AA30" i="231"/>
  <c r="AA20" i="231"/>
  <c r="AA29" i="231"/>
  <c r="AA39" i="231"/>
  <c r="AA38" i="231"/>
  <c r="AA21" i="231"/>
  <c r="Y18" i="231"/>
  <c r="F42" i="220"/>
  <c r="F42" i="217"/>
  <c r="C42" i="216"/>
  <c r="E42" i="201"/>
  <c r="F42" i="201"/>
  <c r="D42" i="202"/>
  <c r="D42" i="215"/>
  <c r="F42" i="224"/>
  <c r="E42" i="224"/>
  <c r="D42" i="218"/>
  <c r="F42" i="216"/>
  <c r="D42" i="212"/>
  <c r="C42" i="202"/>
  <c r="C61" i="202"/>
  <c r="C62" i="202" s="1"/>
  <c r="C60" i="223"/>
  <c r="C62" i="223" s="1"/>
  <c r="D54" i="205"/>
  <c r="C60" i="212"/>
  <c r="C62" i="212" s="1"/>
  <c r="C61" i="218"/>
  <c r="C62" i="218" s="1"/>
  <c r="D54" i="222"/>
  <c r="C61" i="224"/>
  <c r="C62" i="224" s="1"/>
  <c r="D54" i="216"/>
  <c r="C60" i="214"/>
  <c r="C62" i="214" s="1"/>
  <c r="C61" i="217"/>
  <c r="C62" i="217" s="1"/>
  <c r="C60" i="201"/>
  <c r="C62" i="201" s="1"/>
  <c r="B71" i="137"/>
  <c r="B19" i="233" s="1"/>
  <c r="B72" i="137"/>
  <c r="B20" i="233" s="1"/>
  <c r="E42" i="205"/>
  <c r="C42" i="204"/>
  <c r="C42" i="222"/>
  <c r="D54" i="207"/>
  <c r="F42" i="214"/>
  <c r="G20" i="201"/>
  <c r="D54" i="201"/>
  <c r="F42" i="213"/>
  <c r="F42" i="218"/>
  <c r="E42" i="220"/>
  <c r="E42" i="223"/>
  <c r="B75" i="205"/>
  <c r="B76" i="205" s="1"/>
  <c r="D42" i="201"/>
  <c r="C60" i="213"/>
  <c r="C62" i="213" s="1"/>
  <c r="C42" i="224"/>
  <c r="C42" i="211"/>
  <c r="I19" i="221"/>
  <c r="C61" i="208"/>
  <c r="C62" i="208" s="1"/>
  <c r="C42" i="215"/>
  <c r="B70" i="137"/>
  <c r="D54" i="212"/>
  <c r="E42" i="211"/>
  <c r="D54" i="206"/>
  <c r="D42" i="205"/>
  <c r="C61" i="205"/>
  <c r="C62" i="205" s="1"/>
  <c r="E42" i="215"/>
  <c r="D42" i="216"/>
  <c r="C60" i="220"/>
  <c r="C62" i="220" s="1"/>
  <c r="F42" i="221"/>
  <c r="F42" i="222"/>
  <c r="D54" i="223"/>
  <c r="D42" i="206"/>
  <c r="E42" i="206"/>
  <c r="E42" i="207"/>
  <c r="F42" i="208"/>
  <c r="D42" i="211"/>
  <c r="E42" i="212"/>
  <c r="F42" i="212"/>
  <c r="D42" i="213"/>
  <c r="E42" i="213"/>
  <c r="C60" i="222"/>
  <c r="C62" i="222" s="1"/>
  <c r="F42" i="223"/>
  <c r="Y9" i="231"/>
  <c r="C42" i="217"/>
  <c r="D54" i="218"/>
  <c r="E42" i="216"/>
  <c r="E42" i="219"/>
  <c r="D42" i="220"/>
  <c r="C42" i="201"/>
  <c r="C43" i="201" s="1"/>
  <c r="B54" i="201" s="1"/>
  <c r="E42" i="202"/>
  <c r="E42" i="204"/>
  <c r="F42" i="204"/>
  <c r="F42" i="205"/>
  <c r="C61" i="206"/>
  <c r="C62" i="206" s="1"/>
  <c r="D42" i="208"/>
  <c r="D42" i="214"/>
  <c r="D42" i="217"/>
  <c r="E42" i="217"/>
  <c r="F42" i="219"/>
  <c r="E42" i="221"/>
  <c r="D42" i="222"/>
  <c r="E42" i="222"/>
  <c r="D42" i="224"/>
  <c r="D54" i="204"/>
  <c r="C42" i="205"/>
  <c r="D54" i="211"/>
  <c r="C42" i="212"/>
  <c r="C42" i="223"/>
  <c r="D54" i="224"/>
  <c r="C42" i="220"/>
  <c r="C42" i="219"/>
  <c r="C61" i="219"/>
  <c r="C62" i="219" s="1"/>
  <c r="E42" i="218"/>
  <c r="F42" i="215"/>
  <c r="E42" i="214"/>
  <c r="B69" i="137"/>
  <c r="D54" i="214"/>
  <c r="F42" i="211"/>
  <c r="B66" i="137"/>
  <c r="B75" i="211"/>
  <c r="B76" i="211" s="1"/>
  <c r="D42" i="221"/>
  <c r="C61" i="221"/>
  <c r="C62" i="221" s="1"/>
  <c r="E42" i="208"/>
  <c r="F42" i="207"/>
  <c r="C42" i="206"/>
  <c r="D42" i="204"/>
  <c r="B75" i="204"/>
  <c r="B76" i="204" s="1"/>
  <c r="B60" i="137"/>
  <c r="B62" i="137"/>
  <c r="B67" i="137"/>
  <c r="B75" i="137"/>
  <c r="B23" i="233" s="1"/>
  <c r="B76" i="137"/>
  <c r="B24" i="233" s="1"/>
  <c r="B65" i="137"/>
  <c r="B77" i="137"/>
  <c r="B25" i="233" s="1"/>
  <c r="B63" i="137"/>
  <c r="B64" i="137"/>
  <c r="B74" i="137"/>
  <c r="B22" i="233" s="1"/>
  <c r="B73" i="137"/>
  <c r="B21" i="233" s="1"/>
  <c r="B78" i="137"/>
  <c r="B26" i="233" s="1"/>
  <c r="B59" i="137"/>
  <c r="L54" i="137"/>
  <c r="C50" i="201"/>
  <c r="F19" i="211"/>
  <c r="F19" i="215"/>
  <c r="D50" i="201"/>
  <c r="I20" i="201"/>
  <c r="B75" i="201"/>
  <c r="D19" i="201"/>
  <c r="F19" i="204"/>
  <c r="B19" i="206"/>
  <c r="F19" i="207"/>
  <c r="G20" i="208"/>
  <c r="I20" i="211"/>
  <c r="I20" i="215"/>
  <c r="D20" i="218"/>
  <c r="D19" i="219"/>
  <c r="I19" i="220"/>
  <c r="C38" i="231"/>
  <c r="U20" i="231"/>
  <c r="I20" i="231"/>
  <c r="AA11" i="231"/>
  <c r="O11" i="231"/>
  <c r="I38" i="231"/>
  <c r="U38" i="231"/>
  <c r="O20" i="231"/>
  <c r="U11" i="231"/>
  <c r="I11" i="231"/>
  <c r="C12" i="231"/>
  <c r="E50" i="218"/>
  <c r="I39" i="231"/>
  <c r="U39" i="231"/>
  <c r="O21" i="231"/>
  <c r="D50" i="219"/>
  <c r="E50" i="214"/>
  <c r="C50" i="214"/>
  <c r="C39" i="231"/>
  <c r="U21" i="231"/>
  <c r="AA12" i="231"/>
  <c r="O12" i="231"/>
  <c r="D50" i="223"/>
  <c r="E50" i="222"/>
  <c r="C50" i="222"/>
  <c r="C50" i="218"/>
  <c r="E50" i="216"/>
  <c r="C50" i="216"/>
  <c r="E50" i="213"/>
  <c r="C50" i="213"/>
  <c r="D50" i="211"/>
  <c r="E50" i="208"/>
  <c r="C50" i="208"/>
  <c r="C50" i="207"/>
  <c r="E50" i="207"/>
  <c r="C21" i="231"/>
  <c r="U12" i="231"/>
  <c r="E50" i="219"/>
  <c r="C50" i="219"/>
  <c r="D50" i="214"/>
  <c r="E50" i="212"/>
  <c r="C50" i="212"/>
  <c r="D50" i="216"/>
  <c r="D50" i="213"/>
  <c r="C50" i="206"/>
  <c r="I19" i="224"/>
  <c r="D20" i="223"/>
  <c r="B19" i="223"/>
  <c r="I19" i="222"/>
  <c r="I21" i="231"/>
  <c r="C11" i="231"/>
  <c r="C50" i="223"/>
  <c r="C50" i="211"/>
  <c r="D50" i="208"/>
  <c r="E50" i="206"/>
  <c r="D50" i="204"/>
  <c r="I20" i="224"/>
  <c r="F19" i="224"/>
  <c r="I19" i="223"/>
  <c r="I20" i="222"/>
  <c r="F19" i="222"/>
  <c r="I20" i="221"/>
  <c r="I30" i="231"/>
  <c r="E50" i="223"/>
  <c r="D50" i="222"/>
  <c r="D50" i="218"/>
  <c r="E50" i="211"/>
  <c r="D50" i="207"/>
  <c r="E50" i="205"/>
  <c r="C50" i="205"/>
  <c r="D50" i="202"/>
  <c r="G20" i="224"/>
  <c r="D19" i="224"/>
  <c r="I20" i="223"/>
  <c r="F19" i="223"/>
  <c r="G20" i="222"/>
  <c r="D19" i="222"/>
  <c r="D50" i="221"/>
  <c r="C50" i="204"/>
  <c r="F19" i="221"/>
  <c r="I20" i="220"/>
  <c r="F19" i="220"/>
  <c r="D20" i="219"/>
  <c r="B19" i="219"/>
  <c r="I19" i="218"/>
  <c r="I20" i="217"/>
  <c r="F19" i="217"/>
  <c r="G20" i="216"/>
  <c r="D19" i="216"/>
  <c r="G20" i="215"/>
  <c r="D19" i="215"/>
  <c r="D20" i="214"/>
  <c r="B19" i="214"/>
  <c r="I19" i="213"/>
  <c r="I20" i="212"/>
  <c r="F19" i="212"/>
  <c r="G20" i="211"/>
  <c r="D19" i="211"/>
  <c r="D20" i="208"/>
  <c r="B19" i="208"/>
  <c r="G20" i="207"/>
  <c r="D19" i="207"/>
  <c r="I19" i="206"/>
  <c r="D20" i="205"/>
  <c r="B19" i="205"/>
  <c r="G20" i="204"/>
  <c r="D19" i="204"/>
  <c r="I19" i="202"/>
  <c r="E50" i="204"/>
  <c r="D20" i="224"/>
  <c r="D20" i="222"/>
  <c r="G20" i="221"/>
  <c r="D19" i="221"/>
  <c r="G20" i="220"/>
  <c r="D19" i="220"/>
  <c r="I19" i="219"/>
  <c r="I20" i="218"/>
  <c r="F19" i="218"/>
  <c r="G20" i="217"/>
  <c r="D19" i="217"/>
  <c r="D20" i="216"/>
  <c r="B19" i="216"/>
  <c r="D20" i="215"/>
  <c r="B19" i="215"/>
  <c r="I19" i="214"/>
  <c r="I20" i="213"/>
  <c r="F19" i="213"/>
  <c r="G20" i="212"/>
  <c r="D19" i="212"/>
  <c r="D20" i="211"/>
  <c r="B19" i="211"/>
  <c r="I19" i="208"/>
  <c r="D20" i="207"/>
  <c r="B19" i="207"/>
  <c r="I20" i="206"/>
  <c r="F19" i="206"/>
  <c r="I19" i="205"/>
  <c r="D20" i="204"/>
  <c r="B19" i="204"/>
  <c r="I20" i="202"/>
  <c r="F19" i="202"/>
  <c r="I19" i="201"/>
  <c r="O39" i="231"/>
  <c r="B19" i="224"/>
  <c r="G20" i="223"/>
  <c r="B19" i="222"/>
  <c r="D20" i="221"/>
  <c r="B19" i="221"/>
  <c r="D20" i="220"/>
  <c r="B19" i="220"/>
  <c r="I20" i="219"/>
  <c r="F19" i="219"/>
  <c r="G20" i="218"/>
  <c r="D19" i="218"/>
  <c r="D20" i="217"/>
  <c r="B19" i="217"/>
  <c r="I19" i="216"/>
  <c r="I19" i="215"/>
  <c r="I20" i="214"/>
  <c r="F19" i="214"/>
  <c r="G20" i="213"/>
  <c r="D19" i="213"/>
  <c r="D20" i="212"/>
  <c r="B19" i="212"/>
  <c r="I19" i="211"/>
  <c r="I20" i="208"/>
  <c r="F19" i="208"/>
  <c r="I19" i="207"/>
  <c r="G20" i="206"/>
  <c r="D19" i="206"/>
  <c r="I20" i="205"/>
  <c r="F19" i="205"/>
  <c r="G20" i="202"/>
  <c r="D19" i="202"/>
  <c r="F19" i="201"/>
  <c r="C60" i="204"/>
  <c r="C61" i="204"/>
  <c r="B19" i="218"/>
  <c r="B76" i="223"/>
  <c r="E50" i="201"/>
  <c r="D20" i="201"/>
  <c r="B19" i="202"/>
  <c r="I20" i="204"/>
  <c r="D19" i="205"/>
  <c r="D20" i="206"/>
  <c r="B76" i="207"/>
  <c r="I20" i="207"/>
  <c r="C60" i="211"/>
  <c r="C61" i="211"/>
  <c r="I19" i="212"/>
  <c r="B19" i="213"/>
  <c r="C60" i="215"/>
  <c r="C61" i="215"/>
  <c r="F19" i="216"/>
  <c r="G20" i="219"/>
  <c r="D19" i="208"/>
  <c r="G20" i="214"/>
  <c r="I19" i="217"/>
  <c r="D19" i="223"/>
  <c r="B19" i="201"/>
  <c r="D20" i="202"/>
  <c r="G20" i="205"/>
  <c r="D20" i="213"/>
  <c r="D19" i="214"/>
  <c r="C61" i="216"/>
  <c r="C62" i="216" s="1"/>
  <c r="I20" i="216"/>
  <c r="C50" i="202"/>
  <c r="E50" i="202"/>
  <c r="D50" i="205"/>
  <c r="D50" i="206"/>
  <c r="C42" i="208"/>
  <c r="D50" i="212"/>
  <c r="D54" i="213"/>
  <c r="B75" i="213"/>
  <c r="C50" i="215"/>
  <c r="E50" i="224"/>
  <c r="D54" i="221"/>
  <c r="B75" i="221"/>
  <c r="E50" i="221"/>
  <c r="B75" i="202"/>
  <c r="C42" i="207"/>
  <c r="D54" i="208"/>
  <c r="B75" i="208"/>
  <c r="C50" i="221"/>
  <c r="C42" i="213"/>
  <c r="C50" i="217"/>
  <c r="D50" i="215"/>
  <c r="D50" i="217"/>
  <c r="C50" i="220"/>
  <c r="D54" i="215"/>
  <c r="E50" i="215"/>
  <c r="B75" i="216"/>
  <c r="D54" i="217"/>
  <c r="E50" i="217"/>
  <c r="B75" i="218"/>
  <c r="C42" i="218"/>
  <c r="D50" i="220"/>
  <c r="B75" i="222"/>
  <c r="C50" i="224"/>
  <c r="C42" i="214"/>
  <c r="E50" i="220"/>
  <c r="D50" i="224"/>
  <c r="B75" i="215"/>
  <c r="B75" i="220"/>
  <c r="C60" i="207"/>
  <c r="C62" i="207" s="1"/>
  <c r="H63" i="254" l="1"/>
  <c r="H63" i="262"/>
  <c r="I60" i="254"/>
  <c r="I60" i="262"/>
  <c r="K69" i="254"/>
  <c r="K69" i="262"/>
  <c r="L64" i="254"/>
  <c r="L64" i="262"/>
  <c r="I59" i="254"/>
  <c r="I59" i="262"/>
  <c r="G66" i="254"/>
  <c r="G66" i="262"/>
  <c r="L70" i="254"/>
  <c r="L70" i="262"/>
  <c r="L63" i="254"/>
  <c r="L63" i="262"/>
  <c r="H69" i="254"/>
  <c r="H69" i="262"/>
  <c r="K59" i="254"/>
  <c r="K59" i="262"/>
  <c r="I62" i="254"/>
  <c r="I62" i="262"/>
  <c r="G65" i="254"/>
  <c r="G65" i="262"/>
  <c r="K67" i="254"/>
  <c r="K67" i="262"/>
  <c r="L61" i="254"/>
  <c r="L61" i="262"/>
  <c r="L69" i="254"/>
  <c r="L69" i="262"/>
  <c r="K61" i="254"/>
  <c r="K61" i="262"/>
  <c r="I68" i="254"/>
  <c r="I68" i="262"/>
  <c r="J59" i="254"/>
  <c r="J59" i="262"/>
  <c r="L68" i="254"/>
  <c r="L68" i="262"/>
  <c r="K60" i="254"/>
  <c r="K60" i="262"/>
  <c r="K64" i="254"/>
  <c r="K64" i="262"/>
  <c r="L59" i="254"/>
  <c r="L59" i="262"/>
  <c r="H65" i="254"/>
  <c r="H65" i="262"/>
  <c r="I70" i="254"/>
  <c r="I70" i="262"/>
  <c r="J61" i="254"/>
  <c r="J61" i="262"/>
  <c r="H64" i="254"/>
  <c r="H64" i="262"/>
  <c r="L66" i="254"/>
  <c r="L66" i="262"/>
  <c r="J69" i="254"/>
  <c r="J69" i="262"/>
  <c r="J60" i="254"/>
  <c r="J60" i="262"/>
  <c r="J68" i="254"/>
  <c r="J68" i="262"/>
  <c r="G67" i="254"/>
  <c r="G67" i="262"/>
  <c r="H66" i="254"/>
  <c r="H66" i="262"/>
  <c r="G60" i="254"/>
  <c r="G60" i="262"/>
  <c r="K62" i="254"/>
  <c r="K62" i="262"/>
  <c r="I65" i="254"/>
  <c r="I65" i="262"/>
  <c r="G68" i="254"/>
  <c r="G68" i="262"/>
  <c r="H67" i="254"/>
  <c r="H67" i="262"/>
  <c r="I64" i="254"/>
  <c r="I64" i="262"/>
  <c r="L60" i="254"/>
  <c r="L60" i="262"/>
  <c r="J67" i="254"/>
  <c r="J67" i="262"/>
  <c r="I63" i="254"/>
  <c r="I63" i="262"/>
  <c r="I67" i="254"/>
  <c r="I67" i="262"/>
  <c r="H61" i="254"/>
  <c r="H61" i="262"/>
  <c r="J66" i="254"/>
  <c r="J66" i="262"/>
  <c r="G70" i="254"/>
  <c r="G70" i="262"/>
  <c r="G61" i="254"/>
  <c r="G61" i="262"/>
  <c r="K63" i="254"/>
  <c r="K63" i="262"/>
  <c r="I66" i="254"/>
  <c r="I66" i="262"/>
  <c r="G69" i="254"/>
  <c r="G69" i="262"/>
  <c r="L65" i="254"/>
  <c r="L65" i="262"/>
  <c r="G59" i="254"/>
  <c r="G59" i="262"/>
  <c r="K65" i="254"/>
  <c r="K65" i="262"/>
  <c r="H70" i="254"/>
  <c r="H70" i="262"/>
  <c r="J63" i="254"/>
  <c r="J63" i="262"/>
  <c r="J70" i="254"/>
  <c r="J70" i="262"/>
  <c r="G62" i="254"/>
  <c r="G62" i="262"/>
  <c r="K68" i="254"/>
  <c r="K68" i="262"/>
  <c r="J62" i="254"/>
  <c r="J62" i="262"/>
  <c r="L67" i="254"/>
  <c r="L67" i="262"/>
  <c r="H60" i="254"/>
  <c r="H60" i="262"/>
  <c r="L62" i="254"/>
  <c r="L62" i="262"/>
  <c r="J65" i="254"/>
  <c r="J65" i="262"/>
  <c r="H68" i="254"/>
  <c r="H68" i="262"/>
  <c r="H59" i="254"/>
  <c r="H59" i="262"/>
  <c r="J64" i="254"/>
  <c r="J64" i="262"/>
  <c r="G63" i="254"/>
  <c r="G63" i="262"/>
  <c r="H62" i="254"/>
  <c r="H62" i="262"/>
  <c r="K70" i="254"/>
  <c r="K70" i="262"/>
  <c r="I61" i="254"/>
  <c r="I61" i="262"/>
  <c r="G64" i="254"/>
  <c r="G64" i="262"/>
  <c r="K66" i="254"/>
  <c r="K66" i="262"/>
  <c r="I69" i="254"/>
  <c r="I69" i="262"/>
  <c r="L40" i="234"/>
  <c r="H73" i="259"/>
  <c r="H69" i="137"/>
  <c r="C44" i="201"/>
  <c r="C59" i="201" s="1"/>
  <c r="H64" i="259"/>
  <c r="H60" i="137"/>
  <c r="I48" i="248"/>
  <c r="F54" i="248" s="1"/>
  <c r="H54" i="248" s="1"/>
  <c r="D75" i="248" s="1"/>
  <c r="I48" i="249"/>
  <c r="I49" i="249" s="1"/>
  <c r="C63" i="249" s="1"/>
  <c r="C66" i="249" s="1"/>
  <c r="J65" i="137"/>
  <c r="J69" i="259"/>
  <c r="K69" i="137"/>
  <c r="K73" i="259"/>
  <c r="J59" i="137"/>
  <c r="J63" i="259"/>
  <c r="I63" i="259"/>
  <c r="I59" i="137"/>
  <c r="L59" i="137"/>
  <c r="L63" i="259"/>
  <c r="K63" i="259"/>
  <c r="K59" i="137"/>
  <c r="G59" i="137"/>
  <c r="H63" i="259"/>
  <c r="G63" i="259"/>
  <c r="H59" i="137"/>
  <c r="J65" i="259"/>
  <c r="J61" i="137"/>
  <c r="K65" i="259"/>
  <c r="K61" i="137"/>
  <c r="L61" i="137"/>
  <c r="L65" i="259"/>
  <c r="H65" i="259"/>
  <c r="H61" i="137"/>
  <c r="I61" i="137"/>
  <c r="I65" i="259"/>
  <c r="G65" i="259"/>
  <c r="G61" i="137"/>
  <c r="K62" i="137"/>
  <c r="K66" i="259"/>
  <c r="L66" i="259"/>
  <c r="L62" i="137"/>
  <c r="H66" i="259"/>
  <c r="H62" i="137"/>
  <c r="I62" i="137"/>
  <c r="I66" i="259"/>
  <c r="G66" i="259"/>
  <c r="G62" i="137"/>
  <c r="J66" i="259"/>
  <c r="J62" i="137"/>
  <c r="G63" i="137"/>
  <c r="G67" i="259"/>
  <c r="I63" i="137"/>
  <c r="I67" i="259"/>
  <c r="L67" i="259"/>
  <c r="L63" i="137"/>
  <c r="H63" i="137"/>
  <c r="H67" i="259"/>
  <c r="J67" i="259"/>
  <c r="J63" i="137"/>
  <c r="K67" i="259"/>
  <c r="K63" i="137"/>
  <c r="L64" i="137"/>
  <c r="L68" i="259"/>
  <c r="K68" i="259"/>
  <c r="K64" i="137"/>
  <c r="J68" i="259"/>
  <c r="J64" i="137"/>
  <c r="I68" i="259"/>
  <c r="I64" i="137"/>
  <c r="H64" i="137"/>
  <c r="H68" i="259"/>
  <c r="G64" i="137"/>
  <c r="G68" i="259"/>
  <c r="G69" i="259"/>
  <c r="G65" i="137"/>
  <c r="L65" i="137"/>
  <c r="L69" i="259"/>
  <c r="I65" i="137"/>
  <c r="I69" i="259"/>
  <c r="K65" i="137"/>
  <c r="K69" i="259"/>
  <c r="H65" i="137"/>
  <c r="H69" i="259"/>
  <c r="K66" i="137"/>
  <c r="K70" i="259"/>
  <c r="I66" i="137"/>
  <c r="I70" i="259"/>
  <c r="H66" i="137"/>
  <c r="H70" i="259"/>
  <c r="G66" i="137"/>
  <c r="G70" i="259"/>
  <c r="L70" i="259"/>
  <c r="L66" i="137"/>
  <c r="J66" i="137"/>
  <c r="J70" i="259"/>
  <c r="J71" i="259"/>
  <c r="J67" i="137"/>
  <c r="L67" i="137"/>
  <c r="L71" i="259"/>
  <c r="G67" i="137"/>
  <c r="G71" i="259"/>
  <c r="H67" i="137"/>
  <c r="H71" i="259"/>
  <c r="I71" i="259"/>
  <c r="I67" i="137"/>
  <c r="K71" i="259"/>
  <c r="K67" i="137"/>
  <c r="H72" i="259"/>
  <c r="H68" i="137"/>
  <c r="G72" i="259"/>
  <c r="G68" i="137"/>
  <c r="K72" i="259"/>
  <c r="K68" i="137"/>
  <c r="I72" i="259"/>
  <c r="I68" i="137"/>
  <c r="J68" i="137"/>
  <c r="J72" i="259"/>
  <c r="L72" i="259"/>
  <c r="L68" i="137"/>
  <c r="L69" i="137"/>
  <c r="L73" i="259"/>
  <c r="J73" i="259"/>
  <c r="J69" i="137"/>
  <c r="G73" i="259"/>
  <c r="G69" i="137"/>
  <c r="I73" i="259"/>
  <c r="I69" i="137"/>
  <c r="G74" i="259"/>
  <c r="G70" i="137"/>
  <c r="L74" i="259"/>
  <c r="L70" i="137"/>
  <c r="J74" i="259"/>
  <c r="J70" i="137"/>
  <c r="K74" i="259"/>
  <c r="K70" i="137"/>
  <c r="H74" i="259"/>
  <c r="H70" i="137"/>
  <c r="I70" i="137"/>
  <c r="I74" i="259"/>
  <c r="L76" i="259"/>
  <c r="L72" i="137"/>
  <c r="J76" i="259"/>
  <c r="J72" i="137"/>
  <c r="G72" i="137"/>
  <c r="G76" i="259"/>
  <c r="K72" i="137"/>
  <c r="K76" i="259"/>
  <c r="H76" i="259"/>
  <c r="H72" i="137"/>
  <c r="I76" i="259"/>
  <c r="I72" i="137"/>
  <c r="J73" i="137"/>
  <c r="J77" i="259"/>
  <c r="K73" i="137"/>
  <c r="K77" i="259"/>
  <c r="H77" i="259"/>
  <c r="H73" i="137"/>
  <c r="G77" i="259"/>
  <c r="G73" i="137"/>
  <c r="L73" i="137"/>
  <c r="L77" i="259"/>
  <c r="I73" i="137"/>
  <c r="I77" i="259"/>
  <c r="H74" i="137"/>
  <c r="H78" i="259"/>
  <c r="L78" i="259"/>
  <c r="L74" i="137"/>
  <c r="G78" i="259"/>
  <c r="G74" i="137"/>
  <c r="J74" i="137"/>
  <c r="J78" i="259"/>
  <c r="K74" i="137"/>
  <c r="K78" i="259"/>
  <c r="I74" i="137"/>
  <c r="I78" i="259"/>
  <c r="J79" i="259"/>
  <c r="J75" i="137"/>
  <c r="G79" i="259"/>
  <c r="G75" i="137"/>
  <c r="K79" i="259"/>
  <c r="K75" i="137"/>
  <c r="H79" i="259"/>
  <c r="H75" i="137"/>
  <c r="I79" i="259"/>
  <c r="I75" i="137"/>
  <c r="L79" i="259"/>
  <c r="L75" i="137"/>
  <c r="I61" i="201"/>
  <c r="L76" i="137"/>
  <c r="L59" i="234"/>
  <c r="L80" i="259"/>
  <c r="H76" i="137"/>
  <c r="H80" i="259"/>
  <c r="H59" i="234"/>
  <c r="K76" i="137"/>
  <c r="K59" i="234"/>
  <c r="K80" i="259"/>
  <c r="G76" i="137"/>
  <c r="G59" i="234"/>
  <c r="G80" i="259"/>
  <c r="J76" i="137"/>
  <c r="J80" i="259"/>
  <c r="J59" i="234"/>
  <c r="I76" i="137"/>
  <c r="I80" i="259"/>
  <c r="I59" i="234"/>
  <c r="J81" i="259"/>
  <c r="J58" i="235"/>
  <c r="J77" i="137"/>
  <c r="H81" i="259"/>
  <c r="H77" i="137"/>
  <c r="H58" i="235"/>
  <c r="I77" i="137"/>
  <c r="I81" i="259"/>
  <c r="I58" i="235"/>
  <c r="K81" i="259"/>
  <c r="K77" i="137"/>
  <c r="K58" i="235"/>
  <c r="G77" i="137"/>
  <c r="G81" i="259"/>
  <c r="G58" i="235"/>
  <c r="L77" i="137"/>
  <c r="L58" i="235"/>
  <c r="L81" i="259"/>
  <c r="G82" i="259"/>
  <c r="G58" i="236"/>
  <c r="G78" i="137"/>
  <c r="I82" i="259"/>
  <c r="I58" i="236"/>
  <c r="I78" i="137"/>
  <c r="H82" i="259"/>
  <c r="H58" i="236"/>
  <c r="H78" i="137"/>
  <c r="J78" i="137"/>
  <c r="J58" i="236"/>
  <c r="J82" i="259"/>
  <c r="L78" i="137"/>
  <c r="L82" i="259"/>
  <c r="L58" i="236"/>
  <c r="K58" i="236"/>
  <c r="K78" i="137"/>
  <c r="K82" i="259"/>
  <c r="J64" i="259"/>
  <c r="J60" i="137"/>
  <c r="K64" i="259"/>
  <c r="K60" i="137"/>
  <c r="G60" i="137"/>
  <c r="G64" i="259"/>
  <c r="L64" i="259"/>
  <c r="L60" i="137"/>
  <c r="I64" i="259"/>
  <c r="I60" i="137"/>
  <c r="J71" i="137"/>
  <c r="J75" i="259"/>
  <c r="K71" i="137"/>
  <c r="K75" i="259"/>
  <c r="G75" i="259"/>
  <c r="G71" i="137"/>
  <c r="H75" i="259"/>
  <c r="H71" i="137"/>
  <c r="L71" i="137"/>
  <c r="L75" i="259"/>
  <c r="I71" i="137"/>
  <c r="I75" i="259"/>
  <c r="I48" i="246"/>
  <c r="F54" i="246" s="1"/>
  <c r="H54" i="246" s="1"/>
  <c r="D75" i="246" s="1"/>
  <c r="I48" i="240"/>
  <c r="F54" i="240" s="1"/>
  <c r="H54" i="240" s="1"/>
  <c r="B7" i="233"/>
  <c r="I48" i="252"/>
  <c r="B8" i="233"/>
  <c r="B17" i="233"/>
  <c r="B18" i="233"/>
  <c r="I48" i="251"/>
  <c r="I48" i="247"/>
  <c r="I48" i="241"/>
  <c r="B11" i="233"/>
  <c r="I48" i="243"/>
  <c r="B15" i="233"/>
  <c r="I48" i="256"/>
  <c r="I48" i="245"/>
  <c r="B10" i="233"/>
  <c r="I48" i="242"/>
  <c r="B14" i="233"/>
  <c r="B13" i="233"/>
  <c r="I48" i="244"/>
  <c r="B12" i="233"/>
  <c r="B16" i="233"/>
  <c r="B9" i="233"/>
  <c r="C43" i="217"/>
  <c r="B54" i="217" s="1"/>
  <c r="C43" i="205"/>
  <c r="B54" i="205" s="1"/>
  <c r="C44" i="202"/>
  <c r="C59" i="202" s="1"/>
  <c r="C44" i="216"/>
  <c r="C59" i="216" s="1"/>
  <c r="I48" i="216"/>
  <c r="I49" i="216" s="1"/>
  <c r="C43" i="202"/>
  <c r="B54" i="202" s="1"/>
  <c r="C43" i="212"/>
  <c r="B54" i="212" s="1"/>
  <c r="C43" i="204"/>
  <c r="B54" i="204" s="1"/>
  <c r="C43" i="211"/>
  <c r="B54" i="211" s="1"/>
  <c r="C43" i="216"/>
  <c r="B54" i="216" s="1"/>
  <c r="C43" i="224"/>
  <c r="B54" i="224" s="1"/>
  <c r="C44" i="224"/>
  <c r="C59" i="224" s="1"/>
  <c r="C43" i="220"/>
  <c r="B54" i="220" s="1"/>
  <c r="C43" i="215"/>
  <c r="B54" i="215" s="1"/>
  <c r="C43" i="221"/>
  <c r="B54" i="221" s="1"/>
  <c r="C44" i="205"/>
  <c r="C59" i="205" s="1"/>
  <c r="F19" i="137"/>
  <c r="I48" i="201"/>
  <c r="I49" i="201" s="1"/>
  <c r="C63" i="201" s="1"/>
  <c r="C66" i="201" s="1"/>
  <c r="C44" i="215"/>
  <c r="C59" i="215" s="1"/>
  <c r="C43" i="222"/>
  <c r="B54" i="222" s="1"/>
  <c r="C44" i="222"/>
  <c r="C59" i="222" s="1"/>
  <c r="C44" i="220"/>
  <c r="C59" i="220" s="1"/>
  <c r="C43" i="223"/>
  <c r="B54" i="223" s="1"/>
  <c r="C44" i="223"/>
  <c r="C59" i="223" s="1"/>
  <c r="C62" i="215"/>
  <c r="C62" i="204"/>
  <c r="C44" i="212"/>
  <c r="C59" i="212" s="1"/>
  <c r="C44" i="221"/>
  <c r="C59" i="221" s="1"/>
  <c r="C44" i="217"/>
  <c r="C59" i="217" s="1"/>
  <c r="C43" i="219"/>
  <c r="B54" i="219" s="1"/>
  <c r="C44" i="219"/>
  <c r="C59" i="219" s="1"/>
  <c r="C44" i="211"/>
  <c r="C59" i="211" s="1"/>
  <c r="C62" i="211"/>
  <c r="C43" i="206"/>
  <c r="B54" i="206" s="1"/>
  <c r="C44" i="206"/>
  <c r="C59" i="206" s="1"/>
  <c r="C44" i="204"/>
  <c r="C59" i="204" s="1"/>
  <c r="C43" i="214"/>
  <c r="B54" i="214" s="1"/>
  <c r="C44" i="214"/>
  <c r="C59" i="214" s="1"/>
  <c r="I48" i="211"/>
  <c r="I49" i="211" s="1"/>
  <c r="I48" i="219"/>
  <c r="I49" i="219" s="1"/>
  <c r="I48" i="208"/>
  <c r="I49" i="208" s="1"/>
  <c r="I48" i="222"/>
  <c r="I49" i="222" s="1"/>
  <c r="I48" i="214"/>
  <c r="I49" i="214" s="1"/>
  <c r="G70" i="201"/>
  <c r="B76" i="216"/>
  <c r="C43" i="213"/>
  <c r="B54" i="213" s="1"/>
  <c r="C44" i="213"/>
  <c r="C59" i="213" s="1"/>
  <c r="I48" i="215"/>
  <c r="I49" i="215" s="1"/>
  <c r="C43" i="207"/>
  <c r="B54" i="207" s="1"/>
  <c r="C44" i="207"/>
  <c r="C59" i="207" s="1"/>
  <c r="I48" i="221"/>
  <c r="I49" i="221" s="1"/>
  <c r="C43" i="208"/>
  <c r="B54" i="208" s="1"/>
  <c r="C44" i="208"/>
  <c r="C59" i="208" s="1"/>
  <c r="I48" i="204"/>
  <c r="I49" i="204" s="1"/>
  <c r="I48" i="212"/>
  <c r="I49" i="212" s="1"/>
  <c r="I48" i="207"/>
  <c r="I49" i="207" s="1"/>
  <c r="B76" i="201"/>
  <c r="C43" i="218"/>
  <c r="B54" i="218" s="1"/>
  <c r="C44" i="218"/>
  <c r="C59" i="218" s="1"/>
  <c r="B76" i="218"/>
  <c r="B76" i="222"/>
  <c r="B76" i="221"/>
  <c r="I48" i="224"/>
  <c r="I49" i="224" s="1"/>
  <c r="I48" i="205"/>
  <c r="I49" i="205" s="1"/>
  <c r="I48" i="206"/>
  <c r="I49" i="206" s="1"/>
  <c r="B76" i="213"/>
  <c r="I48" i="220"/>
  <c r="I49" i="220" s="1"/>
  <c r="B76" i="220"/>
  <c r="I48" i="217"/>
  <c r="I49" i="217" s="1"/>
  <c r="B76" i="202"/>
  <c r="B76" i="215"/>
  <c r="B76" i="208"/>
  <c r="I48" i="202"/>
  <c r="I48" i="223"/>
  <c r="I49" i="223" s="1"/>
  <c r="I48" i="213"/>
  <c r="I49" i="213" s="1"/>
  <c r="I48" i="218"/>
  <c r="I49" i="218" s="1"/>
  <c r="I49" i="248" l="1"/>
  <c r="C63" i="248" s="1"/>
  <c r="C66" i="248" s="1"/>
  <c r="I61" i="249"/>
  <c r="I62" i="249" s="1"/>
  <c r="J61" i="249" s="1"/>
  <c r="I61" i="248"/>
  <c r="G66" i="201"/>
  <c r="F54" i="249"/>
  <c r="H54" i="249" s="1"/>
  <c r="D75" i="249" s="1"/>
  <c r="E75" i="249" s="1"/>
  <c r="F75" i="249" s="1"/>
  <c r="D68" i="262" s="1"/>
  <c r="M68" i="262" s="1"/>
  <c r="I49" i="246"/>
  <c r="C63" i="246" s="1"/>
  <c r="C66" i="246" s="1"/>
  <c r="G67" i="201"/>
  <c r="G59" i="201"/>
  <c r="G69" i="201" s="1"/>
  <c r="I67" i="201"/>
  <c r="J67" i="201" s="1"/>
  <c r="K67" i="201" s="1"/>
  <c r="G68" i="201"/>
  <c r="G62" i="201"/>
  <c r="G70" i="249"/>
  <c r="G70" i="248"/>
  <c r="I62" i="201"/>
  <c r="J61" i="201" s="1"/>
  <c r="I49" i="202"/>
  <c r="C63" i="202" s="1"/>
  <c r="C66" i="202" s="1"/>
  <c r="F54" i="202"/>
  <c r="H54" i="202" s="1"/>
  <c r="D75" i="202" s="1"/>
  <c r="F54" i="243"/>
  <c r="H54" i="243" s="1"/>
  <c r="D75" i="243" s="1"/>
  <c r="I49" i="243"/>
  <c r="C63" i="243" s="1"/>
  <c r="C66" i="243" s="1"/>
  <c r="F54" i="252"/>
  <c r="H54" i="252" s="1"/>
  <c r="D75" i="252" s="1"/>
  <c r="I49" i="252"/>
  <c r="C63" i="252" s="1"/>
  <c r="C66" i="252" s="1"/>
  <c r="I49" i="256"/>
  <c r="C63" i="256" s="1"/>
  <c r="F54" i="256"/>
  <c r="H54" i="256" s="1"/>
  <c r="D75" i="256" s="1"/>
  <c r="I49" i="245"/>
  <c r="C63" i="245" s="1"/>
  <c r="C66" i="245" s="1"/>
  <c r="F54" i="245"/>
  <c r="H54" i="245" s="1"/>
  <c r="D75" i="245" s="1"/>
  <c r="I49" i="241"/>
  <c r="C63" i="241" s="1"/>
  <c r="C66" i="241" s="1"/>
  <c r="F54" i="241"/>
  <c r="H54" i="241" s="1"/>
  <c r="D75" i="241" s="1"/>
  <c r="D76" i="248"/>
  <c r="E76" i="248" s="1"/>
  <c r="E75" i="248"/>
  <c r="F75" i="248" s="1"/>
  <c r="D67" i="262" s="1"/>
  <c r="M67" i="262" s="1"/>
  <c r="I49" i="247"/>
  <c r="C63" i="247" s="1"/>
  <c r="C66" i="247" s="1"/>
  <c r="F54" i="247"/>
  <c r="H54" i="247" s="1"/>
  <c r="D75" i="247" s="1"/>
  <c r="D76" i="246"/>
  <c r="E76" i="246" s="1"/>
  <c r="E75" i="246"/>
  <c r="F75" i="246" s="1"/>
  <c r="D65" i="262" s="1"/>
  <c r="M65" i="262" s="1"/>
  <c r="I49" i="244"/>
  <c r="C63" i="244" s="1"/>
  <c r="C66" i="244" s="1"/>
  <c r="F54" i="244"/>
  <c r="H54" i="244" s="1"/>
  <c r="D75" i="244" s="1"/>
  <c r="I49" i="242"/>
  <c r="C63" i="242" s="1"/>
  <c r="C66" i="242" s="1"/>
  <c r="F54" i="242"/>
  <c r="H54" i="242" s="1"/>
  <c r="D75" i="242" s="1"/>
  <c r="I49" i="240"/>
  <c r="C63" i="240" s="1"/>
  <c r="C66" i="240" s="1"/>
  <c r="I49" i="251"/>
  <c r="C63" i="251" s="1"/>
  <c r="C66" i="251" s="1"/>
  <c r="F54" i="251"/>
  <c r="H54" i="251" s="1"/>
  <c r="D75" i="251" s="1"/>
  <c r="F54" i="201"/>
  <c r="H54" i="201" s="1"/>
  <c r="D75" i="201" s="1"/>
  <c r="D76" i="201" s="1"/>
  <c r="E76" i="201" s="1"/>
  <c r="C63" i="224"/>
  <c r="C66" i="224" s="1"/>
  <c r="F54" i="224"/>
  <c r="H54" i="224" s="1"/>
  <c r="E75" i="224" s="1"/>
  <c r="F54" i="216"/>
  <c r="H54" i="216" s="1"/>
  <c r="D75" i="216" s="1"/>
  <c r="C63" i="216"/>
  <c r="C66" i="216" s="1"/>
  <c r="C63" i="212"/>
  <c r="C66" i="212" s="1"/>
  <c r="F54" i="212"/>
  <c r="H54" i="212" s="1"/>
  <c r="D75" i="212" s="1"/>
  <c r="C63" i="204"/>
  <c r="C66" i="204" s="1"/>
  <c r="F54" i="204"/>
  <c r="H54" i="204" s="1"/>
  <c r="D75" i="204" s="1"/>
  <c r="F54" i="221"/>
  <c r="H54" i="221" s="1"/>
  <c r="D75" i="221" s="1"/>
  <c r="C63" i="221"/>
  <c r="C66" i="221" s="1"/>
  <c r="C63" i="215"/>
  <c r="C66" i="215" s="1"/>
  <c r="F54" i="215"/>
  <c r="H54" i="215" s="1"/>
  <c r="D75" i="215" s="1"/>
  <c r="F54" i="214"/>
  <c r="H54" i="214" s="1"/>
  <c r="D75" i="214" s="1"/>
  <c r="C63" i="214"/>
  <c r="C66" i="214" s="1"/>
  <c r="I61" i="214" s="1"/>
  <c r="C63" i="222"/>
  <c r="C66" i="222" s="1"/>
  <c r="F54" i="222"/>
  <c r="H54" i="222" s="1"/>
  <c r="D75" i="222" s="1"/>
  <c r="C63" i="220"/>
  <c r="C66" i="220" s="1"/>
  <c r="F54" i="220"/>
  <c r="H54" i="220" s="1"/>
  <c r="D75" i="220" s="1"/>
  <c r="C63" i="205"/>
  <c r="C66" i="205" s="1"/>
  <c r="F54" i="205"/>
  <c r="H54" i="205" s="1"/>
  <c r="D75" i="205" s="1"/>
  <c r="C63" i="207"/>
  <c r="C66" i="207" s="1"/>
  <c r="F54" i="207"/>
  <c r="H54" i="207" s="1"/>
  <c r="D75" i="207" s="1"/>
  <c r="G71" i="201"/>
  <c r="I75" i="201" s="1"/>
  <c r="I76" i="201" s="1"/>
  <c r="C63" i="208"/>
  <c r="C66" i="208" s="1"/>
  <c r="F54" i="208"/>
  <c r="H54" i="208" s="1"/>
  <c r="D75" i="208" s="1"/>
  <c r="C63" i="211"/>
  <c r="C66" i="211" s="1"/>
  <c r="F54" i="211"/>
  <c r="H54" i="211" s="1"/>
  <c r="D75" i="211" s="1"/>
  <c r="C63" i="217"/>
  <c r="C66" i="217" s="1"/>
  <c r="F54" i="217"/>
  <c r="H54" i="217" s="1"/>
  <c r="D75" i="217" s="1"/>
  <c r="C63" i="213"/>
  <c r="C66" i="213" s="1"/>
  <c r="F54" i="213"/>
  <c r="H54" i="213" s="1"/>
  <c r="D75" i="213" s="1"/>
  <c r="F54" i="218"/>
  <c r="H54" i="218" s="1"/>
  <c r="D75" i="218" s="1"/>
  <c r="C63" i="218"/>
  <c r="C66" i="218" s="1"/>
  <c r="F54" i="223"/>
  <c r="H54" i="223" s="1"/>
  <c r="D75" i="223" s="1"/>
  <c r="C63" i="223"/>
  <c r="C66" i="223" s="1"/>
  <c r="C63" i="206"/>
  <c r="C66" i="206" s="1"/>
  <c r="F54" i="206"/>
  <c r="H54" i="206" s="1"/>
  <c r="D75" i="206" s="1"/>
  <c r="C63" i="219"/>
  <c r="C66" i="219" s="1"/>
  <c r="I61" i="219" s="1"/>
  <c r="F54" i="219"/>
  <c r="H54" i="219" s="1"/>
  <c r="D75" i="219" s="1"/>
  <c r="I61" i="208" l="1"/>
  <c r="I62" i="208" s="1"/>
  <c r="J61" i="208" s="1"/>
  <c r="I61" i="218"/>
  <c r="I62" i="218" s="1"/>
  <c r="J61" i="218" s="1"/>
  <c r="I61" i="222"/>
  <c r="I62" i="222" s="1"/>
  <c r="J61" i="222" s="1"/>
  <c r="I62" i="219"/>
  <c r="J61" i="219" s="1"/>
  <c r="I62" i="214"/>
  <c r="J61" i="214" s="1"/>
  <c r="I61" i="221"/>
  <c r="I62" i="221" s="1"/>
  <c r="J61" i="221" s="1"/>
  <c r="I61" i="207"/>
  <c r="I62" i="207" s="1"/>
  <c r="J61" i="207" s="1"/>
  <c r="D76" i="249"/>
  <c r="E76" i="249" s="1"/>
  <c r="I62" i="248"/>
  <c r="J61" i="248" s="1"/>
  <c r="I61" i="216"/>
  <c r="I62" i="216" s="1"/>
  <c r="J61" i="216" s="1"/>
  <c r="I61" i="215"/>
  <c r="I62" i="215" s="1"/>
  <c r="J61" i="215" s="1"/>
  <c r="I61" i="211"/>
  <c r="I62" i="211" s="1"/>
  <c r="J61" i="211" s="1"/>
  <c r="I61" i="206"/>
  <c r="I62" i="206" s="1"/>
  <c r="J61" i="206" s="1"/>
  <c r="I61" i="242"/>
  <c r="I62" i="242" s="1"/>
  <c r="J61" i="242" s="1"/>
  <c r="I61" i="243"/>
  <c r="I62" i="243" s="1"/>
  <c r="J61" i="243" s="1"/>
  <c r="I61" i="213"/>
  <c r="I62" i="213" s="1"/>
  <c r="J61" i="213" s="1"/>
  <c r="I61" i="245"/>
  <c r="I62" i="245" s="1"/>
  <c r="J61" i="245" s="1"/>
  <c r="I61" i="205"/>
  <c r="I62" i="205" s="1"/>
  <c r="J61" i="205" s="1"/>
  <c r="I61" i="202"/>
  <c r="I62" i="202" s="1"/>
  <c r="J61" i="202" s="1"/>
  <c r="I61" i="220"/>
  <c r="I62" i="220" s="1"/>
  <c r="J61" i="220" s="1"/>
  <c r="I61" i="251"/>
  <c r="I62" i="251" s="1"/>
  <c r="J61" i="251" s="1"/>
  <c r="I61" i="212"/>
  <c r="I62" i="212" s="1"/>
  <c r="J61" i="212" s="1"/>
  <c r="I61" i="217"/>
  <c r="I62" i="217" s="1"/>
  <c r="J61" i="217" s="1"/>
  <c r="I61" i="244"/>
  <c r="I62" i="244" s="1"/>
  <c r="J61" i="244" s="1"/>
  <c r="I61" i="240"/>
  <c r="I62" i="240" s="1"/>
  <c r="J61" i="240" s="1"/>
  <c r="I61" i="247"/>
  <c r="I62" i="247" s="1"/>
  <c r="J61" i="247" s="1"/>
  <c r="I61" i="223"/>
  <c r="I62" i="223" s="1"/>
  <c r="J61" i="223" s="1"/>
  <c r="I61" i="204"/>
  <c r="I62" i="204" s="1"/>
  <c r="J61" i="204" s="1"/>
  <c r="I61" i="224"/>
  <c r="I62" i="224" s="1"/>
  <c r="J61" i="224" s="1"/>
  <c r="I61" i="246"/>
  <c r="I62" i="246" s="1"/>
  <c r="J61" i="246" s="1"/>
  <c r="I61" i="241"/>
  <c r="I62" i="241" s="1"/>
  <c r="J61" i="241" s="1"/>
  <c r="G70" i="246"/>
  <c r="G67" i="246" s="1"/>
  <c r="I61" i="252"/>
  <c r="I62" i="252" s="1"/>
  <c r="J61" i="252" s="1"/>
  <c r="G70" i="221"/>
  <c r="G66" i="221" s="1"/>
  <c r="G70" i="220"/>
  <c r="G66" i="220" s="1"/>
  <c r="G70" i="212"/>
  <c r="G66" i="212" s="1"/>
  <c r="G70" i="202"/>
  <c r="G66" i="202" s="1"/>
  <c r="G70" i="217"/>
  <c r="G71" i="217" s="1"/>
  <c r="I75" i="217" s="1"/>
  <c r="I76" i="217" s="1"/>
  <c r="G70" i="205"/>
  <c r="G70" i="215"/>
  <c r="G66" i="215" s="1"/>
  <c r="G71" i="249"/>
  <c r="I75" i="249" s="1"/>
  <c r="I76" i="249" s="1"/>
  <c r="G68" i="249"/>
  <c r="G62" i="249"/>
  <c r="G67" i="249"/>
  <c r="I67" i="249"/>
  <c r="J67" i="249" s="1"/>
  <c r="K67" i="249" s="1"/>
  <c r="G66" i="249"/>
  <c r="G59" i="249"/>
  <c r="G71" i="248"/>
  <c r="I75" i="248" s="1"/>
  <c r="I76" i="248" s="1"/>
  <c r="G66" i="248"/>
  <c r="G62" i="248"/>
  <c r="G67" i="248"/>
  <c r="G68" i="248"/>
  <c r="I67" i="248"/>
  <c r="J67" i="248" s="1"/>
  <c r="K67" i="248" s="1"/>
  <c r="G59" i="248"/>
  <c r="C66" i="256"/>
  <c r="G70" i="242"/>
  <c r="G71" i="242" s="1"/>
  <c r="I75" i="242" s="1"/>
  <c r="I76" i="242" s="1"/>
  <c r="G70" i="244"/>
  <c r="G70" i="252"/>
  <c r="G70" i="247"/>
  <c r="G70" i="245"/>
  <c r="G70" i="216"/>
  <c r="G66" i="216" s="1"/>
  <c r="G70" i="251"/>
  <c r="G70" i="243"/>
  <c r="G70" i="240"/>
  <c r="G70" i="241"/>
  <c r="G70" i="224"/>
  <c r="G66" i="224" s="1"/>
  <c r="G70" i="223"/>
  <c r="G66" i="223" s="1"/>
  <c r="G70" i="222"/>
  <c r="G70" i="219"/>
  <c r="G70" i="218"/>
  <c r="G70" i="214"/>
  <c r="G70" i="213"/>
  <c r="G66" i="213" s="1"/>
  <c r="G70" i="211"/>
  <c r="G66" i="211" s="1"/>
  <c r="G70" i="208"/>
  <c r="G66" i="208" s="1"/>
  <c r="G70" i="207"/>
  <c r="G66" i="207" s="1"/>
  <c r="G70" i="206"/>
  <c r="G66" i="206" s="1"/>
  <c r="G70" i="204"/>
  <c r="G66" i="204" s="1"/>
  <c r="D75" i="240"/>
  <c r="E75" i="240" s="1"/>
  <c r="F75" i="240" s="1"/>
  <c r="D59" i="262" s="1"/>
  <c r="M59" i="262" s="1"/>
  <c r="F76" i="249"/>
  <c r="D68" i="254"/>
  <c r="D16" i="255" s="1"/>
  <c r="J16" i="255" s="1"/>
  <c r="K16" i="255" s="1"/>
  <c r="H16" i="255" s="1"/>
  <c r="I16" i="255" s="1"/>
  <c r="M16" i="255" s="1"/>
  <c r="E75" i="244"/>
  <c r="F75" i="244" s="1"/>
  <c r="D63" i="262" s="1"/>
  <c r="M63" i="262" s="1"/>
  <c r="D76" i="244"/>
  <c r="E76" i="244" s="1"/>
  <c r="F76" i="248"/>
  <c r="D67" i="254"/>
  <c r="D15" i="255" s="1"/>
  <c r="J15" i="255" s="1"/>
  <c r="K15" i="255" s="1"/>
  <c r="H15" i="255" s="1"/>
  <c r="I15" i="255" s="1"/>
  <c r="M15" i="255" s="1"/>
  <c r="D76" i="256"/>
  <c r="E76" i="256" s="1"/>
  <c r="E75" i="256"/>
  <c r="F75" i="256" s="1"/>
  <c r="F76" i="256" s="1"/>
  <c r="D76" i="251"/>
  <c r="E76" i="251" s="1"/>
  <c r="E75" i="251"/>
  <c r="F75" i="251" s="1"/>
  <c r="D69" i="262" s="1"/>
  <c r="M69" i="262" s="1"/>
  <c r="D76" i="252"/>
  <c r="E76" i="252" s="1"/>
  <c r="E75" i="252"/>
  <c r="F75" i="252" s="1"/>
  <c r="D70" i="262" s="1"/>
  <c r="M70" i="262" s="1"/>
  <c r="F76" i="246"/>
  <c r="D65" i="254"/>
  <c r="D13" i="255" s="1"/>
  <c r="J13" i="255" s="1"/>
  <c r="K13" i="255" s="1"/>
  <c r="H13" i="255" s="1"/>
  <c r="I13" i="255" s="1"/>
  <c r="M13" i="255" s="1"/>
  <c r="D76" i="241"/>
  <c r="E76" i="241" s="1"/>
  <c r="E75" i="241"/>
  <c r="F75" i="241" s="1"/>
  <c r="D60" i="262" s="1"/>
  <c r="M60" i="262" s="1"/>
  <c r="D76" i="243"/>
  <c r="E76" i="243" s="1"/>
  <c r="E75" i="243"/>
  <c r="F75" i="243" s="1"/>
  <c r="D62" i="262" s="1"/>
  <c r="M62" i="262" s="1"/>
  <c r="D76" i="242"/>
  <c r="E76" i="242" s="1"/>
  <c r="E75" i="242"/>
  <c r="F75" i="242" s="1"/>
  <c r="D61" i="262" s="1"/>
  <c r="M61" i="262" s="1"/>
  <c r="D76" i="247"/>
  <c r="E76" i="247" s="1"/>
  <c r="E75" i="247"/>
  <c r="F75" i="247" s="1"/>
  <c r="D66" i="262" s="1"/>
  <c r="M66" i="262" s="1"/>
  <c r="D76" i="245"/>
  <c r="E76" i="245" s="1"/>
  <c r="E75" i="245"/>
  <c r="F75" i="245" s="1"/>
  <c r="D64" i="262" s="1"/>
  <c r="M64" i="262" s="1"/>
  <c r="E75" i="201"/>
  <c r="F75" i="201" s="1"/>
  <c r="F76" i="201" s="1"/>
  <c r="D76" i="213"/>
  <c r="E76" i="213" s="1"/>
  <c r="E75" i="213"/>
  <c r="F75" i="213" s="1"/>
  <c r="D72" i="259" s="1"/>
  <c r="M72" i="259" s="1"/>
  <c r="D76" i="218"/>
  <c r="E76" i="218" s="1"/>
  <c r="E75" i="218"/>
  <c r="F75" i="218" s="1"/>
  <c r="D77" i="259" s="1"/>
  <c r="M77" i="259" s="1"/>
  <c r="D76" i="208"/>
  <c r="E76" i="208" s="1"/>
  <c r="E75" i="208"/>
  <c r="F75" i="208" s="1"/>
  <c r="D68" i="259" s="1"/>
  <c r="M68" i="259" s="1"/>
  <c r="D76" i="219"/>
  <c r="E76" i="219" s="1"/>
  <c r="E75" i="219"/>
  <c r="F75" i="219" s="1"/>
  <c r="D78" i="259" s="1"/>
  <c r="M78" i="259" s="1"/>
  <c r="D76" i="217"/>
  <c r="E76" i="217" s="1"/>
  <c r="E75" i="217"/>
  <c r="F75" i="217" s="1"/>
  <c r="D76" i="259" s="1"/>
  <c r="M76" i="259" s="1"/>
  <c r="D76" i="222"/>
  <c r="E76" i="222" s="1"/>
  <c r="E75" i="222"/>
  <c r="F75" i="222" s="1"/>
  <c r="D80" i="259" s="1"/>
  <c r="M80" i="259" s="1"/>
  <c r="D76" i="212"/>
  <c r="E76" i="212" s="1"/>
  <c r="E75" i="212"/>
  <c r="F75" i="212" s="1"/>
  <c r="D71" i="259" s="1"/>
  <c r="M71" i="259" s="1"/>
  <c r="F75" i="224"/>
  <c r="G75" i="224" s="1"/>
  <c r="E76" i="224"/>
  <c r="F76" i="224" s="1"/>
  <c r="D76" i="202"/>
  <c r="E76" i="202" s="1"/>
  <c r="E75" i="202"/>
  <c r="F75" i="202" s="1"/>
  <c r="D63" i="259" s="1"/>
  <c r="M63" i="259" s="1"/>
  <c r="D76" i="205"/>
  <c r="E76" i="205" s="1"/>
  <c r="E75" i="205"/>
  <c r="F75" i="205" s="1"/>
  <c r="D65" i="259" s="1"/>
  <c r="M65" i="259" s="1"/>
  <c r="D76" i="220"/>
  <c r="E76" i="220" s="1"/>
  <c r="E75" i="220"/>
  <c r="F75" i="220" s="1"/>
  <c r="F76" i="220" s="1"/>
  <c r="D79" i="259" s="1"/>
  <c r="M79" i="259" s="1"/>
  <c r="D76" i="211"/>
  <c r="E76" i="211" s="1"/>
  <c r="E75" i="211"/>
  <c r="F75" i="211" s="1"/>
  <c r="D70" i="259" s="1"/>
  <c r="M70" i="259" s="1"/>
  <c r="D76" i="221"/>
  <c r="E76" i="221" s="1"/>
  <c r="E75" i="221"/>
  <c r="F75" i="221" s="1"/>
  <c r="D69" i="259" s="1"/>
  <c r="M69" i="259" s="1"/>
  <c r="D76" i="204"/>
  <c r="E76" i="204" s="1"/>
  <c r="E75" i="204"/>
  <c r="F75" i="204" s="1"/>
  <c r="D64" i="259" s="1"/>
  <c r="M64" i="259" s="1"/>
  <c r="D76" i="206"/>
  <c r="E76" i="206" s="1"/>
  <c r="E75" i="206"/>
  <c r="F75" i="206" s="1"/>
  <c r="D66" i="259" s="1"/>
  <c r="M66" i="259" s="1"/>
  <c r="D76" i="223"/>
  <c r="E76" i="223" s="1"/>
  <c r="E75" i="223"/>
  <c r="F75" i="223" s="1"/>
  <c r="F76" i="223" s="1"/>
  <c r="D81" i="259" s="1"/>
  <c r="M81" i="259" s="1"/>
  <c r="D76" i="207"/>
  <c r="E76" i="207" s="1"/>
  <c r="E75" i="207"/>
  <c r="F75" i="207" s="1"/>
  <c r="D67" i="259" s="1"/>
  <c r="M67" i="259" s="1"/>
  <c r="D76" i="214"/>
  <c r="E76" i="214" s="1"/>
  <c r="E75" i="214"/>
  <c r="F75" i="214" s="1"/>
  <c r="D73" i="259" s="1"/>
  <c r="M73" i="259" s="1"/>
  <c r="D76" i="215"/>
  <c r="E76" i="215" s="1"/>
  <c r="E75" i="215"/>
  <c r="F75" i="215" s="1"/>
  <c r="D74" i="259" s="1"/>
  <c r="M74" i="259" s="1"/>
  <c r="D76" i="216"/>
  <c r="E76" i="216" s="1"/>
  <c r="E75" i="216"/>
  <c r="F75" i="216" s="1"/>
  <c r="D75" i="259" s="1"/>
  <c r="M75" i="259" s="1"/>
  <c r="G71" i="220" l="1"/>
  <c r="I75" i="220" s="1"/>
  <c r="I76" i="220" s="1"/>
  <c r="G62" i="246"/>
  <c r="G66" i="246"/>
  <c r="G68" i="246"/>
  <c r="G70" i="256"/>
  <c r="G66" i="256" s="1"/>
  <c r="G71" i="221"/>
  <c r="I75" i="221" s="1"/>
  <c r="I76" i="221" s="1"/>
  <c r="I67" i="224"/>
  <c r="J67" i="224" s="1"/>
  <c r="K67" i="224" s="1"/>
  <c r="G68" i="224"/>
  <c r="G67" i="224"/>
  <c r="G62" i="224"/>
  <c r="G59" i="224"/>
  <c r="G71" i="246"/>
  <c r="I75" i="246" s="1"/>
  <c r="I76" i="246" s="1"/>
  <c r="I61" i="256"/>
  <c r="I62" i="256" s="1"/>
  <c r="J61" i="256" s="1"/>
  <c r="I67" i="246"/>
  <c r="J67" i="246" s="1"/>
  <c r="K67" i="246" s="1"/>
  <c r="G59" i="246"/>
  <c r="G69" i="246" s="1"/>
  <c r="G71" i="215"/>
  <c r="I75" i="215" s="1"/>
  <c r="I76" i="215" s="1"/>
  <c r="G71" i="212"/>
  <c r="I75" i="212" s="1"/>
  <c r="I76" i="212" s="1"/>
  <c r="G66" i="217"/>
  <c r="G71" i="222"/>
  <c r="I75" i="222" s="1"/>
  <c r="I76" i="222" s="1"/>
  <c r="G59" i="222"/>
  <c r="G68" i="222"/>
  <c r="I67" i="222"/>
  <c r="J67" i="222" s="1"/>
  <c r="K67" i="222" s="1"/>
  <c r="G67" i="222"/>
  <c r="G62" i="222"/>
  <c r="G68" i="213"/>
  <c r="G59" i="213"/>
  <c r="I67" i="213"/>
  <c r="J67" i="213" s="1"/>
  <c r="K67" i="213" s="1"/>
  <c r="G67" i="213"/>
  <c r="G62" i="213"/>
  <c r="I67" i="220"/>
  <c r="J67" i="220" s="1"/>
  <c r="K67" i="220" s="1"/>
  <c r="G68" i="220"/>
  <c r="G67" i="220"/>
  <c r="G59" i="220"/>
  <c r="G62" i="220"/>
  <c r="G71" i="219"/>
  <c r="I75" i="219" s="1"/>
  <c r="I76" i="219" s="1"/>
  <c r="G67" i="219"/>
  <c r="I67" i="219"/>
  <c r="J67" i="219" s="1"/>
  <c r="K67" i="219" s="1"/>
  <c r="G59" i="219"/>
  <c r="G68" i="219"/>
  <c r="G62" i="219"/>
  <c r="G66" i="222"/>
  <c r="G71" i="206"/>
  <c r="I75" i="206" s="1"/>
  <c r="I76" i="206" s="1"/>
  <c r="G67" i="206"/>
  <c r="G59" i="206"/>
  <c r="I67" i="206"/>
  <c r="J67" i="206" s="1"/>
  <c r="K67" i="206" s="1"/>
  <c r="G68" i="206"/>
  <c r="G62" i="206"/>
  <c r="G67" i="214"/>
  <c r="I67" i="214"/>
  <c r="J67" i="214" s="1"/>
  <c r="K67" i="214" s="1"/>
  <c r="G68" i="214"/>
  <c r="G59" i="214"/>
  <c r="G62" i="214"/>
  <c r="G71" i="207"/>
  <c r="I75" i="207" s="1"/>
  <c r="I76" i="207" s="1"/>
  <c r="G67" i="207"/>
  <c r="I67" i="207"/>
  <c r="J67" i="207" s="1"/>
  <c r="K67" i="207" s="1"/>
  <c r="G68" i="207"/>
  <c r="G59" i="207"/>
  <c r="G62" i="207"/>
  <c r="G71" i="224"/>
  <c r="J75" i="224" s="1"/>
  <c r="J76" i="224" s="1"/>
  <c r="G68" i="218"/>
  <c r="G67" i="218"/>
  <c r="I67" i="218"/>
  <c r="J67" i="218" s="1"/>
  <c r="K67" i="218" s="1"/>
  <c r="G59" i="218"/>
  <c r="G62" i="218"/>
  <c r="G69" i="249"/>
  <c r="G67" i="215"/>
  <c r="I67" i="215"/>
  <c r="J67" i="215" s="1"/>
  <c r="K67" i="215" s="1"/>
  <c r="G59" i="215"/>
  <c r="G68" i="215"/>
  <c r="G62" i="215"/>
  <c r="G66" i="214"/>
  <c r="G67" i="205"/>
  <c r="G68" i="205"/>
  <c r="G59" i="205"/>
  <c r="I67" i="205"/>
  <c r="J67" i="205" s="1"/>
  <c r="K67" i="205" s="1"/>
  <c r="G62" i="205"/>
  <c r="G71" i="211"/>
  <c r="I75" i="211" s="1"/>
  <c r="I76" i="211" s="1"/>
  <c r="G68" i="211"/>
  <c r="I67" i="211"/>
  <c r="J67" i="211" s="1"/>
  <c r="K67" i="211" s="1"/>
  <c r="G67" i="211"/>
  <c r="G59" i="211"/>
  <c r="G62" i="211"/>
  <c r="I67" i="202"/>
  <c r="J67" i="202" s="1"/>
  <c r="K67" i="202" s="1"/>
  <c r="G67" i="202"/>
  <c r="G59" i="202"/>
  <c r="G68" i="202"/>
  <c r="G62" i="202"/>
  <c r="G71" i="202"/>
  <c r="I75" i="202" s="1"/>
  <c r="I76" i="202" s="1"/>
  <c r="G71" i="223"/>
  <c r="I75" i="223" s="1"/>
  <c r="I76" i="223" s="1"/>
  <c r="G59" i="223"/>
  <c r="G68" i="223"/>
  <c r="I67" i="223"/>
  <c r="J67" i="223" s="1"/>
  <c r="K67" i="223" s="1"/>
  <c r="G67" i="223"/>
  <c r="G62" i="223"/>
  <c r="G66" i="219"/>
  <c r="G71" i="204"/>
  <c r="I75" i="204" s="1"/>
  <c r="I76" i="204" s="1"/>
  <c r="G67" i="204"/>
  <c r="I67" i="204"/>
  <c r="J67" i="204" s="1"/>
  <c r="K67" i="204" s="1"/>
  <c r="G59" i="204"/>
  <c r="G68" i="204"/>
  <c r="G62" i="204"/>
  <c r="G59" i="216"/>
  <c r="I67" i="216"/>
  <c r="J67" i="216" s="1"/>
  <c r="K67" i="216" s="1"/>
  <c r="G68" i="216"/>
  <c r="G67" i="216"/>
  <c r="G62" i="216"/>
  <c r="I67" i="212"/>
  <c r="J67" i="212" s="1"/>
  <c r="K67" i="212" s="1"/>
  <c r="G68" i="212"/>
  <c r="G67" i="212"/>
  <c r="G59" i="212"/>
  <c r="G62" i="212"/>
  <c r="G67" i="217"/>
  <c r="G68" i="217"/>
  <c r="I67" i="217"/>
  <c r="J67" i="217" s="1"/>
  <c r="K67" i="217" s="1"/>
  <c r="G59" i="217"/>
  <c r="G62" i="217"/>
  <c r="G71" i="205"/>
  <c r="I75" i="205" s="1"/>
  <c r="I76" i="205" s="1"/>
  <c r="G68" i="208"/>
  <c r="I67" i="208"/>
  <c r="J67" i="208" s="1"/>
  <c r="K67" i="208" s="1"/>
  <c r="G67" i="208"/>
  <c r="G59" i="208"/>
  <c r="G62" i="208"/>
  <c r="G69" i="248"/>
  <c r="G66" i="205"/>
  <c r="G66" i="218"/>
  <c r="I67" i="221"/>
  <c r="J67" i="221" s="1"/>
  <c r="K67" i="221" s="1"/>
  <c r="G67" i="221"/>
  <c r="G59" i="221"/>
  <c r="G68" i="221"/>
  <c r="G62" i="221"/>
  <c r="I67" i="252"/>
  <c r="J67" i="252" s="1"/>
  <c r="K67" i="252" s="1"/>
  <c r="G68" i="252"/>
  <c r="G66" i="252"/>
  <c r="G67" i="252"/>
  <c r="G62" i="252"/>
  <c r="G59" i="252"/>
  <c r="G71" i="252"/>
  <c r="I75" i="252" s="1"/>
  <c r="I76" i="252" s="1"/>
  <c r="G71" i="251"/>
  <c r="I75" i="251" s="1"/>
  <c r="I76" i="251" s="1"/>
  <c r="I67" i="251"/>
  <c r="J67" i="251" s="1"/>
  <c r="K67" i="251" s="1"/>
  <c r="G67" i="251"/>
  <c r="G68" i="251"/>
  <c r="G66" i="251"/>
  <c r="G62" i="251"/>
  <c r="G59" i="251"/>
  <c r="G71" i="247"/>
  <c r="I75" i="247" s="1"/>
  <c r="I76" i="247" s="1"/>
  <c r="G66" i="247"/>
  <c r="I67" i="247"/>
  <c r="J67" i="247" s="1"/>
  <c r="K67" i="247" s="1"/>
  <c r="G68" i="247"/>
  <c r="G62" i="247"/>
  <c r="G67" i="247"/>
  <c r="G59" i="247"/>
  <c r="G71" i="245"/>
  <c r="I75" i="245" s="1"/>
  <c r="I76" i="245" s="1"/>
  <c r="I67" i="245"/>
  <c r="J67" i="245" s="1"/>
  <c r="K67" i="245" s="1"/>
  <c r="G68" i="245"/>
  <c r="G67" i="245"/>
  <c r="G66" i="245"/>
  <c r="G62" i="245"/>
  <c r="G59" i="245"/>
  <c r="G71" i="244"/>
  <c r="I75" i="244" s="1"/>
  <c r="I76" i="244" s="1"/>
  <c r="G67" i="244"/>
  <c r="G68" i="244"/>
  <c r="I67" i="244"/>
  <c r="J67" i="244" s="1"/>
  <c r="K67" i="244" s="1"/>
  <c r="G66" i="244"/>
  <c r="G62" i="244"/>
  <c r="G59" i="244"/>
  <c r="G71" i="243"/>
  <c r="I75" i="243" s="1"/>
  <c r="I76" i="243" s="1"/>
  <c r="G66" i="243"/>
  <c r="G62" i="243"/>
  <c r="G68" i="243"/>
  <c r="G67" i="243"/>
  <c r="I67" i="243"/>
  <c r="J67" i="243" s="1"/>
  <c r="K67" i="243" s="1"/>
  <c r="G59" i="243"/>
  <c r="G66" i="242"/>
  <c r="I67" i="242"/>
  <c r="J67" i="242" s="1"/>
  <c r="K67" i="242" s="1"/>
  <c r="G67" i="242"/>
  <c r="G68" i="242"/>
  <c r="G62" i="242"/>
  <c r="G59" i="242"/>
  <c r="G67" i="241"/>
  <c r="G66" i="241"/>
  <c r="G68" i="241"/>
  <c r="I67" i="241"/>
  <c r="J67" i="241" s="1"/>
  <c r="K67" i="241" s="1"/>
  <c r="G62" i="241"/>
  <c r="G59" i="241"/>
  <c r="G71" i="241"/>
  <c r="I75" i="241" s="1"/>
  <c r="I76" i="241" s="1"/>
  <c r="I67" i="240"/>
  <c r="J67" i="240" s="1"/>
  <c r="K67" i="240" s="1"/>
  <c r="G68" i="240"/>
  <c r="G66" i="240"/>
  <c r="G67" i="240"/>
  <c r="G62" i="240"/>
  <c r="G59" i="240"/>
  <c r="G71" i="216"/>
  <c r="I75" i="216" s="1"/>
  <c r="I76" i="216" s="1"/>
  <c r="G71" i="240"/>
  <c r="I75" i="240" s="1"/>
  <c r="I76" i="240" s="1"/>
  <c r="D76" i="240"/>
  <c r="E76" i="240" s="1"/>
  <c r="F76" i="240"/>
  <c r="F76" i="245"/>
  <c r="D64" i="254"/>
  <c r="D12" i="255" s="1"/>
  <c r="J12" i="255" s="1"/>
  <c r="K12" i="255" s="1"/>
  <c r="H12" i="255" s="1"/>
  <c r="I12" i="255" s="1"/>
  <c r="M12" i="255" s="1"/>
  <c r="F76" i="251"/>
  <c r="D69" i="254"/>
  <c r="D17" i="255" s="1"/>
  <c r="J17" i="255" s="1"/>
  <c r="K17" i="255" s="1"/>
  <c r="H17" i="255" s="1"/>
  <c r="I17" i="255" s="1"/>
  <c r="M17" i="255" s="1"/>
  <c r="F76" i="247"/>
  <c r="D66" i="254"/>
  <c r="D14" i="255" s="1"/>
  <c r="J14" i="255" s="1"/>
  <c r="K14" i="255" s="1"/>
  <c r="H14" i="255" s="1"/>
  <c r="I14" i="255" s="1"/>
  <c r="M14" i="255" s="1"/>
  <c r="F76" i="244"/>
  <c r="D63" i="254"/>
  <c r="D11" i="255" s="1"/>
  <c r="J11" i="255" s="1"/>
  <c r="K11" i="255" s="1"/>
  <c r="H11" i="255" s="1"/>
  <c r="I11" i="255" s="1"/>
  <c r="M11" i="255" s="1"/>
  <c r="F76" i="242"/>
  <c r="D61" i="254"/>
  <c r="D9" i="255" s="1"/>
  <c r="J9" i="255" s="1"/>
  <c r="K9" i="255" s="1"/>
  <c r="H9" i="255" s="1"/>
  <c r="I9" i="255" s="1"/>
  <c r="M9" i="255" s="1"/>
  <c r="F76" i="252"/>
  <c r="D70" i="254"/>
  <c r="D18" i="255" s="1"/>
  <c r="J18" i="255" s="1"/>
  <c r="K18" i="255" s="1"/>
  <c r="H18" i="255" s="1"/>
  <c r="I18" i="255" s="1"/>
  <c r="M18" i="255" s="1"/>
  <c r="F76" i="243"/>
  <c r="D62" i="254"/>
  <c r="D10" i="255" s="1"/>
  <c r="J10" i="255" s="1"/>
  <c r="K10" i="255" s="1"/>
  <c r="H10" i="255" s="1"/>
  <c r="I10" i="255" s="1"/>
  <c r="M10" i="255" s="1"/>
  <c r="F76" i="241"/>
  <c r="D60" i="254"/>
  <c r="D8" i="255" s="1"/>
  <c r="J8" i="255" s="1"/>
  <c r="K8" i="255" s="1"/>
  <c r="H8" i="255" s="1"/>
  <c r="I8" i="255" s="1"/>
  <c r="M8" i="255" s="1"/>
  <c r="M65" i="254"/>
  <c r="M68" i="254"/>
  <c r="M67" i="254"/>
  <c r="F76" i="222"/>
  <c r="D73" i="137"/>
  <c r="M73" i="137" s="1"/>
  <c r="D59" i="234"/>
  <c r="M59" i="234" s="1"/>
  <c r="D59" i="137"/>
  <c r="D7" i="233" s="1"/>
  <c r="J7" i="233" s="1"/>
  <c r="K7" i="233" s="1"/>
  <c r="G71" i="214"/>
  <c r="I75" i="214" s="1"/>
  <c r="I76" i="214" s="1"/>
  <c r="G71" i="213"/>
  <c r="I75" i="213" s="1"/>
  <c r="I76" i="213" s="1"/>
  <c r="G71" i="218"/>
  <c r="I75" i="218" s="1"/>
  <c r="I76" i="218" s="1"/>
  <c r="G71" i="208"/>
  <c r="I75" i="208" s="1"/>
  <c r="I76" i="208" s="1"/>
  <c r="D69" i="137"/>
  <c r="M69" i="137" s="1"/>
  <c r="F76" i="214"/>
  <c r="F76" i="207"/>
  <c r="D63" i="137"/>
  <c r="M63" i="137" s="1"/>
  <c r="D62" i="137"/>
  <c r="M62" i="137" s="1"/>
  <c r="F76" i="206"/>
  <c r="D60" i="137"/>
  <c r="M60" i="137" s="1"/>
  <c r="F76" i="204"/>
  <c r="D66" i="137"/>
  <c r="M66" i="137" s="1"/>
  <c r="F76" i="211"/>
  <c r="D75" i="137"/>
  <c r="F76" i="202"/>
  <c r="F76" i="212"/>
  <c r="D67" i="137"/>
  <c r="M67" i="137" s="1"/>
  <c r="F76" i="217"/>
  <c r="D72" i="137"/>
  <c r="M72" i="137" s="1"/>
  <c r="F76" i="219"/>
  <c r="D74" i="137"/>
  <c r="M74" i="137" s="1"/>
  <c r="F76" i="218"/>
  <c r="D70" i="137"/>
  <c r="F76" i="215"/>
  <c r="F76" i="221"/>
  <c r="D65" i="137"/>
  <c r="M65" i="137" s="1"/>
  <c r="F76" i="205"/>
  <c r="D61" i="137"/>
  <c r="M61" i="137" s="1"/>
  <c r="D76" i="137"/>
  <c r="M76" i="137" s="1"/>
  <c r="D64" i="137"/>
  <c r="M64" i="137" s="1"/>
  <c r="F76" i="208"/>
  <c r="F76" i="213"/>
  <c r="D68" i="137"/>
  <c r="M68" i="137" s="1"/>
  <c r="D71" i="137"/>
  <c r="M71" i="137" s="1"/>
  <c r="F76" i="216"/>
  <c r="G76" i="224"/>
  <c r="D82" i="259" s="1"/>
  <c r="M82" i="259" s="1"/>
  <c r="I67" i="256" l="1"/>
  <c r="G69" i="224"/>
  <c r="G69" i="223"/>
  <c r="G69" i="205"/>
  <c r="G69" i="213"/>
  <c r="G69" i="251"/>
  <c r="G69" i="241"/>
  <c r="G69" i="221"/>
  <c r="G69" i="240"/>
  <c r="G69" i="247"/>
  <c r="G69" i="245"/>
  <c r="G69" i="208"/>
  <c r="G69" i="219"/>
  <c r="G69" i="244"/>
  <c r="G69" i="202"/>
  <c r="G69" i="211"/>
  <c r="G69" i="207"/>
  <c r="G69" i="220"/>
  <c r="G69" i="218"/>
  <c r="G69" i="212"/>
  <c r="G69" i="216"/>
  <c r="G69" i="243"/>
  <c r="G69" i="215"/>
  <c r="G69" i="206"/>
  <c r="G69" i="222"/>
  <c r="G69" i="217"/>
  <c r="G69" i="204"/>
  <c r="G69" i="214"/>
  <c r="G69" i="252"/>
  <c r="G69" i="242"/>
  <c r="G71" i="256"/>
  <c r="I75" i="256" s="1"/>
  <c r="I76" i="256" s="1"/>
  <c r="G67" i="256"/>
  <c r="G59" i="256"/>
  <c r="G68" i="256"/>
  <c r="G62" i="256"/>
  <c r="M64" i="254"/>
  <c r="M63" i="254"/>
  <c r="D59" i="254"/>
  <c r="D7" i="255" s="1"/>
  <c r="J7" i="255" s="1"/>
  <c r="K7" i="255" s="1"/>
  <c r="H7" i="255" s="1"/>
  <c r="I7" i="255" s="1"/>
  <c r="M7" i="255" s="1"/>
  <c r="M60" i="254"/>
  <c r="M70" i="254"/>
  <c r="M61" i="254"/>
  <c r="M62" i="254"/>
  <c r="M69" i="254"/>
  <c r="M66" i="254"/>
  <c r="D24" i="233"/>
  <c r="J24" i="233" s="1"/>
  <c r="K24" i="233" s="1"/>
  <c r="D58" i="236"/>
  <c r="M58" i="236" s="1"/>
  <c r="D58" i="235"/>
  <c r="M58" i="235" s="1"/>
  <c r="M75" i="137"/>
  <c r="D23" i="233"/>
  <c r="J23" i="233" s="1"/>
  <c r="K23" i="233" s="1"/>
  <c r="M59" i="137"/>
  <c r="M70" i="137"/>
  <c r="D18" i="233"/>
  <c r="D9" i="233"/>
  <c r="J9" i="233" s="1"/>
  <c r="K9" i="233" s="1"/>
  <c r="D19" i="233"/>
  <c r="J19" i="233" s="1"/>
  <c r="D22" i="233"/>
  <c r="J22" i="233" s="1"/>
  <c r="K22" i="233" s="1"/>
  <c r="D11" i="233"/>
  <c r="J11" i="233" s="1"/>
  <c r="K11" i="233" s="1"/>
  <c r="D13" i="233"/>
  <c r="J13" i="233" s="1"/>
  <c r="K13" i="233" s="1"/>
  <c r="D8" i="233"/>
  <c r="J8" i="233" s="1"/>
  <c r="K8" i="233" s="1"/>
  <c r="D20" i="233"/>
  <c r="J20" i="233" s="1"/>
  <c r="K20" i="233" s="1"/>
  <c r="D17" i="233"/>
  <c r="J17" i="233" s="1"/>
  <c r="K17" i="233" s="1"/>
  <c r="D14" i="233"/>
  <c r="J14" i="233" s="1"/>
  <c r="K14" i="233" s="1"/>
  <c r="D16" i="233"/>
  <c r="J16" i="233" s="1"/>
  <c r="K16" i="233" s="1"/>
  <c r="D21" i="233"/>
  <c r="J21" i="233" s="1"/>
  <c r="K21" i="233" s="1"/>
  <c r="D12" i="233"/>
  <c r="J12" i="233" s="1"/>
  <c r="K12" i="233" s="1"/>
  <c r="D15" i="233"/>
  <c r="J15" i="233" s="1"/>
  <c r="K15" i="233" s="1"/>
  <c r="D10" i="233"/>
  <c r="J10" i="233" s="1"/>
  <c r="K10" i="233" s="1"/>
  <c r="D78" i="137"/>
  <c r="D77" i="137"/>
  <c r="G69" i="256" l="1"/>
  <c r="J67" i="256"/>
  <c r="M59" i="254"/>
  <c r="M77" i="137"/>
  <c r="D25" i="233"/>
  <c r="J25" i="233" s="1"/>
  <c r="K25" i="233" s="1"/>
  <c r="M78" i="137"/>
  <c r="D26" i="233"/>
  <c r="J26" i="233" s="1"/>
  <c r="K19" i="233"/>
  <c r="H19" i="233" s="1"/>
  <c r="J18" i="233"/>
  <c r="K18" i="233" s="1"/>
  <c r="H16" i="233"/>
  <c r="H11" i="233"/>
  <c r="H12" i="233"/>
  <c r="H24" i="233"/>
  <c r="H8" i="233"/>
  <c r="H22" i="233"/>
  <c r="H15" i="233"/>
  <c r="H20" i="233"/>
  <c r="H21" i="233"/>
  <c r="H14" i="233"/>
  <c r="H13" i="233"/>
  <c r="H10" i="233"/>
  <c r="H17" i="233"/>
  <c r="H7" i="233"/>
  <c r="H9" i="233"/>
  <c r="H23" i="233"/>
  <c r="K67" i="256" l="1"/>
  <c r="I19" i="233"/>
  <c r="M19" i="233" s="1"/>
  <c r="K26" i="233"/>
  <c r="H26" i="233" s="1"/>
  <c r="H18" i="233"/>
  <c r="I13" i="233"/>
  <c r="M13" i="233" s="1"/>
  <c r="I15" i="233"/>
  <c r="M15" i="233" s="1"/>
  <c r="I12" i="233"/>
  <c r="M12" i="233" s="1"/>
  <c r="I14" i="233"/>
  <c r="M14" i="233" s="1"/>
  <c r="I22" i="233"/>
  <c r="M22" i="233" s="1"/>
  <c r="I9" i="233"/>
  <c r="M9" i="233" s="1"/>
  <c r="I10" i="233"/>
  <c r="M10" i="233" s="1"/>
  <c r="H25" i="233"/>
  <c r="I21" i="233"/>
  <c r="M21" i="233" s="1"/>
  <c r="I11" i="233"/>
  <c r="M11" i="233" s="1"/>
  <c r="I7" i="233"/>
  <c r="M7" i="233" s="1"/>
  <c r="I8" i="233"/>
  <c r="M8" i="233" s="1"/>
  <c r="I24" i="233"/>
  <c r="M24" i="233" s="1"/>
  <c r="I20" i="233"/>
  <c r="M20" i="233" s="1"/>
  <c r="I17" i="233"/>
  <c r="M17" i="233" s="1"/>
  <c r="I16" i="233"/>
  <c r="M16" i="233" s="1"/>
  <c r="I23" i="233"/>
  <c r="M23" i="233" s="1"/>
  <c r="I18" i="233" l="1"/>
  <c r="M18" i="233" s="1"/>
  <c r="I26" i="233"/>
  <c r="M26" i="233" s="1"/>
  <c r="I25" i="233"/>
  <c r="M25" i="23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Elvis Aguirre Romero</author>
  </authors>
  <commentList>
    <comment ref="I48" authorId="0" shapeId="0" xr:uid="{00000000-0006-0000-0000-000001000000}">
      <text>
        <r>
          <rPr>
            <b/>
            <sz val="9"/>
            <color indexed="81"/>
            <rFont val="Tahoma"/>
            <family val="2"/>
          </rPr>
          <t>Ecuación (E.3-1) NTC 1848:2007</t>
        </r>
        <r>
          <rPr>
            <sz val="9"/>
            <color indexed="81"/>
            <rFont val="Tahoma"/>
            <family val="2"/>
          </rPr>
          <t xml:space="preserve">
</t>
        </r>
      </text>
    </comment>
    <comment ref="I49" authorId="0" shapeId="0" xr:uid="{00000000-0006-0000-0000-000002000000}">
      <text>
        <r>
          <rPr>
            <b/>
            <sz val="9"/>
            <color indexed="81"/>
            <rFont val="Tahoma"/>
            <family val="2"/>
          </rPr>
          <t>Ecuación (C.6.3-3) NTC 1848:2007</t>
        </r>
        <r>
          <rPr>
            <sz val="9"/>
            <color indexed="81"/>
            <rFont val="Tahoma"/>
            <family val="2"/>
          </rPr>
          <t xml:space="preserve">
</t>
        </r>
      </text>
    </comment>
    <comment ref="F53" authorId="0" shapeId="0" xr:uid="{00000000-0006-0000-0000-000003000000}">
      <text>
        <r>
          <rPr>
            <b/>
            <sz val="9"/>
            <color indexed="81"/>
            <rFont val="Tahoma"/>
            <family val="2"/>
          </rPr>
          <t>Ecuación (C.5.1-3) NTC 1848:2007</t>
        </r>
      </text>
    </comment>
    <comment ref="A66" authorId="0" shapeId="0" xr:uid="{00000000-0006-0000-0000-000004000000}">
      <text>
        <r>
          <rPr>
            <b/>
            <sz val="9"/>
            <color indexed="81"/>
            <rFont val="Tahoma"/>
            <family val="2"/>
          </rPr>
          <t>Ecuación (C.6.3-1) NTC 1848:2007</t>
        </r>
      </text>
    </comment>
    <comment ref="A67" authorId="0" shapeId="0" xr:uid="{00000000-0006-0000-0000-000005000000}">
      <text>
        <r>
          <rPr>
            <b/>
            <sz val="9"/>
            <color indexed="81"/>
            <rFont val="Tahoma"/>
            <family val="2"/>
          </rPr>
          <t>Ecuación (C.6.4-2) NTC 1848:2007</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tc={B16603F9-1199-4E9B-8D9A-6CDDA89A56E2}</author>
    <author>tc={72CAB778-1D1B-495D-B56A-2C449DE085AD}</author>
  </authors>
  <commentList>
    <comment ref="F45" authorId="0" shapeId="0" xr:uid="{00000000-0006-0000-1000-000001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Tener en cuenta: valor nominal, unidad, clase,marcación del fabricante y marcación adicional. ejemplo: (5 kg * M LVF TR)</t>
      </text>
    </comment>
    <comment ref="H119" authorId="1" shapeId="0" xr:uid="{00000000-0006-0000-1000-000002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Valor agregado algebraicamente al resultado no corregido de una medición para compensar un error sistemático. Nota: la corrección es igual al error sistemático, con signo negativo.</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Elvis Aguirre Romero</author>
  </authors>
  <commentList>
    <comment ref="I48" authorId="0" shapeId="0" xr:uid="{00000000-0006-0000-2200-000001000000}">
      <text>
        <r>
          <rPr>
            <b/>
            <sz val="9"/>
            <color indexed="81"/>
            <rFont val="Tahoma"/>
            <family val="2"/>
          </rPr>
          <t>Ecuación (E.3-1) NTC 1848:2007</t>
        </r>
        <r>
          <rPr>
            <sz val="9"/>
            <color indexed="81"/>
            <rFont val="Tahoma"/>
            <family val="2"/>
          </rPr>
          <t xml:space="preserve">
</t>
        </r>
      </text>
    </comment>
    <comment ref="I49" authorId="0" shapeId="0" xr:uid="{00000000-0006-0000-2200-000002000000}">
      <text>
        <r>
          <rPr>
            <b/>
            <sz val="9"/>
            <color indexed="81"/>
            <rFont val="Tahoma"/>
            <family val="2"/>
          </rPr>
          <t>Ecuación (C.6.3-3) NTC 1848:2007</t>
        </r>
        <r>
          <rPr>
            <sz val="9"/>
            <color indexed="81"/>
            <rFont val="Tahoma"/>
            <family val="2"/>
          </rPr>
          <t xml:space="preserve">
</t>
        </r>
      </text>
    </comment>
    <comment ref="F53" authorId="0" shapeId="0" xr:uid="{00000000-0006-0000-2200-000003000000}">
      <text>
        <r>
          <rPr>
            <b/>
            <sz val="9"/>
            <color indexed="81"/>
            <rFont val="Tahoma"/>
            <family val="2"/>
          </rPr>
          <t>Ecuación (C.5.1-3) NTC 1848:2007</t>
        </r>
      </text>
    </comment>
    <comment ref="A66" authorId="0" shapeId="0" xr:uid="{00000000-0006-0000-2200-000004000000}">
      <text>
        <r>
          <rPr>
            <b/>
            <sz val="9"/>
            <color indexed="81"/>
            <rFont val="Tahoma"/>
            <family val="2"/>
          </rPr>
          <t>Ecuación (C.6.3-1) NTC 1848:2007</t>
        </r>
      </text>
    </comment>
    <comment ref="A67" authorId="0" shapeId="0" xr:uid="{00000000-0006-0000-2200-000005000000}">
      <text>
        <r>
          <rPr>
            <b/>
            <sz val="9"/>
            <color indexed="81"/>
            <rFont val="Tahoma"/>
            <family val="2"/>
          </rPr>
          <t>Ecuación (C.6.4-2) NTC 1848:2007</t>
        </r>
        <r>
          <rPr>
            <sz val="9"/>
            <color indexed="81"/>
            <rFont val="Tahoma"/>
            <family val="2"/>
          </rPr>
          <t xml:space="preserve">
</t>
        </r>
      </text>
    </comment>
  </commentList>
</comments>
</file>

<file path=xl/sharedStrings.xml><?xml version="1.0" encoding="utf-8"?>
<sst xmlns="http://schemas.openxmlformats.org/spreadsheetml/2006/main" count="7599" uniqueCount="567">
  <si>
    <t>A</t>
  </si>
  <si>
    <t>g</t>
  </si>
  <si>
    <t>B</t>
  </si>
  <si>
    <t>mg</t>
  </si>
  <si>
    <t>No</t>
  </si>
  <si>
    <t>Cilindro - botón</t>
  </si>
  <si>
    <t>Información del Cliente</t>
  </si>
  <si>
    <t>Serie</t>
  </si>
  <si>
    <t>Fecha de calibración</t>
  </si>
  <si>
    <t>Presión (hPa)</t>
  </si>
  <si>
    <t>Fabricante</t>
  </si>
  <si>
    <t>Clase de exactitud</t>
  </si>
  <si>
    <t>Número de pesas suministradas para la calibración:</t>
  </si>
  <si>
    <t>Descripción del patrón</t>
  </si>
  <si>
    <t>Certificado</t>
  </si>
  <si>
    <t>Fecha de Calibración</t>
  </si>
  <si>
    <t>FIRMAS AUTORIZADAS:</t>
  </si>
  <si>
    <t>Ciudad</t>
  </si>
  <si>
    <t>Solicitante</t>
  </si>
  <si>
    <t>DATOS DE LA PESA DE REFERENCIA</t>
  </si>
  <si>
    <t>DATOS DE LA PESA DE PRUEBA</t>
  </si>
  <si>
    <t>Clase</t>
  </si>
  <si>
    <t>Serial</t>
  </si>
  <si>
    <t>Marcación</t>
  </si>
  <si>
    <t>Certificado N°</t>
  </si>
  <si>
    <t>Fecha Certificado</t>
  </si>
  <si>
    <t>DATOS TERMOHIGRÓMETRO - BARÓMETRO</t>
  </si>
  <si>
    <t>Temperatura (°C)</t>
  </si>
  <si>
    <t>CICLOS DE PESAJE</t>
  </si>
  <si>
    <t>Hora inicial</t>
  </si>
  <si>
    <t>INDICACIONES (g)</t>
  </si>
  <si>
    <t>Ciclo</t>
  </si>
  <si>
    <t>Carga</t>
  </si>
  <si>
    <t>Hora final</t>
  </si>
  <si>
    <t>ANÁLISIS DE DATOS</t>
  </si>
  <si>
    <t>PROMEDIOS (g)</t>
  </si>
  <si>
    <t>Promedio</t>
  </si>
  <si>
    <t>CÁLCULO DENSIDAD DEL AIRE</t>
  </si>
  <si>
    <t>Magnitud</t>
  </si>
  <si>
    <t>Promedios</t>
  </si>
  <si>
    <t>DIFERENCIA PROMEDIO DE LA MASA CONVENCIONAL</t>
  </si>
  <si>
    <t>Promedio Indicación</t>
  </si>
  <si>
    <t>Corrección empuje aire</t>
  </si>
  <si>
    <t>C</t>
  </si>
  <si>
    <t>Diferencia masa convencional</t>
  </si>
  <si>
    <t>PRESUPUESTO DE INCERTIDUMBRE</t>
  </si>
  <si>
    <t>Incertidumbre típica</t>
  </si>
  <si>
    <t>Proceso de pesaje</t>
  </si>
  <si>
    <t>U/k</t>
  </si>
  <si>
    <t>Pesa de referencia</t>
  </si>
  <si>
    <t>Densidad pesa prueba</t>
  </si>
  <si>
    <t>Incertidumbre estándar combinada</t>
  </si>
  <si>
    <t>Resolución balanza</t>
  </si>
  <si>
    <t>Incertidumbre 
expandida</t>
  </si>
  <si>
    <t>RESULTADOS</t>
  </si>
  <si>
    <t>Fecha de Recepción</t>
  </si>
  <si>
    <t>Lugar de Calibración</t>
  </si>
  <si>
    <t>HOJA DE CÁLCULO PARA CALIBRACIÓN DE PESAS</t>
  </si>
  <si>
    <t xml:space="preserve">Cumple </t>
  </si>
  <si>
    <t>SI/NO</t>
  </si>
  <si>
    <t>………………………..FIN DE ESTE DOCUMENTO………………………..</t>
  </si>
  <si>
    <r>
      <t xml:space="preserve">Resolución </t>
    </r>
    <r>
      <rPr>
        <i/>
        <sz val="10"/>
        <color theme="1"/>
        <rFont val="Arial"/>
        <family val="2"/>
      </rPr>
      <t>d</t>
    </r>
  </si>
  <si>
    <r>
      <t xml:space="preserve">Valor Nominal </t>
    </r>
    <r>
      <rPr>
        <b/>
        <i/>
        <sz val="10"/>
        <color theme="1"/>
        <rFont val="Arial"/>
        <family val="2"/>
      </rPr>
      <t>m</t>
    </r>
    <r>
      <rPr>
        <b/>
        <i/>
        <vertAlign val="subscript"/>
        <sz val="10"/>
        <color theme="1"/>
        <rFont val="Arial"/>
        <family val="2"/>
      </rPr>
      <t>Nt</t>
    </r>
  </si>
  <si>
    <r>
      <t xml:space="preserve">Valor Nominal </t>
    </r>
    <r>
      <rPr>
        <b/>
        <i/>
        <sz val="10"/>
        <color theme="1"/>
        <rFont val="Arial"/>
        <family val="2"/>
      </rPr>
      <t>m</t>
    </r>
    <r>
      <rPr>
        <b/>
        <i/>
        <vertAlign val="subscript"/>
        <sz val="10"/>
        <color theme="1"/>
        <rFont val="Arial"/>
        <family val="2"/>
      </rPr>
      <t>Nr</t>
    </r>
  </si>
  <si>
    <r>
      <t xml:space="preserve">Densidad </t>
    </r>
    <r>
      <rPr>
        <b/>
        <i/>
        <sz val="10"/>
        <color theme="1"/>
        <rFont val="Arial"/>
        <family val="2"/>
      </rPr>
      <t>ρ</t>
    </r>
    <r>
      <rPr>
        <b/>
        <i/>
        <vertAlign val="subscript"/>
        <sz val="10"/>
        <color theme="1"/>
        <rFont val="Arial"/>
        <family val="2"/>
      </rPr>
      <t>t</t>
    </r>
  </si>
  <si>
    <r>
      <t xml:space="preserve">Error </t>
    </r>
    <r>
      <rPr>
        <b/>
        <i/>
        <sz val="10"/>
        <color theme="1"/>
        <rFont val="Arial"/>
        <family val="2"/>
      </rPr>
      <t>e</t>
    </r>
    <r>
      <rPr>
        <b/>
        <i/>
        <vertAlign val="subscript"/>
        <sz val="10"/>
        <color theme="1"/>
        <rFont val="Arial"/>
        <family val="2"/>
      </rPr>
      <t>r</t>
    </r>
  </si>
  <si>
    <r>
      <t>Incertidumbre de densidad U</t>
    </r>
    <r>
      <rPr>
        <b/>
        <i/>
        <sz val="10"/>
        <color theme="1"/>
        <rFont val="Arial"/>
        <family val="2"/>
      </rPr>
      <t>(ρ</t>
    </r>
    <r>
      <rPr>
        <b/>
        <i/>
        <vertAlign val="subscript"/>
        <sz val="10"/>
        <color theme="1"/>
        <rFont val="Arial"/>
        <family val="2"/>
      </rPr>
      <t>t</t>
    </r>
    <r>
      <rPr>
        <b/>
        <i/>
        <sz val="10"/>
        <color theme="1"/>
        <rFont val="Arial"/>
        <family val="2"/>
      </rPr>
      <t>)</t>
    </r>
  </si>
  <si>
    <r>
      <t xml:space="preserve">Incertidumbre de calibración </t>
    </r>
    <r>
      <rPr>
        <b/>
        <i/>
        <sz val="10"/>
        <color theme="1"/>
        <rFont val="Arial"/>
        <family val="2"/>
      </rPr>
      <t>U(m</t>
    </r>
    <r>
      <rPr>
        <b/>
        <i/>
        <vertAlign val="subscript"/>
        <sz val="10"/>
        <color theme="1"/>
        <rFont val="Arial"/>
        <family val="2"/>
      </rPr>
      <t>cr</t>
    </r>
    <r>
      <rPr>
        <b/>
        <i/>
        <sz val="10"/>
        <color theme="1"/>
        <rFont val="Arial"/>
        <family val="2"/>
      </rPr>
      <t>)</t>
    </r>
    <r>
      <rPr>
        <b/>
        <sz val="10"/>
        <color theme="1"/>
        <rFont val="Arial"/>
        <family val="2"/>
      </rPr>
      <t xml:space="preserve"> (k=2)</t>
    </r>
  </si>
  <si>
    <r>
      <t xml:space="preserve">Densidad </t>
    </r>
    <r>
      <rPr>
        <b/>
        <i/>
        <sz val="10"/>
        <color theme="1"/>
        <rFont val="Arial"/>
        <family val="2"/>
      </rPr>
      <t>ρ</t>
    </r>
    <r>
      <rPr>
        <b/>
        <i/>
        <vertAlign val="subscript"/>
        <sz val="10"/>
        <color theme="1"/>
        <rFont val="Arial"/>
        <family val="2"/>
      </rPr>
      <t>r</t>
    </r>
  </si>
  <si>
    <r>
      <t>Densidad Aire en calibración</t>
    </r>
    <r>
      <rPr>
        <i/>
        <sz val="10"/>
        <color theme="1"/>
        <rFont val="Arial"/>
        <family val="2"/>
      </rPr>
      <t xml:space="preserve"> ρ</t>
    </r>
    <r>
      <rPr>
        <i/>
        <vertAlign val="subscript"/>
        <sz val="10"/>
        <color theme="1"/>
        <rFont val="Arial"/>
        <family val="2"/>
      </rPr>
      <t>a1</t>
    </r>
  </si>
  <si>
    <r>
      <t xml:space="preserve">Densidad aire </t>
    </r>
    <r>
      <rPr>
        <b/>
        <i/>
        <sz val="11"/>
        <color theme="0"/>
        <rFont val="Arial"/>
        <family val="2"/>
      </rPr>
      <t>ρ</t>
    </r>
    <r>
      <rPr>
        <b/>
        <i/>
        <vertAlign val="subscript"/>
        <sz val="11"/>
        <color theme="0"/>
        <rFont val="Arial"/>
        <family val="2"/>
      </rPr>
      <t>a</t>
    </r>
  </si>
  <si>
    <r>
      <t xml:space="preserve">Incertidumbre densidad aire </t>
    </r>
    <r>
      <rPr>
        <b/>
        <i/>
        <sz val="11"/>
        <color theme="0"/>
        <rFont val="Arial"/>
        <family val="2"/>
      </rPr>
      <t>u(ρ</t>
    </r>
    <r>
      <rPr>
        <b/>
        <i/>
        <vertAlign val="subscript"/>
        <sz val="11"/>
        <color theme="0"/>
        <rFont val="Arial"/>
        <family val="2"/>
      </rPr>
      <t>a</t>
    </r>
    <r>
      <rPr>
        <b/>
        <i/>
        <sz val="11"/>
        <color theme="0"/>
        <rFont val="Arial"/>
        <family val="2"/>
      </rPr>
      <t>)</t>
    </r>
  </si>
  <si>
    <r>
      <t>Densidad aire convencional</t>
    </r>
    <r>
      <rPr>
        <b/>
        <sz val="14"/>
        <color theme="0"/>
        <rFont val="Arial"/>
        <family val="2"/>
      </rPr>
      <t xml:space="preserve"> </t>
    </r>
    <r>
      <rPr>
        <i/>
        <sz val="14"/>
        <color theme="0"/>
        <rFont val="Arial"/>
        <family val="2"/>
      </rPr>
      <t>ρ</t>
    </r>
    <r>
      <rPr>
        <i/>
        <vertAlign val="subscript"/>
        <sz val="14"/>
        <color theme="0"/>
        <rFont val="Arial"/>
        <family val="2"/>
      </rPr>
      <t>0</t>
    </r>
  </si>
  <si>
    <r>
      <t>kg.m</t>
    </r>
    <r>
      <rPr>
        <b/>
        <vertAlign val="superscript"/>
        <sz val="11"/>
        <color theme="1"/>
        <rFont val="Arial"/>
        <family val="2"/>
      </rPr>
      <t>-3</t>
    </r>
  </si>
  <si>
    <r>
      <t xml:space="preserve">Masa convencional de referencia </t>
    </r>
    <r>
      <rPr>
        <i/>
        <sz val="11"/>
        <color theme="1"/>
        <rFont val="Arial"/>
        <family val="2"/>
      </rPr>
      <t>m</t>
    </r>
    <r>
      <rPr>
        <i/>
        <vertAlign val="subscript"/>
        <sz val="11"/>
        <color theme="1"/>
        <rFont val="Arial"/>
        <family val="2"/>
      </rPr>
      <t>cr</t>
    </r>
  </si>
  <si>
    <t>Sartorius</t>
  </si>
  <si>
    <r>
      <t>kg/m</t>
    </r>
    <r>
      <rPr>
        <vertAlign val="superscript"/>
        <sz val="11"/>
        <color theme="1"/>
        <rFont val="Times New Roman"/>
        <family val="1"/>
      </rPr>
      <t>3</t>
    </r>
  </si>
  <si>
    <r>
      <t xml:space="preserve">Desviación
</t>
    </r>
    <r>
      <rPr>
        <b/>
        <i/>
        <sz val="11"/>
        <color theme="0"/>
        <rFont val="Arial"/>
        <family val="2"/>
      </rPr>
      <t>s</t>
    </r>
  </si>
  <si>
    <t>B 444195367</t>
  </si>
  <si>
    <t>AJS</t>
  </si>
  <si>
    <t>AKI</t>
  </si>
  <si>
    <t>AKJ</t>
  </si>
  <si>
    <t>AGU</t>
  </si>
  <si>
    <t>AH3</t>
  </si>
  <si>
    <t>AJ1</t>
  </si>
  <si>
    <t>AKA</t>
  </si>
  <si>
    <t>AHL</t>
  </si>
  <si>
    <t>AJG</t>
  </si>
  <si>
    <t>ALZ</t>
  </si>
  <si>
    <t>ALW</t>
  </si>
  <si>
    <t>ACT</t>
  </si>
  <si>
    <t>ABN</t>
  </si>
  <si>
    <t>AC1</t>
  </si>
  <si>
    <t>ABY</t>
  </si>
  <si>
    <t>AB9</t>
  </si>
  <si>
    <t>AAM</t>
  </si>
  <si>
    <t>2*</t>
  </si>
  <si>
    <t>20*</t>
  </si>
  <si>
    <t>200*</t>
  </si>
  <si>
    <t>Mettler Toledo</t>
  </si>
  <si>
    <t>Valor nominal (g)</t>
  </si>
  <si>
    <t>Error (mg)</t>
  </si>
  <si>
    <t>Incertidumbre de calibración (mg)</t>
  </si>
  <si>
    <t>No porta</t>
  </si>
  <si>
    <t>E 2</t>
  </si>
  <si>
    <t>F 1</t>
  </si>
  <si>
    <t xml:space="preserve">F1   1 g  </t>
  </si>
  <si>
    <t xml:space="preserve">F1   2 g  </t>
  </si>
  <si>
    <t xml:space="preserve">F1   2 g punto </t>
  </si>
  <si>
    <t xml:space="preserve">F1   5 g  </t>
  </si>
  <si>
    <t xml:space="preserve">F1   10 g  </t>
  </si>
  <si>
    <t xml:space="preserve">F1   20 g  </t>
  </si>
  <si>
    <t xml:space="preserve">F1   20 g punto </t>
  </si>
  <si>
    <t xml:space="preserve">F1   50 g  </t>
  </si>
  <si>
    <t xml:space="preserve">F1   100 g  </t>
  </si>
  <si>
    <t xml:space="preserve">F1   200 g  </t>
  </si>
  <si>
    <t xml:space="preserve">F1   200 g punto </t>
  </si>
  <si>
    <t xml:space="preserve">F1   500 g  </t>
  </si>
  <si>
    <t xml:space="preserve">E2   1 g  </t>
  </si>
  <si>
    <t xml:space="preserve">E2   2 g  </t>
  </si>
  <si>
    <t xml:space="preserve">E2   5 g  </t>
  </si>
  <si>
    <t xml:space="preserve">E2   10 g  </t>
  </si>
  <si>
    <t xml:space="preserve">E2   20 g  </t>
  </si>
  <si>
    <t xml:space="preserve">E2   50 g  </t>
  </si>
  <si>
    <t xml:space="preserve">E2   100 g  </t>
  </si>
  <si>
    <t xml:space="preserve">E2   200 g  </t>
  </si>
  <si>
    <t xml:space="preserve">E2   500 g  </t>
  </si>
  <si>
    <t>Calibrado por</t>
  </si>
  <si>
    <t>kg/m³</t>
  </si>
  <si>
    <r>
      <t xml:space="preserve">N° de Ciclos </t>
    </r>
    <r>
      <rPr>
        <b/>
        <sz val="14"/>
        <color theme="1"/>
        <rFont val="Arial"/>
        <family val="2"/>
      </rPr>
      <t>n</t>
    </r>
  </si>
  <si>
    <t>*</t>
  </si>
  <si>
    <t>M-008</t>
  </si>
  <si>
    <t>M-007</t>
  </si>
  <si>
    <t>M-006</t>
  </si>
  <si>
    <t>M-005</t>
  </si>
  <si>
    <t>M-009</t>
  </si>
  <si>
    <t>M-001</t>
  </si>
  <si>
    <t>M-002</t>
  </si>
  <si>
    <t>M-003</t>
  </si>
  <si>
    <t>M-004</t>
  </si>
  <si>
    <t>1 kg</t>
  </si>
  <si>
    <t>2 kg</t>
  </si>
  <si>
    <t>5 kg</t>
  </si>
  <si>
    <t>10 kg</t>
  </si>
  <si>
    <t>Pesas</t>
  </si>
  <si>
    <t>Luis Henry Barreto Rojas</t>
  </si>
  <si>
    <t>Elvis Aguirre Romero</t>
  </si>
  <si>
    <t>Identificación / Serie</t>
  </si>
  <si>
    <t>Capacidad (Según Certificado)</t>
  </si>
  <si>
    <t>División de Escala / Resolución</t>
  </si>
  <si>
    <t>Corrección (Según Certificado)</t>
  </si>
  <si>
    <t>Incertidumbre del Certificado</t>
  </si>
  <si>
    <t>Factor de Cobertura (Según Certificado)</t>
  </si>
  <si>
    <t>Trazabilidad y numero</t>
  </si>
  <si>
    <t>Lufft Opus 20</t>
  </si>
  <si>
    <t>M-014</t>
  </si>
  <si>
    <t>LH</t>
  </si>
  <si>
    <t>EA</t>
  </si>
  <si>
    <t>20 kg</t>
  </si>
  <si>
    <t xml:space="preserve">Valor Nominal </t>
  </si>
  <si>
    <t>CMC PESA tabla 1 OIML R 111-1 CLASE M1</t>
  </si>
  <si>
    <t>Datos de las Pesas Calibradas  Laboratorio SIC</t>
  </si>
  <si>
    <t>Información de Calibración</t>
  </si>
  <si>
    <t>°C</t>
  </si>
  <si>
    <t>hPa</t>
  </si>
  <si>
    <t xml:space="preserve">  V-002 </t>
  </si>
  <si>
    <t>M-010</t>
  </si>
  <si>
    <t>M-011</t>
  </si>
  <si>
    <t>1 g</t>
  </si>
  <si>
    <t>2 g</t>
  </si>
  <si>
    <t>2 g *</t>
  </si>
  <si>
    <t xml:space="preserve">5 g </t>
  </si>
  <si>
    <t>10 g</t>
  </si>
  <si>
    <t>20 g</t>
  </si>
  <si>
    <t>20 g *</t>
  </si>
  <si>
    <t>50 g</t>
  </si>
  <si>
    <t>100 g</t>
  </si>
  <si>
    <t>200 g</t>
  </si>
  <si>
    <t>200 g *</t>
  </si>
  <si>
    <t>500 g</t>
  </si>
  <si>
    <t>2 kg *</t>
  </si>
  <si>
    <t>5 kg C</t>
  </si>
  <si>
    <t>10 kg C</t>
  </si>
  <si>
    <t>20 kg C</t>
  </si>
  <si>
    <t>Datos de las Pesas Patrón</t>
  </si>
  <si>
    <t>En el presente certificado, el separador decimal es la coma (,)</t>
  </si>
  <si>
    <t>Temperatura</t>
  </si>
  <si>
    <t>0,23.0714.0802.024</t>
  </si>
  <si>
    <t>V-002</t>
  </si>
  <si>
    <t>Humedad</t>
  </si>
  <si>
    <t xml:space="preserve">M-012 </t>
  </si>
  <si>
    <t xml:space="preserve">M-012  </t>
  </si>
  <si>
    <t xml:space="preserve">M-013 </t>
  </si>
  <si>
    <t xml:space="preserve">M-013  </t>
  </si>
  <si>
    <t>CDT CERT-16-EMP-1057-2567</t>
  </si>
  <si>
    <t xml:space="preserve">M-010 </t>
  </si>
  <si>
    <t>0,26.0714.0802.024</t>
  </si>
  <si>
    <t>INM 2148</t>
  </si>
  <si>
    <t xml:space="preserve">M-011 </t>
  </si>
  <si>
    <t>0,22.0714.0802.024</t>
  </si>
  <si>
    <t>INM 1997</t>
  </si>
  <si>
    <t>INM 2147</t>
  </si>
  <si>
    <t xml:space="preserve">Incertidumbre </t>
  </si>
  <si>
    <t>1393 DK</t>
  </si>
  <si>
    <t>1405 DK</t>
  </si>
  <si>
    <t xml:space="preserve">2.   LUGAR Y DIRECCIÓN DE CALIBRACIÓN </t>
  </si>
  <si>
    <t>3.  CÓDIGO INTERNO</t>
  </si>
  <si>
    <t>Ciudad de Origen</t>
  </si>
  <si>
    <t>Intervalo de Medición (g) Clase M1 1 g A 20 kg</t>
  </si>
  <si>
    <t>Código interno</t>
  </si>
  <si>
    <t>Código Interno</t>
  </si>
  <si>
    <t>Nombre del Metrólogo</t>
  </si>
  <si>
    <t xml:space="preserve"> Metrólogo de Masa y Volumen</t>
  </si>
  <si>
    <t xml:space="preserve">kg/m³   </t>
  </si>
  <si>
    <t>Unidad</t>
  </si>
  <si>
    <t>E2   2 g AKJ</t>
  </si>
  <si>
    <t>E2   20 g AKA</t>
  </si>
  <si>
    <t xml:space="preserve">E2   200 g ALW </t>
  </si>
  <si>
    <t>Forma</t>
  </si>
  <si>
    <t>Material</t>
  </si>
  <si>
    <t>Densidad</t>
  </si>
  <si>
    <t>Valor</t>
  </si>
  <si>
    <t>°C m</t>
  </si>
  <si>
    <t>°C b</t>
  </si>
  <si>
    <t>hPa m</t>
  </si>
  <si>
    <t>hPa b</t>
  </si>
  <si>
    <t>Aleación / material</t>
  </si>
  <si>
    <t>Platino</t>
  </si>
  <si>
    <t>Bronce</t>
  </si>
  <si>
    <t>Acero al carbono</t>
  </si>
  <si>
    <t>Hierro</t>
  </si>
  <si>
    <t>Hierro fundido (blanco)</t>
  </si>
  <si>
    <t>Hierro fundido (gris)</t>
  </si>
  <si>
    <t>Aluminio</t>
  </si>
  <si>
    <t>kg m-3</t>
  </si>
  <si>
    <t xml:space="preserve">± Incertidumbre (k=2) </t>
  </si>
  <si>
    <t>OBSERVACIONES</t>
  </si>
  <si>
    <t>≤ 0,3</t>
  </si>
  <si>
    <t>Distribución</t>
  </si>
  <si>
    <t>Rectangular</t>
  </si>
  <si>
    <t>Normal</t>
  </si>
  <si>
    <t>Condicional incertidumbre dominante</t>
  </si>
  <si>
    <t>SI</t>
  </si>
  <si>
    <t>Incertidumbre dominante</t>
  </si>
  <si>
    <t>Resultado</t>
  </si>
  <si>
    <t>1.   INFORMACIÓN DEL EQUIPO SOMETIDO A CALIBRACIÓN</t>
  </si>
  <si>
    <t>Propiedad de un resultado de medida por la cual el resultado puede relacionarse con una referencia mediante una cadena ininterrumpida y documentada de calibraciones, cada una de las cuales contribuye a la incertidumbre de medida.</t>
  </si>
  <si>
    <t>Firma Autorizada</t>
  </si>
  <si>
    <t xml:space="preserve">4.   MÉTODO DE CALIBRACIÓN  UTILIZADO   </t>
  </si>
  <si>
    <t>7.   INCERTIDUMBRE DE MEDICIÓN</t>
  </si>
  <si>
    <t>8.   RESULTADOS DE LA CALIBRACIÓN</t>
  </si>
  <si>
    <t>9.   OBSERVACIONES</t>
  </si>
  <si>
    <r>
      <rPr>
        <b/>
        <sz val="12"/>
        <rFont val="Tahoma"/>
        <family val="2"/>
      </rPr>
      <t>≥</t>
    </r>
    <r>
      <rPr>
        <b/>
        <sz val="12"/>
        <rFont val="Arial"/>
        <family val="2"/>
      </rPr>
      <t xml:space="preserve"> 0,3</t>
    </r>
  </si>
  <si>
    <t xml:space="preserve">           </t>
  </si>
  <si>
    <t xml:space="preserve">Incertidumbre masa convencional           </t>
  </si>
  <si>
    <t xml:space="preserve">Masa convencional </t>
  </si>
  <si>
    <t>Pesa (s)</t>
  </si>
  <si>
    <t>6.    TRAZABILIDAD METROLÓGICA</t>
  </si>
  <si>
    <t>Código interno       (# de Radicado)</t>
  </si>
  <si>
    <t>Patrón Utilizado en la Calibración - Termohigrómetros</t>
  </si>
  <si>
    <t>Patrón Utilizado en la Calibración - BALANZAS</t>
  </si>
  <si>
    <t>Presión Atmosférica</t>
  </si>
  <si>
    <t>Lista de aleaciones usadas mas comúnmente para las pesas Tabla B.7.metodo F2 NTC 1848/ 2007</t>
  </si>
  <si>
    <t>Níquel plata</t>
  </si>
  <si>
    <t>Masa convencional</t>
  </si>
  <si>
    <t>∞</t>
  </si>
  <si>
    <t>±</t>
  </si>
  <si>
    <t xml:space="preserve">Valor Nominal  </t>
  </si>
  <si>
    <t>5.   DESCRIPCIÓN DE LA (S) PESA (S) CALIBRADA (S)</t>
  </si>
  <si>
    <t>"La incertidumbre expandida de la medición reportada se establece como la incertidumbre estándar de medición multiplicada por el factor de cobertura “k” y la probabilidad de cobertura, la cual debe ser aproximada al 95% y no menor a este valor".</t>
  </si>
  <si>
    <t>Los resultados obtenidos en esta calibración, aplican a la información del equipo descrito en el numeral uno (1) del presente certificado.</t>
  </si>
  <si>
    <t>Los resultados obtenidos en el presente certificado se refieren al momento y condiciones en que se realizaron las mediciones.</t>
  </si>
  <si>
    <t>Este certificado de calibración no puede ser reproducido parcial ni totalmente,  excepto  con  autorización  del  laboratorio  de la Superintendencia de Industria y Comercio.</t>
  </si>
  <si>
    <t>1500 DK</t>
  </si>
  <si>
    <t>1504 DK</t>
  </si>
  <si>
    <t xml:space="preserve"> Error </t>
  </si>
  <si>
    <t xml:space="preserve">EMP Clase M1 ± </t>
  </si>
  <si>
    <t xml:space="preserve">Acero inoxidable </t>
  </si>
  <si>
    <t>Acero inoxidable.</t>
  </si>
  <si>
    <t>Lugar y dirección de calibración</t>
  </si>
  <si>
    <t>INM 4216</t>
  </si>
  <si>
    <t>INM 4217</t>
  </si>
  <si>
    <t xml:space="preserve"> </t>
  </si>
  <si>
    <t xml:space="preserve">E M P </t>
  </si>
  <si>
    <t>Los laboratorios de la Superintendencia de Industria y Comercio, no se responsabilizan de los perjuicios que puedan derivarse del uso inadecuado del equipo calibrado.</t>
  </si>
  <si>
    <t>El certificado de calibración sin las firmas autorizadas no es válido.</t>
  </si>
  <si>
    <t xml:space="preserve">Solicitante:                    </t>
  </si>
  <si>
    <t xml:space="preserve">Dirección:                       </t>
  </si>
  <si>
    <t xml:space="preserve">Ciudad:                          </t>
  </si>
  <si>
    <t>Fecha de recepción:</t>
  </si>
  <si>
    <t>Fecha de calibración:</t>
  </si>
  <si>
    <t>Objeto:</t>
  </si>
  <si>
    <t>Fabricante:</t>
  </si>
  <si>
    <t>Número de serie:</t>
  </si>
  <si>
    <t>Pesa de 10 kg</t>
  </si>
  <si>
    <t>Las pesas se limpiaron teniendo en cuenta lo definido en el  numeral B.4, de la NTC 1848:2007.</t>
  </si>
  <si>
    <t xml:space="preserve">Fecha de elaboración:  </t>
  </si>
  <si>
    <t>Dirección del Solicitante</t>
  </si>
  <si>
    <r>
      <t>Densidad kg/m</t>
    </r>
    <r>
      <rPr>
        <b/>
        <vertAlign val="superscript"/>
        <sz val="12"/>
        <rFont val="Arial"/>
        <family val="2"/>
      </rPr>
      <t>3</t>
    </r>
  </si>
  <si>
    <r>
      <t>Incertidumbre de densidad kg/m</t>
    </r>
    <r>
      <rPr>
        <b/>
        <vertAlign val="superscript"/>
        <sz val="12"/>
        <rFont val="Arial"/>
        <family val="2"/>
      </rPr>
      <t>3</t>
    </r>
  </si>
  <si>
    <r>
      <t>Densidad del aire kg/m</t>
    </r>
    <r>
      <rPr>
        <b/>
        <vertAlign val="superscript"/>
        <sz val="12"/>
        <rFont val="Arial"/>
        <family val="2"/>
      </rPr>
      <t>3</t>
    </r>
  </si>
  <si>
    <r>
      <t xml:space="preserve">Valor Nominal </t>
    </r>
    <r>
      <rPr>
        <b/>
        <i/>
        <sz val="12"/>
        <rFont val="Arial"/>
        <family val="2"/>
      </rPr>
      <t>m</t>
    </r>
    <r>
      <rPr>
        <b/>
        <i/>
        <vertAlign val="subscript"/>
        <sz val="12"/>
        <rFont val="Arial"/>
        <family val="2"/>
      </rPr>
      <t xml:space="preserve">Nt  </t>
    </r>
    <r>
      <rPr>
        <b/>
        <i/>
        <sz val="12"/>
        <rFont val="Arial"/>
        <family val="2"/>
      </rPr>
      <t>en g</t>
    </r>
  </si>
  <si>
    <r>
      <t xml:space="preserve">Densidad </t>
    </r>
    <r>
      <rPr>
        <b/>
        <i/>
        <sz val="12"/>
        <rFont val="Arial"/>
        <family val="2"/>
      </rPr>
      <t>ρ</t>
    </r>
    <r>
      <rPr>
        <b/>
        <i/>
        <vertAlign val="subscript"/>
        <sz val="12"/>
        <rFont val="Arial"/>
        <family val="2"/>
      </rPr>
      <t xml:space="preserve">t            </t>
    </r>
    <r>
      <rPr>
        <b/>
        <i/>
        <sz val="12"/>
        <rFont val="Arial"/>
        <family val="2"/>
      </rPr>
      <t>kg/m3</t>
    </r>
  </si>
  <si>
    <r>
      <t>Incertidumbre de densidad U</t>
    </r>
    <r>
      <rPr>
        <b/>
        <i/>
        <sz val="12"/>
        <rFont val="Arial"/>
        <family val="2"/>
      </rPr>
      <t>(ρ</t>
    </r>
    <r>
      <rPr>
        <b/>
        <i/>
        <vertAlign val="subscript"/>
        <sz val="12"/>
        <rFont val="Arial"/>
        <family val="2"/>
      </rPr>
      <t>t</t>
    </r>
    <r>
      <rPr>
        <b/>
        <i/>
        <sz val="12"/>
        <rFont val="Arial"/>
        <family val="2"/>
      </rPr>
      <t>)                             kg/m3</t>
    </r>
  </si>
  <si>
    <r>
      <t>kg m</t>
    </r>
    <r>
      <rPr>
        <vertAlign val="superscript"/>
        <sz val="12"/>
        <rFont val="Arial"/>
        <family val="2"/>
      </rPr>
      <t>-3</t>
    </r>
  </si>
  <si>
    <r>
      <t xml:space="preserve">Incertidumbre de densidad </t>
    </r>
    <r>
      <rPr>
        <b/>
        <i/>
        <sz val="10"/>
        <color theme="1"/>
        <rFont val="Arial"/>
        <family val="2"/>
      </rPr>
      <t>u(ρ</t>
    </r>
    <r>
      <rPr>
        <b/>
        <i/>
        <vertAlign val="subscript"/>
        <sz val="10"/>
        <color theme="1"/>
        <rFont val="Arial"/>
        <family val="2"/>
      </rPr>
      <t>r</t>
    </r>
    <r>
      <rPr>
        <b/>
        <i/>
        <sz val="10"/>
        <color theme="1"/>
        <rFont val="Arial"/>
        <family val="2"/>
      </rPr>
      <t xml:space="preserve">) </t>
    </r>
  </si>
  <si>
    <t>Marcación de la (s) pesa (s)</t>
  </si>
  <si>
    <t>Humedad relativa (% hr)</t>
  </si>
  <si>
    <t>Los resultados de la medición son trazables al Sistema Internacional de Unidades (SI).</t>
  </si>
  <si>
    <t xml:space="preserve"> Sustituto del Responsable de la Dirección Técnica</t>
  </si>
  <si>
    <t>Stivinson Córdoba Sánchez</t>
  </si>
  <si>
    <t>Responsable de la Dirección Técnica</t>
  </si>
  <si>
    <t>Fecha de Recepción          Ver RT03-F09</t>
  </si>
  <si>
    <t>Grupo de trabajo del laboratorio</t>
  </si>
  <si>
    <t>Roles del grupo de trabajo</t>
  </si>
  <si>
    <t>SC</t>
  </si>
  <si>
    <r>
      <t xml:space="preserve">Incertidumbre </t>
    </r>
    <r>
      <rPr>
        <b/>
        <sz val="10"/>
        <color theme="0"/>
        <rFont val="Calibri"/>
        <family val="2"/>
      </rPr>
      <t>±</t>
    </r>
    <r>
      <rPr>
        <b/>
        <sz val="10"/>
        <color theme="0"/>
        <rFont val="Arial"/>
        <family val="2"/>
      </rPr>
      <t xml:space="preserve">  U (k=2)</t>
    </r>
  </si>
  <si>
    <t>Se adhiere al estuche del equipo calibrado una estampilla, identificada con el número del  certificado.</t>
  </si>
  <si>
    <t>% hr</t>
  </si>
  <si>
    <t>% hr m</t>
  </si>
  <si>
    <t>% hr b</t>
  </si>
  <si>
    <t>Condiciones ambientales durante la calibración</t>
  </si>
  <si>
    <t xml:space="preserve">Promedios Corregidos </t>
  </si>
  <si>
    <t>Pesa de 20 kg</t>
  </si>
  <si>
    <t>Pesa de 5 kg</t>
  </si>
  <si>
    <t>Incertidumbre (±)  (k=2)</t>
  </si>
  <si>
    <t>Humedad relativa (%hr)</t>
  </si>
  <si>
    <t xml:space="preserve">  Sustituto del Responsable de la Dirección Técnica</t>
  </si>
  <si>
    <t>k=1,65</t>
  </si>
  <si>
    <t>k= 2</t>
  </si>
  <si>
    <t xml:space="preserve">k=1,65 </t>
  </si>
  <si>
    <t>5 g</t>
  </si>
  <si>
    <t>Juego de pesas de 1 g a 10 kg</t>
  </si>
  <si>
    <t>Fecha</t>
  </si>
  <si>
    <t>Mínimo</t>
  </si>
  <si>
    <t>Máximo</t>
  </si>
  <si>
    <t>2 g*</t>
  </si>
  <si>
    <t>20 g*</t>
  </si>
  <si>
    <t>200 g*</t>
  </si>
  <si>
    <t>2 kg*</t>
  </si>
  <si>
    <t>Mínimo Corregido</t>
  </si>
  <si>
    <t>Máximo Corregido</t>
  </si>
  <si>
    <t>Información</t>
  </si>
  <si>
    <t>Calibración pesa referencia</t>
  </si>
  <si>
    <t>Inestabilidad pesa referencia</t>
  </si>
  <si>
    <t>Densidad  del aire</t>
  </si>
  <si>
    <t>Densidad pesa referencia</t>
  </si>
  <si>
    <t>Corrección por empuje del aire</t>
  </si>
  <si>
    <t>Error en masa convencional (mg)</t>
  </si>
  <si>
    <t xml:space="preserve">La incertidumbre estándar de medición se multiplica por un factor de cobertura "k"= 2. </t>
  </si>
  <si>
    <t xml:space="preserve">Fecha de emisión:  </t>
  </si>
  <si>
    <t>Hora Inicio</t>
  </si>
  <si>
    <t>Hora Final</t>
  </si>
  <si>
    <t>Termohigrómetro</t>
  </si>
  <si>
    <t>INM 4629</t>
  </si>
  <si>
    <t>INM 4630</t>
  </si>
  <si>
    <t>INM 4626</t>
  </si>
  <si>
    <t>2020-07-07 / 2020-7-08 / 2020-05-29</t>
  </si>
  <si>
    <t>INM  4629 - INM 4630 - INM 4626</t>
  </si>
  <si>
    <t>INM 4610</t>
  </si>
  <si>
    <t>INM 4611</t>
  </si>
  <si>
    <t>INM 4625</t>
  </si>
  <si>
    <t>2020-06-18 / 2020-06-19/ 2020-05-29</t>
  </si>
  <si>
    <t>INM-4610, INM 4611 - INM 4625</t>
  </si>
  <si>
    <t>INM 4608</t>
  </si>
  <si>
    <t>INM 4609</t>
  </si>
  <si>
    <t>2020-06-18 2020-06-19- 2020-05-29</t>
  </si>
  <si>
    <t>INM 4608 - INM 4609 -   INM 4623</t>
  </si>
  <si>
    <t>INM 4627</t>
  </si>
  <si>
    <t>INM 4628</t>
  </si>
  <si>
    <t>INM 4624</t>
  </si>
  <si>
    <t>2020-07-07 / 2020-07-08 / 2020-05-29</t>
  </si>
  <si>
    <t>INM-4627-INM 4628-INM 4624</t>
  </si>
  <si>
    <r>
      <t xml:space="preserve">Incertidumbre expandida de la medición    </t>
    </r>
    <r>
      <rPr>
        <b/>
        <sz val="11"/>
        <color theme="1"/>
        <rFont val="Calibri"/>
        <family val="2"/>
      </rPr>
      <t xml:space="preserve">±  </t>
    </r>
    <r>
      <rPr>
        <b/>
        <sz val="11"/>
        <color theme="1"/>
        <rFont val="Arial"/>
        <family val="2"/>
      </rPr>
      <t>U (k=2)</t>
    </r>
  </si>
  <si>
    <t>E2 10 kg</t>
  </si>
  <si>
    <t xml:space="preserve">E2 20 kg </t>
  </si>
  <si>
    <t>E2</t>
  </si>
  <si>
    <t>Kern</t>
  </si>
  <si>
    <t>G 1938658</t>
  </si>
  <si>
    <t>M-019</t>
  </si>
  <si>
    <t>F1 20 kg</t>
  </si>
  <si>
    <t>F1</t>
  </si>
  <si>
    <t>M-020</t>
  </si>
  <si>
    <t>F1 20 kg A</t>
  </si>
  <si>
    <t>20 A</t>
  </si>
  <si>
    <t>G 1934093</t>
  </si>
  <si>
    <t>G 1934095</t>
  </si>
  <si>
    <t>G1- 398</t>
  </si>
  <si>
    <t>G1- 204</t>
  </si>
  <si>
    <t>G1- 396</t>
  </si>
  <si>
    <t>M-021</t>
  </si>
  <si>
    <t>F1 20 kg B</t>
  </si>
  <si>
    <t>G 1934094</t>
  </si>
  <si>
    <t>20 B</t>
  </si>
  <si>
    <t>G1- 397</t>
  </si>
  <si>
    <t>M-022</t>
  </si>
  <si>
    <t>F1 10 kg C</t>
  </si>
  <si>
    <t>Accurate</t>
  </si>
  <si>
    <t>10 C</t>
  </si>
  <si>
    <t>M- 4241</t>
  </si>
  <si>
    <t>M-023</t>
  </si>
  <si>
    <t>F1 10 kg D</t>
  </si>
  <si>
    <t>10 D</t>
  </si>
  <si>
    <t>M-024</t>
  </si>
  <si>
    <t>F1 5 kg E</t>
  </si>
  <si>
    <t>5 D</t>
  </si>
  <si>
    <t>M- 4240</t>
  </si>
  <si>
    <t>M- 4242</t>
  </si>
  <si>
    <t>M-025</t>
  </si>
  <si>
    <t>F1   1 g  Acc</t>
  </si>
  <si>
    <t>F1   2 g  Acc</t>
  </si>
  <si>
    <t>F1   2 g punto Acc</t>
  </si>
  <si>
    <t>F1   5 g  Acc</t>
  </si>
  <si>
    <t>F1   10 g  Acc</t>
  </si>
  <si>
    <t>F1   20 g  Acc</t>
  </si>
  <si>
    <t>F1   20 g punto Acc</t>
  </si>
  <si>
    <t>F1   50 g  Acc</t>
  </si>
  <si>
    <t>F1   100 g  Acc</t>
  </si>
  <si>
    <t>F1   200 g  Acc</t>
  </si>
  <si>
    <t>F1   200 g punto Acc</t>
  </si>
  <si>
    <t>F1   500 g  Acc</t>
  </si>
  <si>
    <t>2 *</t>
  </si>
  <si>
    <t>20 *</t>
  </si>
  <si>
    <t>200 *</t>
  </si>
  <si>
    <t>M-4252</t>
  </si>
  <si>
    <t>M-018</t>
  </si>
  <si>
    <t xml:space="preserve">F1   1 000 g  </t>
  </si>
  <si>
    <t xml:space="preserve">F1   5 000 g  </t>
  </si>
  <si>
    <t xml:space="preserve">F1   2 000 g punto </t>
  </si>
  <si>
    <t xml:space="preserve">F1   2 000 g  </t>
  </si>
  <si>
    <t>F1   10 000 g</t>
  </si>
  <si>
    <t>F1   20 000 g</t>
  </si>
  <si>
    <t xml:space="preserve">E2   5 000 g  </t>
  </si>
  <si>
    <t xml:space="preserve">E2   2 000 g  </t>
  </si>
  <si>
    <t xml:space="preserve">E2   1 000 g  </t>
  </si>
  <si>
    <t>F1   2 000 g punto Acc</t>
  </si>
  <si>
    <t>F1   5 000 g  Acc</t>
  </si>
  <si>
    <t>F1   1 000 g  Acc</t>
  </si>
  <si>
    <t>F1   2 000 g  Acc</t>
  </si>
  <si>
    <t>INM 4623</t>
  </si>
  <si>
    <t>Juego de pesas de 1 g a 5 kg</t>
  </si>
  <si>
    <t>5 kg (C)</t>
  </si>
  <si>
    <t>10 kg ( C)</t>
  </si>
  <si>
    <t>20 kg (C)</t>
  </si>
  <si>
    <t xml:space="preserve">Error en masa convencional </t>
  </si>
  <si>
    <t xml:space="preserve"> ±EMP </t>
  </si>
  <si>
    <t>Probabilidad de conformidad</t>
  </si>
  <si>
    <t>Valor Nominal</t>
  </si>
  <si>
    <t>N°</t>
  </si>
  <si>
    <t xml:space="preserve"> ± EMP</t>
  </si>
  <si>
    <t>Probabilidad de NO conformidad</t>
  </si>
  <si>
    <t>|E|</t>
  </si>
  <si>
    <t xml:space="preserve">Z </t>
  </si>
  <si>
    <t xml:space="preserve">Marcación </t>
  </si>
  <si>
    <t>Descargar datos del termohigrómetro utilizado en la calibración-condiciones ambientales máximas y mínimas  Incluir evidencia de condiciones ambiemtales (pantallazo)</t>
  </si>
  <si>
    <t>En la calibración se utilizó el método establecido en el documento normativo NTC 1848:2007 (según el alcance de acreditación).</t>
  </si>
  <si>
    <t>La declaración de conformidad se aplica a los resultados de la calibración, teniendo en cuenta que, el error en masa convencional, más la incertidumbre expandida de la medición, no deberá superar el error máximo permitido (EMP) de la tabla 1 del numeral 5.1.2 de la norma NTC 1848:2007, para las clase M1.</t>
  </si>
  <si>
    <t>cumple</t>
  </si>
  <si>
    <t>Error de referencia</t>
  </si>
  <si>
    <t>Modificación al Certificado N°</t>
  </si>
  <si>
    <t>Laboratorio de calibración de masa y volumen, avenida carrera  50 # 26-55 Int 2,  piso 5.</t>
  </si>
  <si>
    <t>INM 4703</t>
  </si>
  <si>
    <t xml:space="preserve">2019-09-24  / 2019-09-25  / 2020-10-02 </t>
  </si>
  <si>
    <t>INM 4216 - INM 4217 -  INM 4703</t>
  </si>
  <si>
    <t xml:space="preserve">V 2 RL.  1 g  </t>
  </si>
  <si>
    <t>Rice Lake</t>
  </si>
  <si>
    <t>No identificado</t>
  </si>
  <si>
    <t xml:space="preserve">V 2 RL. 2 g  </t>
  </si>
  <si>
    <t xml:space="preserve">V 2 RL.  2 g punto </t>
  </si>
  <si>
    <t>punto</t>
  </si>
  <si>
    <t xml:space="preserve">V 2 RL.  5 g  </t>
  </si>
  <si>
    <t xml:space="preserve">V 2 RL.  10 g  </t>
  </si>
  <si>
    <t xml:space="preserve">V 2 RL.  20 g  </t>
  </si>
  <si>
    <t xml:space="preserve">V 2 RL. 20 g punto </t>
  </si>
  <si>
    <t xml:space="preserve">V 2 RL. 50 g  </t>
  </si>
  <si>
    <t xml:space="preserve">V 2 RL.  100 g  </t>
  </si>
  <si>
    <t xml:space="preserve">V 2 RL.  200 g  </t>
  </si>
  <si>
    <t xml:space="preserve">V 2 RL.  200 g punto </t>
  </si>
  <si>
    <t xml:space="preserve">V 2 RL.  500 g  </t>
  </si>
  <si>
    <t xml:space="preserve">V 2 RL.  1 000 g  </t>
  </si>
  <si>
    <t xml:space="preserve">V 2 RL.  2 000 g  </t>
  </si>
  <si>
    <t xml:space="preserve">V 2 RL.  2 000 g punto </t>
  </si>
  <si>
    <t xml:space="preserve">V 2 RL.  5 000 g  </t>
  </si>
  <si>
    <t>M-016</t>
  </si>
  <si>
    <t>1 mg</t>
  </si>
  <si>
    <t>2 mg</t>
  </si>
  <si>
    <t>5 mg</t>
  </si>
  <si>
    <t>10 mg</t>
  </si>
  <si>
    <t>2 * mg</t>
  </si>
  <si>
    <t>20 * mg</t>
  </si>
  <si>
    <t>20 mg</t>
  </si>
  <si>
    <t>50 mg</t>
  </si>
  <si>
    <t>100 mg</t>
  </si>
  <si>
    <t>200 mg</t>
  </si>
  <si>
    <t>200 * mg</t>
  </si>
  <si>
    <t>500 mg</t>
  </si>
  <si>
    <t>Código interno       LCP-XX-XXXXX          N° Radicado</t>
  </si>
  <si>
    <t>N °  Certificado y Estampilla                    LCP-XXX-XX</t>
  </si>
  <si>
    <t xml:space="preserve">E2   2 000 g AC1 </t>
  </si>
  <si>
    <t>ALERTA  VER FOTOGRAFÍAS, SISTEMA TRÁMITES, RT03-F09, PESAS FÍSICAS</t>
  </si>
  <si>
    <r>
      <t xml:space="preserve">Unidades en   " °C , % hr </t>
    </r>
    <r>
      <rPr>
        <sz val="12"/>
        <color theme="0"/>
        <rFont val="Arial"/>
        <family val="2"/>
      </rPr>
      <t>y</t>
    </r>
    <r>
      <rPr>
        <b/>
        <sz val="12"/>
        <color theme="0"/>
        <rFont val="Arial"/>
        <family val="2"/>
      </rPr>
      <t xml:space="preserve"> hPa " </t>
    </r>
    <r>
      <rPr>
        <sz val="12"/>
        <color theme="0"/>
        <rFont val="Arial"/>
        <family val="2"/>
      </rPr>
      <t xml:space="preserve"> según corresponda</t>
    </r>
  </si>
  <si>
    <r>
      <t xml:space="preserve">Resolución </t>
    </r>
    <r>
      <rPr>
        <b/>
        <i/>
        <sz val="12"/>
        <rFont val="Arial"/>
        <family val="2"/>
      </rPr>
      <t>d</t>
    </r>
    <r>
      <rPr>
        <b/>
        <sz val="12"/>
        <rFont val="Arial"/>
        <family val="2"/>
      </rPr>
      <t xml:space="preserve"> (g)</t>
    </r>
  </si>
  <si>
    <t>2 mg *</t>
  </si>
  <si>
    <t>20 mg *</t>
  </si>
  <si>
    <t>200 mg *</t>
  </si>
  <si>
    <t xml:space="preserve">F1   1 mg  </t>
  </si>
  <si>
    <t xml:space="preserve">F1   2 mg  </t>
  </si>
  <si>
    <t xml:space="preserve">F1   2 mg punto </t>
  </si>
  <si>
    <t xml:space="preserve">F1   5 mg  </t>
  </si>
  <si>
    <t xml:space="preserve">F1   10 mg  </t>
  </si>
  <si>
    <t xml:space="preserve">F1   20 mg  </t>
  </si>
  <si>
    <t xml:space="preserve">F1   20 mg punto </t>
  </si>
  <si>
    <t xml:space="preserve">F1   50 mg  </t>
  </si>
  <si>
    <t xml:space="preserve">F1   100 mg  </t>
  </si>
  <si>
    <t xml:space="preserve">F1   200 mg  </t>
  </si>
  <si>
    <t xml:space="preserve">F1   200 mg punto </t>
  </si>
  <si>
    <t xml:space="preserve">F1   500 mg  </t>
  </si>
  <si>
    <t>Punto</t>
  </si>
  <si>
    <t>F1   1 mg  Acc</t>
  </si>
  <si>
    <t>F1   2 mg  Acc</t>
  </si>
  <si>
    <t>F1   2 mg punto Acc</t>
  </si>
  <si>
    <t>F1   5 mg  Acc</t>
  </si>
  <si>
    <t>F1   10 mg  Acc</t>
  </si>
  <si>
    <t>F1   20 mg  Acc</t>
  </si>
  <si>
    <t>F1   20 mg punto Acc</t>
  </si>
  <si>
    <t>F1   50 mg  Acc</t>
  </si>
  <si>
    <t>F1   100 mg  Acc</t>
  </si>
  <si>
    <t>F1   200 mg  Acc</t>
  </si>
  <si>
    <t>F1   200 mg punto Acc</t>
  </si>
  <si>
    <t>F1   500 mg  Acc</t>
  </si>
  <si>
    <t>M-4243</t>
  </si>
  <si>
    <t>M-026</t>
  </si>
  <si>
    <r>
      <t>kg/m</t>
    </r>
    <r>
      <rPr>
        <vertAlign val="superscript"/>
        <sz val="10"/>
        <color theme="1"/>
        <rFont val="Arial"/>
        <family val="2"/>
      </rPr>
      <t>3</t>
    </r>
  </si>
  <si>
    <t>1 000</t>
  </si>
  <si>
    <t>2 000</t>
  </si>
  <si>
    <t>5 000</t>
  </si>
  <si>
    <t>10 000</t>
  </si>
  <si>
    <t>20 000</t>
  </si>
  <si>
    <t>Juego de pesas de 1 mg a 500 mg</t>
  </si>
  <si>
    <t>Lamina</t>
  </si>
  <si>
    <t>Juego de pesas de 1 mg a 5 mg</t>
  </si>
  <si>
    <t>Intervalo de Medición (g) Clase M1 1 mg A 500 mg</t>
  </si>
  <si>
    <t>2 mg*</t>
  </si>
  <si>
    <t>20 mg*</t>
  </si>
  <si>
    <t>200 mg*</t>
  </si>
  <si>
    <t>El laboratorio no se responsabiliza de los resultados que puedan ser afectados por la desviación del estado en que se recibió el equipo.</t>
  </si>
  <si>
    <t>Informe N°</t>
  </si>
  <si>
    <t>Informe por</t>
  </si>
  <si>
    <t>Fecha del informe:</t>
  </si>
  <si>
    <t>1.   INFORMACIÓN DEL EQUIPO</t>
  </si>
  <si>
    <t>Número de pesas suministradas para el informe:</t>
  </si>
  <si>
    <t>Incertidumbre por repetibilidad del metodo</t>
  </si>
  <si>
    <t>Incertidumbre por repetibilidad del método</t>
  </si>
  <si>
    <t>Aporte a la Incertidumbre</t>
  </si>
  <si>
    <t>Grados de libertad</t>
  </si>
  <si>
    <t xml:space="preserve">Nivel de Confianza            </t>
  </si>
  <si>
    <t>Factor de cobertura</t>
  </si>
  <si>
    <t>Descargar datos del termohigrómetro utilizado en la calibración-condiciones ambientales máximas y mínimas  Incluir evidencia de condiciones ambientales (pantallazo)</t>
  </si>
  <si>
    <r>
      <t xml:space="preserve">Valor Nominal </t>
    </r>
    <r>
      <rPr>
        <b/>
        <i/>
        <sz val="10"/>
        <color rgb="FFFF0000"/>
        <rFont val="Arial"/>
        <family val="2"/>
      </rPr>
      <t>m</t>
    </r>
    <r>
      <rPr>
        <b/>
        <i/>
        <vertAlign val="subscript"/>
        <sz val="10"/>
        <color rgb="FFFF0000"/>
        <rFont val="Arial"/>
        <family val="2"/>
      </rPr>
      <t>Nr</t>
    </r>
  </si>
  <si>
    <t>DATOS DEL INSTRUMENTO DE PESAJE DE FUNCIONAMIENTO NO AUTOMÁTICO-IPFNA</t>
  </si>
  <si>
    <t>Presión atmosférica (hPa)</t>
  </si>
  <si>
    <t>Máxima</t>
  </si>
  <si>
    <t>Mínima</t>
  </si>
  <si>
    <t>Humedad relativa
 (% hr)</t>
  </si>
  <si>
    <t>2.  CÓDIGO INTERNO</t>
  </si>
  <si>
    <t>3.   REGISTRO FOTOGRÁFICO</t>
  </si>
  <si>
    <t>4. OBSERVACIONES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</si>
</sst>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1">
    <numFmt numFmtId="43" formatCode="_-* #,##0.00_-;\-* #,##0.00_-;_-* &quot;-&quot;??_-;_-@_-"/>
    <numFmt numFmtId="164" formatCode="yyyy\-mm\-dd;@"/>
    <numFmt numFmtId="165" formatCode="0.000"/>
    <numFmt numFmtId="166" formatCode="0.0"/>
    <numFmt numFmtId="167" formatCode="0.00000"/>
    <numFmt numFmtId="168" formatCode="0.0000"/>
    <numFmt numFmtId="169" formatCode="0_ &quot;kg&quot;"/>
    <numFmt numFmtId="170" formatCode="0_ &quot;g&quot;"/>
    <numFmt numFmtId="171" formatCode="0\ &quot;g&quot;"/>
    <numFmt numFmtId="172" formatCode="0\ &quot;g *&quot;"/>
    <numFmt numFmtId="173" formatCode="\1\ &quot;kg&quot;"/>
    <numFmt numFmtId="174" formatCode="\2\ &quot;kg&quot;"/>
    <numFmt numFmtId="175" formatCode="\2\ &quot;kg *&quot;"/>
    <numFmt numFmtId="176" formatCode="\5\ &quot;kg&quot;"/>
    <numFmt numFmtId="177" formatCode="0\ &quot;kg&quot;"/>
    <numFmt numFmtId="178" formatCode="\5\ &quot;kg C&quot;"/>
    <numFmt numFmtId="179" formatCode="0\ &quot;kg C&quot;"/>
    <numFmt numFmtId="180" formatCode="#,##0.0"/>
    <numFmt numFmtId="181" formatCode="0\ &quot;mg&quot;"/>
    <numFmt numFmtId="182" formatCode="0.0\ &quot;mg&quot;"/>
    <numFmt numFmtId="183" formatCode="0.00\ &quot;g&quot;"/>
    <numFmt numFmtId="184" formatCode="#,##0.000"/>
    <numFmt numFmtId="185" formatCode="0\ 000"/>
    <numFmt numFmtId="186" formatCode="0.000000"/>
    <numFmt numFmtId="187" formatCode="_-* #,##0.0000_-;\-* #,##0.0000_-;_-* &quot;-&quot;??_-;_-@_-"/>
    <numFmt numFmtId="188" formatCode="0.0\ &quot;g&quot;"/>
    <numFmt numFmtId="189" formatCode="#,##0.0000"/>
    <numFmt numFmtId="190" formatCode="0.00000000"/>
    <numFmt numFmtId="191" formatCode="0.00\ &quot;mg&quot;"/>
    <numFmt numFmtId="192" formatCode="0.0%"/>
    <numFmt numFmtId="193" formatCode="0.0000000"/>
  </numFmts>
  <fonts count="84" x14ac:knownFonts="1">
    <font>
      <sz val="11"/>
      <color theme="1"/>
      <name val="Calibri"/>
      <family val="2"/>
      <scheme val="minor"/>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1"/>
      <color rgb="FF006100"/>
      <name val="Calibri"/>
      <family val="2"/>
      <scheme val="minor"/>
    </font>
    <font>
      <sz val="11"/>
      <color theme="1"/>
      <name val="Arial"/>
      <family val="2"/>
    </font>
    <font>
      <sz val="10"/>
      <color theme="1"/>
      <name val="Arial"/>
      <family val="2"/>
    </font>
    <font>
      <b/>
      <sz val="11"/>
      <color theme="0"/>
      <name val="Arial"/>
      <family val="2"/>
    </font>
    <font>
      <i/>
      <sz val="10"/>
      <color theme="1"/>
      <name val="Arial"/>
      <family val="2"/>
    </font>
    <font>
      <b/>
      <sz val="10"/>
      <color theme="1"/>
      <name val="Arial"/>
      <family val="2"/>
    </font>
    <font>
      <b/>
      <sz val="10"/>
      <name val="Arial"/>
      <family val="2"/>
    </font>
    <font>
      <b/>
      <i/>
      <sz val="10"/>
      <color theme="1"/>
      <name val="Arial"/>
      <family val="2"/>
    </font>
    <font>
      <b/>
      <i/>
      <vertAlign val="subscript"/>
      <sz val="10"/>
      <color theme="1"/>
      <name val="Arial"/>
      <family val="2"/>
    </font>
    <font>
      <i/>
      <vertAlign val="subscript"/>
      <sz val="10"/>
      <color theme="1"/>
      <name val="Arial"/>
      <family val="2"/>
    </font>
    <font>
      <b/>
      <sz val="10"/>
      <color theme="0"/>
      <name val="Arial"/>
      <family val="2"/>
    </font>
    <font>
      <sz val="16"/>
      <color theme="1"/>
      <name val="Arial"/>
      <family val="2"/>
    </font>
    <font>
      <sz val="11"/>
      <color theme="0" tint="-0.34998626667073579"/>
      <name val="Arial"/>
      <family val="2"/>
    </font>
    <font>
      <b/>
      <sz val="14"/>
      <color theme="0" tint="-0.34998626667073579"/>
      <name val="Arial"/>
      <family val="2"/>
    </font>
    <font>
      <b/>
      <sz val="14"/>
      <name val="Arial"/>
      <family val="2"/>
    </font>
    <font>
      <b/>
      <sz val="14"/>
      <color theme="0"/>
      <name val="Arial"/>
      <family val="2"/>
    </font>
    <font>
      <b/>
      <i/>
      <sz val="11"/>
      <color theme="0"/>
      <name val="Arial"/>
      <family val="2"/>
    </font>
    <font>
      <b/>
      <i/>
      <vertAlign val="subscript"/>
      <sz val="11"/>
      <color theme="0"/>
      <name val="Arial"/>
      <family val="2"/>
    </font>
    <font>
      <i/>
      <sz val="14"/>
      <color theme="0"/>
      <name val="Arial"/>
      <family val="2"/>
    </font>
    <font>
      <i/>
      <vertAlign val="subscript"/>
      <sz val="14"/>
      <color theme="0"/>
      <name val="Arial"/>
      <family val="2"/>
    </font>
    <font>
      <sz val="12"/>
      <color theme="0"/>
      <name val="Arial"/>
      <family val="2"/>
    </font>
    <font>
      <b/>
      <sz val="11"/>
      <color theme="1"/>
      <name val="Arial"/>
      <family val="2"/>
    </font>
    <font>
      <b/>
      <vertAlign val="superscript"/>
      <sz val="11"/>
      <color theme="1"/>
      <name val="Arial"/>
      <family val="2"/>
    </font>
    <font>
      <i/>
      <sz val="11"/>
      <color theme="1"/>
      <name val="Arial"/>
      <family val="2"/>
    </font>
    <font>
      <i/>
      <vertAlign val="subscript"/>
      <sz val="11"/>
      <color theme="1"/>
      <name val="Arial"/>
      <family val="2"/>
    </font>
    <font>
      <b/>
      <sz val="18"/>
      <color theme="1"/>
      <name val="Arial"/>
      <family val="2"/>
    </font>
    <font>
      <sz val="11"/>
      <name val="Arial"/>
      <family val="2"/>
    </font>
    <font>
      <vertAlign val="superscript"/>
      <sz val="11"/>
      <color theme="1"/>
      <name val="Times New Roman"/>
      <family val="1"/>
    </font>
    <font>
      <sz val="9"/>
      <color theme="1"/>
      <name val="Arial"/>
      <family val="2"/>
    </font>
    <font>
      <b/>
      <sz val="9"/>
      <name val="Arial"/>
      <family val="2"/>
    </font>
    <font>
      <b/>
      <sz val="14"/>
      <color theme="1"/>
      <name val="Arial"/>
      <family val="2"/>
    </font>
    <font>
      <sz val="12"/>
      <color theme="1"/>
      <name val="Arial"/>
      <family val="2"/>
    </font>
    <font>
      <b/>
      <sz val="12"/>
      <color theme="1"/>
      <name val="Arial"/>
      <family val="2"/>
    </font>
    <font>
      <b/>
      <i/>
      <sz val="12"/>
      <color theme="1"/>
      <name val="Arial"/>
      <family val="2"/>
    </font>
    <font>
      <sz val="12"/>
      <name val="Arial"/>
      <family val="2"/>
    </font>
    <font>
      <b/>
      <sz val="12"/>
      <name val="Arial"/>
      <family val="2"/>
    </font>
    <font>
      <b/>
      <i/>
      <sz val="11"/>
      <color theme="1"/>
      <name val="Arial"/>
      <family val="2"/>
    </font>
    <font>
      <b/>
      <sz val="9"/>
      <color theme="1"/>
      <name val="Arial"/>
      <family val="2"/>
    </font>
    <font>
      <b/>
      <sz val="11"/>
      <name val="Arial"/>
      <family val="2"/>
    </font>
    <font>
      <b/>
      <sz val="12"/>
      <color theme="0"/>
      <name val="Arial"/>
      <family val="2"/>
    </font>
    <font>
      <sz val="10"/>
      <color theme="0"/>
      <name val="Arial"/>
      <family val="2"/>
    </font>
    <font>
      <sz val="11"/>
      <color theme="1"/>
      <name val="Calibri"/>
      <family val="2"/>
      <scheme val="minor"/>
    </font>
    <font>
      <b/>
      <sz val="16"/>
      <color theme="1"/>
      <name val="Arial"/>
      <family val="2"/>
    </font>
    <font>
      <sz val="10"/>
      <color theme="0" tint="-0.34998626667073579"/>
      <name val="Arial"/>
      <family val="2"/>
    </font>
    <font>
      <sz val="12"/>
      <name val="Calibri"/>
      <family val="2"/>
      <scheme val="minor"/>
    </font>
    <font>
      <b/>
      <sz val="12"/>
      <name val="Tahoma"/>
      <family val="2"/>
    </font>
    <font>
      <b/>
      <sz val="14"/>
      <color theme="1"/>
      <name val="Cambria Math"/>
      <family val="1"/>
    </font>
    <font>
      <b/>
      <sz val="11"/>
      <name val="Tahoma"/>
      <family val="2"/>
    </font>
    <font>
      <b/>
      <sz val="18"/>
      <color theme="1"/>
      <name val="Tahoma"/>
      <family val="2"/>
    </font>
    <font>
      <b/>
      <vertAlign val="superscript"/>
      <sz val="12"/>
      <name val="Arial"/>
      <family val="2"/>
    </font>
    <font>
      <b/>
      <i/>
      <sz val="12"/>
      <name val="Arial"/>
      <family val="2"/>
    </font>
    <font>
      <b/>
      <i/>
      <vertAlign val="subscript"/>
      <sz val="12"/>
      <name val="Arial"/>
      <family val="2"/>
    </font>
    <font>
      <b/>
      <sz val="12"/>
      <name val="Calibri"/>
      <family val="2"/>
      <scheme val="minor"/>
    </font>
    <font>
      <vertAlign val="superscript"/>
      <sz val="12"/>
      <name val="Arial"/>
      <family val="2"/>
    </font>
    <font>
      <sz val="12"/>
      <name val="Arial Narrow"/>
      <family val="2"/>
    </font>
    <font>
      <sz val="11"/>
      <color theme="1"/>
      <name val="Tahoma"/>
      <family val="2"/>
    </font>
    <font>
      <b/>
      <i/>
      <sz val="12"/>
      <color rgb="FFFF0000"/>
      <name val="Arial"/>
      <family val="2"/>
    </font>
    <font>
      <b/>
      <sz val="10"/>
      <color theme="0"/>
      <name val="Calibri"/>
      <family val="2"/>
    </font>
    <font>
      <sz val="9"/>
      <color indexed="81"/>
      <name val="Tahoma"/>
      <family val="2"/>
    </font>
    <font>
      <b/>
      <sz val="9"/>
      <color indexed="81"/>
      <name val="Tahoma"/>
      <family val="2"/>
    </font>
    <font>
      <b/>
      <sz val="20"/>
      <color theme="0"/>
      <name val="Arial"/>
      <family val="2"/>
    </font>
    <font>
      <b/>
      <i/>
      <sz val="12"/>
      <color theme="0"/>
      <name val="Arial"/>
      <family val="2"/>
    </font>
    <font>
      <sz val="12"/>
      <color theme="1"/>
      <name val="Calibri"/>
      <family val="2"/>
      <scheme val="minor"/>
    </font>
    <font>
      <b/>
      <sz val="11"/>
      <color theme="1"/>
      <name val="Calibri"/>
      <family val="2"/>
    </font>
    <font>
      <sz val="8"/>
      <name val="Calibri"/>
      <family val="2"/>
      <scheme val="minor"/>
    </font>
    <font>
      <sz val="14"/>
      <color theme="1"/>
      <name val="Arial"/>
      <family val="2"/>
    </font>
    <font>
      <b/>
      <sz val="24"/>
      <color theme="1"/>
      <name val="Arial"/>
      <family val="2"/>
    </font>
    <font>
      <vertAlign val="superscript"/>
      <sz val="10"/>
      <color theme="1"/>
      <name val="Arial"/>
      <family val="2"/>
    </font>
    <font>
      <b/>
      <sz val="14"/>
      <color rgb="FFFF0000"/>
      <name val="Arial"/>
      <family val="2"/>
    </font>
    <font>
      <b/>
      <sz val="10"/>
      <color rgb="FFFF0000"/>
      <name val="Arial"/>
      <family val="2"/>
    </font>
    <font>
      <b/>
      <sz val="11"/>
      <color rgb="FFFF0000"/>
      <name val="Arial"/>
      <family val="2"/>
    </font>
    <font>
      <b/>
      <sz val="12"/>
      <color rgb="FFFF0000"/>
      <name val="Arial"/>
      <family val="2"/>
    </font>
    <font>
      <sz val="16"/>
      <name val="Arial"/>
      <family val="2"/>
    </font>
    <font>
      <b/>
      <sz val="16"/>
      <name val="Arial"/>
      <family val="2"/>
    </font>
    <font>
      <b/>
      <i/>
      <sz val="10"/>
      <color rgb="FFFF0000"/>
      <name val="Arial"/>
      <family val="2"/>
    </font>
    <font>
      <b/>
      <i/>
      <vertAlign val="subscript"/>
      <sz val="10"/>
      <color rgb="FFFF0000"/>
      <name val="Arial"/>
      <family val="2"/>
    </font>
    <font>
      <sz val="11"/>
      <color theme="0"/>
      <name val="Arial"/>
      <family val="2"/>
    </font>
  </fonts>
  <fills count="33">
    <fill>
      <patternFill patternType="none"/>
    </fill>
    <fill>
      <patternFill patternType="gray125"/>
    </fill>
    <fill>
      <patternFill patternType="solid">
        <fgColor rgb="FFC6EFCE"/>
      </patternFill>
    </fill>
    <fill>
      <patternFill patternType="solid">
        <fgColor theme="0"/>
        <bgColor indexed="64"/>
      </patternFill>
    </fill>
    <fill>
      <patternFill patternType="solid">
        <fgColor theme="7" tint="0.79998168889431442"/>
        <bgColor indexed="64"/>
      </patternFill>
    </fill>
    <fill>
      <patternFill patternType="solid">
        <fgColor theme="4" tint="-0.499984740745262"/>
        <bgColor indexed="64"/>
      </patternFill>
    </fill>
    <fill>
      <patternFill patternType="solid">
        <fgColor theme="4" tint="0.39997558519241921"/>
        <bgColor indexed="64"/>
      </patternFill>
    </fill>
    <fill>
      <patternFill patternType="solid">
        <fgColor theme="4" tint="0.79998168889431442"/>
        <bgColor indexed="64"/>
      </patternFill>
    </fill>
    <fill>
      <patternFill patternType="solid">
        <fgColor rgb="FF9BC2E6"/>
        <bgColor indexed="64"/>
      </patternFill>
    </fill>
    <fill>
      <patternFill patternType="solid">
        <fgColor rgb="FFDDEBF7"/>
        <bgColor indexed="64"/>
      </patternFill>
    </fill>
    <fill>
      <patternFill patternType="solid">
        <fgColor rgb="FFFFFFFF"/>
        <bgColor indexed="64"/>
      </patternFill>
    </fill>
    <fill>
      <patternFill patternType="solid">
        <fgColor rgb="FFFFF2CC"/>
        <bgColor indexed="64"/>
      </patternFill>
    </fill>
    <fill>
      <patternFill patternType="solid">
        <fgColor rgb="FF0070C0"/>
        <bgColor indexed="64"/>
      </patternFill>
    </fill>
    <fill>
      <patternFill patternType="solid">
        <fgColor rgb="FFBDD7EE"/>
        <bgColor indexed="64"/>
      </patternFill>
    </fill>
    <fill>
      <gradientFill degree="90">
        <stop position="0">
          <color rgb="FF7030A0"/>
        </stop>
        <stop position="1">
          <color rgb="FFFFFF00"/>
        </stop>
      </gradientFill>
    </fill>
    <fill>
      <patternFill patternType="solid">
        <fgColor rgb="FF1F4E78"/>
        <bgColor indexed="64"/>
      </patternFill>
    </fill>
    <fill>
      <patternFill patternType="darkTrellis">
        <fgColor auto="1"/>
        <bgColor auto="1"/>
      </patternFill>
    </fill>
    <fill>
      <patternFill patternType="lightGray">
        <fgColor auto="1"/>
        <bgColor auto="1"/>
      </patternFill>
    </fill>
    <fill>
      <patternFill patternType="mediumGray">
        <fgColor auto="1"/>
        <bgColor auto="1"/>
      </patternFill>
    </fill>
    <fill>
      <patternFill patternType="darkDown">
        <fgColor auto="1"/>
        <bgColor auto="1"/>
      </patternFill>
    </fill>
    <fill>
      <patternFill patternType="solid">
        <fgColor rgb="FF8DB4E2"/>
        <bgColor indexed="64"/>
      </patternFill>
    </fill>
    <fill>
      <patternFill patternType="solid">
        <fgColor theme="9" tint="0.59999389629810485"/>
        <bgColor indexed="64"/>
      </patternFill>
    </fill>
    <fill>
      <patternFill patternType="solid">
        <fgColor rgb="FFFFFF00"/>
        <bgColor indexed="64"/>
      </patternFill>
    </fill>
    <fill>
      <patternFill patternType="solid">
        <fgColor theme="0" tint="-0.14999847407452621"/>
        <bgColor indexed="64"/>
      </patternFill>
    </fill>
    <fill>
      <patternFill patternType="solid">
        <fgColor theme="0"/>
        <bgColor auto="1"/>
      </patternFill>
    </fill>
    <fill>
      <gradientFill type="path">
        <stop position="0">
          <color theme="0" tint="-0.25098422193060094"/>
        </stop>
        <stop position="1">
          <color rgb="FFFFFF00"/>
        </stop>
      </gradientFill>
    </fill>
    <fill>
      <patternFill patternType="solid">
        <fgColor rgb="FF92D050"/>
        <bgColor indexed="64"/>
      </patternFill>
    </fill>
    <fill>
      <patternFill patternType="solid">
        <fgColor theme="4" tint="0.39997558519241921"/>
        <bgColor auto="1"/>
      </patternFill>
    </fill>
    <fill>
      <patternFill patternType="solid">
        <fgColor rgb="FF9BC2E6"/>
        <bgColor auto="1"/>
      </patternFill>
    </fill>
    <fill>
      <patternFill patternType="solid">
        <fgColor theme="5" tint="0.79998168889431442"/>
        <bgColor indexed="64"/>
      </patternFill>
    </fill>
    <fill>
      <patternFill patternType="solid">
        <fgColor rgb="FFFCE4D6"/>
        <bgColor indexed="64"/>
      </patternFill>
    </fill>
    <fill>
      <patternFill patternType="solid">
        <fgColor theme="8" tint="0.39997558519241921"/>
        <bgColor indexed="64"/>
      </patternFill>
    </fill>
    <fill>
      <patternFill patternType="solid">
        <fgColor rgb="FFD9D9D9"/>
        <bgColor indexed="64"/>
      </patternFill>
    </fill>
  </fills>
  <borders count="75">
    <border>
      <left/>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top/>
      <bottom/>
      <diagonal/>
    </border>
    <border>
      <left style="medium">
        <color indexed="64"/>
      </left>
      <right style="medium">
        <color indexed="64"/>
      </right>
      <top style="medium">
        <color indexed="64"/>
      </top>
      <bottom style="medium">
        <color indexed="64"/>
      </bottom>
      <diagonal/>
    </border>
    <border>
      <left/>
      <right style="medium">
        <color indexed="64"/>
      </right>
      <top/>
      <bottom style="medium">
        <color indexed="64"/>
      </bottom>
      <diagonal/>
    </border>
    <border>
      <left/>
      <right style="medium">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style="thin">
        <color indexed="64"/>
      </left>
      <right style="thin">
        <color indexed="64"/>
      </right>
      <top/>
      <bottom/>
      <diagonal/>
    </border>
    <border>
      <left/>
      <right/>
      <top/>
      <bottom style="medium">
        <color indexed="64"/>
      </bottom>
      <diagonal/>
    </border>
    <border>
      <left/>
      <right style="medium">
        <color indexed="64"/>
      </right>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thin">
        <color indexed="64"/>
      </right>
      <top/>
      <bottom style="thin">
        <color indexed="64"/>
      </bottom>
      <diagonal/>
    </border>
    <border>
      <left style="medium">
        <color indexed="64"/>
      </left>
      <right/>
      <top/>
      <bottom style="medium">
        <color indexed="64"/>
      </bottom>
      <diagonal/>
    </border>
    <border>
      <left style="thin">
        <color indexed="64"/>
      </left>
      <right style="medium">
        <color indexed="64"/>
      </right>
      <top/>
      <bottom style="medium">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bottom/>
      <diagonal/>
    </border>
    <border>
      <left style="medium">
        <color indexed="64"/>
      </left>
      <right style="thin">
        <color indexed="64"/>
      </right>
      <top/>
      <bottom/>
      <diagonal/>
    </border>
    <border>
      <left style="medium">
        <color indexed="64"/>
      </left>
      <right style="medium">
        <color indexed="64"/>
      </right>
      <top/>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diagonal/>
    </border>
    <border>
      <left/>
      <right style="thin">
        <color indexed="64"/>
      </right>
      <top/>
      <bottom style="medium">
        <color indexed="64"/>
      </bottom>
      <diagonal/>
    </border>
    <border>
      <left style="medium">
        <color indexed="64"/>
      </left>
      <right style="medium">
        <color indexed="64"/>
      </right>
      <top/>
      <bottom style="medium">
        <color indexed="64"/>
      </bottom>
      <diagonal/>
    </border>
    <border>
      <left style="thin">
        <color indexed="64"/>
      </left>
      <right/>
      <top/>
      <bottom style="medium">
        <color indexed="64"/>
      </bottom>
      <diagonal/>
    </border>
    <border>
      <left style="medium">
        <color indexed="64"/>
      </left>
      <right style="medium">
        <color indexed="64"/>
      </right>
      <top/>
      <bottom style="thin">
        <color indexed="64"/>
      </bottom>
      <diagonal/>
    </border>
    <border>
      <left style="thin">
        <color indexed="64"/>
      </left>
      <right/>
      <top/>
      <bottom/>
      <diagonal/>
    </border>
    <border>
      <left/>
      <right/>
      <top style="thin">
        <color indexed="64"/>
      </top>
      <bottom style="thin">
        <color indexed="64"/>
      </bottom>
      <diagonal/>
    </border>
    <border>
      <left style="medium">
        <color indexed="64"/>
      </left>
      <right style="medium">
        <color indexed="64"/>
      </right>
      <top style="thin">
        <color indexed="64"/>
      </top>
      <bottom/>
      <diagonal/>
    </border>
    <border>
      <left/>
      <right style="thin">
        <color indexed="64"/>
      </right>
      <top style="thin">
        <color indexed="64"/>
      </top>
      <bottom/>
      <diagonal/>
    </border>
    <border>
      <left style="medium">
        <color indexed="64"/>
      </left>
      <right/>
      <top style="thin">
        <color indexed="64"/>
      </top>
      <bottom/>
      <diagonal/>
    </border>
    <border>
      <left style="thin">
        <color indexed="64"/>
      </left>
      <right/>
      <top style="thin">
        <color indexed="64"/>
      </top>
      <bottom/>
      <diagonal/>
    </border>
  </borders>
  <cellStyleXfs count="10">
    <xf numFmtId="0" fontId="0" fillId="0" borderId="0"/>
    <xf numFmtId="0" fontId="7" fillId="2" borderId="0" applyNumberFormat="0" applyBorder="0" applyAlignment="0" applyProtection="0"/>
    <xf numFmtId="2" fontId="8" fillId="14" borderId="0">
      <protection hidden="1"/>
    </xf>
    <xf numFmtId="2" fontId="8" fillId="16" borderId="22">
      <alignment horizontal="center" vertical="center"/>
      <protection hidden="1"/>
    </xf>
    <xf numFmtId="2" fontId="8" fillId="17" borderId="22">
      <alignment horizontal="center" vertical="center"/>
      <protection hidden="1"/>
    </xf>
    <xf numFmtId="2" fontId="8" fillId="18" borderId="22">
      <alignment horizontal="center" vertical="center"/>
      <protection hidden="1"/>
    </xf>
    <xf numFmtId="2" fontId="8" fillId="19" borderId="22">
      <alignment horizontal="center" vertical="center"/>
      <protection hidden="1"/>
    </xf>
    <xf numFmtId="9" fontId="48" fillId="0" borderId="0" applyFont="0" applyFill="0" applyBorder="0" applyAlignment="0" applyProtection="0"/>
    <xf numFmtId="164" fontId="8" fillId="25" borderId="0">
      <alignment horizontal="center" vertical="center"/>
      <protection hidden="1"/>
    </xf>
    <xf numFmtId="43" fontId="48" fillId="0" borderId="0" applyFont="0" applyFill="0" applyBorder="0" applyAlignment="0" applyProtection="0"/>
  </cellStyleXfs>
  <cellXfs count="1765">
    <xf numFmtId="0" fontId="0" fillId="0" borderId="0" xfId="0"/>
    <xf numFmtId="166" fontId="33" fillId="4" borderId="8" xfId="0" applyNumberFormat="1" applyFont="1" applyFill="1" applyBorder="1" applyAlignment="1" applyProtection="1">
      <alignment horizontal="center" vertical="center"/>
      <protection locked="0" hidden="1"/>
    </xf>
    <xf numFmtId="166" fontId="33" fillId="11" borderId="8" xfId="0" applyNumberFormat="1" applyFont="1" applyFill="1" applyBorder="1" applyAlignment="1" applyProtection="1">
      <alignment horizontal="center" vertical="center"/>
      <protection locked="0" hidden="1"/>
    </xf>
    <xf numFmtId="166" fontId="33" fillId="11" borderId="9" xfId="0" applyNumberFormat="1" applyFont="1" applyFill="1" applyBorder="1" applyAlignment="1" applyProtection="1">
      <alignment horizontal="center" vertical="center" wrapText="1"/>
      <protection locked="0" hidden="1"/>
    </xf>
    <xf numFmtId="2" fontId="8" fillId="14" borderId="22" xfId="2" applyBorder="1" applyAlignment="1" applyProtection="1">
      <alignment horizontal="center" vertical="center" wrapText="1"/>
      <protection locked="0" hidden="1"/>
    </xf>
    <xf numFmtId="1" fontId="8" fillId="14" borderId="38" xfId="2" applyNumberFormat="1" applyBorder="1" applyAlignment="1" applyProtection="1">
      <alignment horizontal="center" vertical="center"/>
      <protection locked="0" hidden="1"/>
    </xf>
    <xf numFmtId="2" fontId="8" fillId="14" borderId="22" xfId="2" applyBorder="1" applyAlignment="1" applyProtection="1">
      <alignment horizontal="center" vertical="center"/>
      <protection locked="0" hidden="1"/>
    </xf>
    <xf numFmtId="0" fontId="18" fillId="0" borderId="0" xfId="0" applyFont="1" applyFill="1" applyBorder="1" applyAlignment="1" applyProtection="1">
      <alignment vertical="center"/>
    </xf>
    <xf numFmtId="0" fontId="8" fillId="0" borderId="0" xfId="0" applyFont="1" applyProtection="1"/>
    <xf numFmtId="2" fontId="8" fillId="3" borderId="26" xfId="0" applyNumberFormat="1" applyFont="1" applyFill="1" applyBorder="1" applyAlignment="1" applyProtection="1"/>
    <xf numFmtId="2" fontId="8" fillId="3" borderId="0" xfId="0" applyNumberFormat="1" applyFont="1" applyFill="1" applyBorder="1" applyAlignment="1" applyProtection="1"/>
    <xf numFmtId="2" fontId="8" fillId="0" borderId="0" xfId="0" applyNumberFormat="1" applyFont="1" applyProtection="1"/>
    <xf numFmtId="2" fontId="35" fillId="0" borderId="0" xfId="0" applyNumberFormat="1" applyFont="1" applyProtection="1"/>
    <xf numFmtId="2" fontId="36" fillId="8" borderId="7" xfId="1" applyNumberFormat="1" applyFont="1" applyFill="1" applyBorder="1" applyAlignment="1" applyProtection="1">
      <alignment horizontal="center" vertical="center" wrapText="1"/>
    </xf>
    <xf numFmtId="2" fontId="36" fillId="8" borderId="8" xfId="1" applyNumberFormat="1" applyFont="1" applyFill="1" applyBorder="1" applyAlignment="1" applyProtection="1">
      <alignment horizontal="center" vertical="center" wrapText="1"/>
    </xf>
    <xf numFmtId="2" fontId="13" fillId="8" borderId="8" xfId="1" applyNumberFormat="1" applyFont="1" applyFill="1" applyBorder="1" applyAlignment="1" applyProtection="1">
      <alignment horizontal="center" vertical="center" wrapText="1"/>
    </xf>
    <xf numFmtId="2" fontId="12" fillId="8" borderId="8" xfId="0" applyNumberFormat="1" applyFont="1" applyFill="1" applyBorder="1" applyAlignment="1" applyProtection="1">
      <alignment horizontal="center" vertical="center" wrapText="1"/>
    </xf>
    <xf numFmtId="2" fontId="13" fillId="8" borderId="30" xfId="1" applyNumberFormat="1" applyFont="1" applyFill="1" applyBorder="1" applyAlignment="1" applyProtection="1">
      <alignment horizontal="center" vertical="center" wrapText="1"/>
    </xf>
    <xf numFmtId="14" fontId="9" fillId="13" borderId="43" xfId="0" applyNumberFormat="1" applyFont="1" applyFill="1" applyBorder="1" applyAlignment="1" applyProtection="1">
      <alignment horizontal="center" vertical="center" wrapText="1"/>
    </xf>
    <xf numFmtId="0" fontId="9" fillId="13" borderId="43" xfId="0" applyNumberFormat="1" applyFont="1" applyFill="1" applyBorder="1" applyAlignment="1" applyProtection="1">
      <alignment horizontal="center" vertical="center" wrapText="1"/>
    </xf>
    <xf numFmtId="2" fontId="8" fillId="0" borderId="0" xfId="0" applyNumberFormat="1" applyFont="1" applyFill="1" applyBorder="1" applyProtection="1"/>
    <xf numFmtId="2" fontId="8" fillId="3" borderId="0" xfId="0" applyNumberFormat="1" applyFont="1" applyFill="1" applyBorder="1" applyProtection="1"/>
    <xf numFmtId="0" fontId="8" fillId="0" borderId="0" xfId="0" applyFont="1" applyBorder="1" applyProtection="1"/>
    <xf numFmtId="0" fontId="12" fillId="6" borderId="11" xfId="0" applyFont="1" applyFill="1" applyBorder="1" applyAlignment="1" applyProtection="1">
      <alignment vertical="center"/>
    </xf>
    <xf numFmtId="0" fontId="9" fillId="9" borderId="32" xfId="0" applyFont="1" applyFill="1" applyBorder="1" applyAlignment="1" applyProtection="1">
      <alignment horizontal="center" vertical="center"/>
    </xf>
    <xf numFmtId="0" fontId="12" fillId="8" borderId="32" xfId="0" applyFont="1" applyFill="1" applyBorder="1" applyAlignment="1" applyProtection="1">
      <alignment vertical="center"/>
    </xf>
    <xf numFmtId="0" fontId="9" fillId="9" borderId="33" xfId="0" applyFont="1" applyFill="1" applyBorder="1" applyAlignment="1" applyProtection="1">
      <alignment horizontal="center" vertical="center"/>
    </xf>
    <xf numFmtId="0" fontId="9" fillId="3" borderId="0" xfId="0" applyFont="1" applyFill="1" applyBorder="1" applyProtection="1"/>
    <xf numFmtId="0" fontId="12" fillId="6" borderId="32" xfId="0" applyFont="1" applyFill="1" applyBorder="1" applyAlignment="1" applyProtection="1">
      <alignment vertical="center"/>
    </xf>
    <xf numFmtId="0" fontId="8" fillId="3" borderId="0" xfId="0" applyFont="1" applyFill="1" applyBorder="1" applyProtection="1"/>
    <xf numFmtId="0" fontId="12" fillId="6" borderId="3" xfId="0" applyFont="1" applyFill="1" applyBorder="1" applyAlignment="1" applyProtection="1">
      <alignment vertical="center"/>
    </xf>
    <xf numFmtId="0" fontId="9" fillId="9" borderId="2" xfId="0" applyFont="1" applyFill="1" applyBorder="1" applyAlignment="1" applyProtection="1">
      <alignment horizontal="center" vertical="center"/>
    </xf>
    <xf numFmtId="0" fontId="12" fillId="6" borderId="2" xfId="0" applyFont="1" applyFill="1" applyBorder="1" applyAlignment="1" applyProtection="1">
      <alignment vertical="center"/>
    </xf>
    <xf numFmtId="0" fontId="9" fillId="9" borderId="10" xfId="0" applyFont="1" applyFill="1" applyBorder="1" applyAlignment="1" applyProtection="1">
      <alignment horizontal="center" vertical="center"/>
    </xf>
    <xf numFmtId="0" fontId="12" fillId="6" borderId="3" xfId="0" applyFont="1" applyFill="1" applyBorder="1" applyAlignment="1" applyProtection="1">
      <alignment vertical="center" wrapText="1"/>
    </xf>
    <xf numFmtId="0" fontId="12" fillId="6" borderId="2" xfId="0" applyFont="1" applyFill="1" applyBorder="1" applyAlignment="1" applyProtection="1">
      <alignment horizontal="center" vertical="center" wrapText="1"/>
    </xf>
    <xf numFmtId="164" fontId="9" fillId="9" borderId="10" xfId="0" applyNumberFormat="1" applyFont="1" applyFill="1" applyBorder="1" applyAlignment="1" applyProtection="1">
      <alignment horizontal="center" vertical="center"/>
    </xf>
    <xf numFmtId="0" fontId="8" fillId="3" borderId="0" xfId="0" applyFont="1" applyFill="1" applyProtection="1"/>
    <xf numFmtId="0" fontId="8" fillId="0" borderId="0" xfId="0" applyFont="1" applyAlignment="1" applyProtection="1">
      <alignment vertical="center"/>
    </xf>
    <xf numFmtId="0" fontId="8" fillId="3" borderId="0" xfId="0" applyFont="1" applyFill="1" applyBorder="1" applyAlignment="1" applyProtection="1">
      <alignment vertical="center"/>
    </xf>
    <xf numFmtId="0" fontId="9" fillId="3" borderId="0" xfId="0" applyFont="1" applyFill="1" applyBorder="1" applyAlignment="1" applyProtection="1">
      <alignment vertical="center"/>
    </xf>
    <xf numFmtId="0" fontId="9" fillId="9" borderId="5" xfId="0" applyFont="1" applyFill="1" applyBorder="1" applyAlignment="1" applyProtection="1">
      <alignment horizontal="center" vertical="center"/>
    </xf>
    <xf numFmtId="0" fontId="8" fillId="3" borderId="33" xfId="0" applyFont="1" applyFill="1" applyBorder="1" applyAlignment="1" applyProtection="1">
      <alignment vertical="center"/>
    </xf>
    <xf numFmtId="0" fontId="12" fillId="6" borderId="12" xfId="0" applyFont="1" applyFill="1" applyBorder="1" applyAlignment="1" applyProtection="1">
      <alignment vertical="center" wrapText="1"/>
    </xf>
    <xf numFmtId="0" fontId="9" fillId="8" borderId="5" xfId="0" applyFont="1" applyFill="1" applyBorder="1" applyAlignment="1" applyProtection="1">
      <alignment horizontal="center" vertical="center" wrapText="1"/>
    </xf>
    <xf numFmtId="0" fontId="9" fillId="9" borderId="6" xfId="0" applyFont="1" applyFill="1" applyBorder="1" applyAlignment="1" applyProtection="1">
      <alignment horizontal="center" vertical="center"/>
    </xf>
    <xf numFmtId="0" fontId="19" fillId="0" borderId="0" xfId="0" applyFont="1" applyBorder="1" applyProtection="1"/>
    <xf numFmtId="0" fontId="19" fillId="3" borderId="0" xfId="0" applyFont="1" applyFill="1" applyBorder="1" applyProtection="1"/>
    <xf numFmtId="0" fontId="19" fillId="0" borderId="0" xfId="0" applyFont="1" applyProtection="1"/>
    <xf numFmtId="0" fontId="20" fillId="3" borderId="25" xfId="0" applyFont="1" applyFill="1" applyBorder="1" applyAlignment="1" applyProtection="1">
      <alignment horizontal="center" vertical="center"/>
    </xf>
    <xf numFmtId="0" fontId="20" fillId="3" borderId="26" xfId="0" applyFont="1" applyFill="1" applyBorder="1" applyAlignment="1" applyProtection="1">
      <alignment horizontal="center" vertical="center"/>
    </xf>
    <xf numFmtId="0" fontId="20" fillId="3" borderId="24" xfId="0" applyFont="1" applyFill="1" applyBorder="1" applyAlignment="1" applyProtection="1">
      <alignment horizontal="center" vertical="center"/>
    </xf>
    <xf numFmtId="0" fontId="12" fillId="6" borderId="15" xfId="0" applyFont="1" applyFill="1" applyBorder="1" applyAlignment="1" applyProtection="1">
      <alignment vertical="center" wrapText="1"/>
    </xf>
    <xf numFmtId="0" fontId="28" fillId="6" borderId="5" xfId="0" applyFont="1" applyFill="1" applyBorder="1" applyAlignment="1" applyProtection="1">
      <alignment horizontal="center" vertical="center"/>
    </xf>
    <xf numFmtId="0" fontId="28" fillId="6" borderId="7" xfId="0" applyFont="1" applyFill="1" applyBorder="1" applyAlignment="1" applyProtection="1">
      <alignment vertical="center" wrapText="1"/>
    </xf>
    <xf numFmtId="0" fontId="19" fillId="3" borderId="26" xfId="0" applyFont="1" applyFill="1" applyBorder="1" applyProtection="1"/>
    <xf numFmtId="0" fontId="19" fillId="3" borderId="28" xfId="0" applyFont="1" applyFill="1" applyBorder="1" applyProtection="1"/>
    <xf numFmtId="0" fontId="28" fillId="6" borderId="38" xfId="0" applyFont="1" applyFill="1" applyBorder="1" applyAlignment="1" applyProtection="1">
      <alignment horizontal="center" vertical="center"/>
    </xf>
    <xf numFmtId="0" fontId="19" fillId="3" borderId="29" xfId="0" applyFont="1" applyFill="1" applyBorder="1" applyAlignment="1" applyProtection="1">
      <alignment vertical="center"/>
    </xf>
    <xf numFmtId="0" fontId="28" fillId="6" borderId="39" xfId="0" applyFont="1" applyFill="1" applyBorder="1" applyAlignment="1" applyProtection="1">
      <alignment horizontal="center" vertical="center"/>
    </xf>
    <xf numFmtId="0" fontId="28" fillId="6" borderId="41" xfId="0" applyFont="1" applyFill="1" applyBorder="1" applyAlignment="1" applyProtection="1">
      <alignment horizontal="center" vertical="center"/>
    </xf>
    <xf numFmtId="167" fontId="8" fillId="6" borderId="2" xfId="0" applyNumberFormat="1" applyFont="1" applyFill="1" applyBorder="1" applyAlignment="1" applyProtection="1">
      <alignment horizontal="center" vertical="center"/>
    </xf>
    <xf numFmtId="0" fontId="28" fillId="6" borderId="42" xfId="0" applyFont="1" applyFill="1" applyBorder="1" applyAlignment="1" applyProtection="1">
      <alignment horizontal="center" vertical="center"/>
    </xf>
    <xf numFmtId="0" fontId="10" fillId="5" borderId="7" xfId="0" applyFont="1" applyFill="1" applyBorder="1" applyAlignment="1" applyProtection="1">
      <alignment horizontal="center" vertical="top" wrapText="1"/>
    </xf>
    <xf numFmtId="0" fontId="10" fillId="5" borderId="43" xfId="0" applyFont="1" applyFill="1" applyBorder="1" applyAlignment="1" applyProtection="1">
      <alignment horizontal="center" vertical="center" wrapText="1"/>
    </xf>
    <xf numFmtId="165" fontId="19" fillId="3" borderId="0" xfId="0" applyNumberFormat="1" applyFont="1" applyFill="1" applyBorder="1" applyProtection="1"/>
    <xf numFmtId="0" fontId="28" fillId="6" borderId="35" xfId="0" applyFont="1" applyFill="1" applyBorder="1" applyAlignment="1" applyProtection="1">
      <alignment horizontal="center" vertical="center"/>
    </xf>
    <xf numFmtId="2" fontId="28" fillId="6" borderId="4" xfId="0" applyNumberFormat="1" applyFont="1" applyFill="1" applyBorder="1" applyAlignment="1" applyProtection="1">
      <alignment horizontal="center" vertical="center"/>
    </xf>
    <xf numFmtId="0" fontId="8" fillId="6" borderId="57" xfId="0" applyFont="1" applyFill="1" applyBorder="1" applyAlignment="1" applyProtection="1">
      <alignment horizontal="center" wrapText="1"/>
    </xf>
    <xf numFmtId="0" fontId="8" fillId="6" borderId="53" xfId="0" applyFont="1" applyFill="1" applyBorder="1" applyAlignment="1" applyProtection="1">
      <alignment horizontal="center"/>
    </xf>
    <xf numFmtId="0" fontId="8" fillId="6" borderId="47" xfId="0" applyFont="1" applyFill="1" applyBorder="1" applyAlignment="1" applyProtection="1">
      <alignment horizontal="center" wrapText="1"/>
    </xf>
    <xf numFmtId="0" fontId="30" fillId="6" borderId="53" xfId="0" applyFont="1" applyFill="1" applyBorder="1" applyAlignment="1" applyProtection="1">
      <alignment horizontal="center" vertical="center"/>
    </xf>
    <xf numFmtId="167" fontId="8" fillId="6" borderId="36" xfId="0" applyNumberFormat="1" applyFont="1" applyFill="1" applyBorder="1" applyAlignment="1" applyProtection="1">
      <alignment horizontal="center" vertical="center"/>
    </xf>
    <xf numFmtId="0" fontId="8" fillId="6" borderId="37" xfId="0" applyFont="1" applyFill="1" applyBorder="1" applyAlignment="1" applyProtection="1">
      <alignment horizontal="center" vertical="center"/>
    </xf>
    <xf numFmtId="0" fontId="8" fillId="6" borderId="4" xfId="0" applyFont="1" applyFill="1" applyBorder="1" applyAlignment="1" applyProtection="1">
      <alignment horizontal="center" vertical="center"/>
    </xf>
    <xf numFmtId="0" fontId="8" fillId="6" borderId="37" xfId="0" applyFont="1" applyFill="1" applyBorder="1" applyAlignment="1" applyProtection="1">
      <alignment horizontal="center"/>
    </xf>
    <xf numFmtId="165" fontId="8" fillId="3" borderId="0" xfId="0" applyNumberFormat="1" applyFont="1" applyFill="1" applyAlignment="1" applyProtection="1">
      <alignment horizontal="center" vertical="center" wrapText="1"/>
    </xf>
    <xf numFmtId="165" fontId="8" fillId="8" borderId="2" xfId="0" applyNumberFormat="1" applyFont="1" applyFill="1" applyBorder="1" applyAlignment="1" applyProtection="1">
      <alignment horizontal="center" vertical="center"/>
    </xf>
    <xf numFmtId="165" fontId="8" fillId="6" borderId="2" xfId="0" applyNumberFormat="1" applyFont="1" applyFill="1" applyBorder="1" applyAlignment="1" applyProtection="1">
      <alignment horizontal="center" vertical="center"/>
    </xf>
    <xf numFmtId="0" fontId="19" fillId="3" borderId="25" xfId="0" applyFont="1" applyFill="1" applyBorder="1" applyAlignment="1" applyProtection="1">
      <alignment vertical="center" wrapText="1"/>
    </xf>
    <xf numFmtId="0" fontId="19" fillId="3" borderId="24" xfId="0" applyFont="1" applyFill="1" applyBorder="1" applyAlignment="1" applyProtection="1">
      <alignment vertical="center" wrapText="1"/>
    </xf>
    <xf numFmtId="1" fontId="8" fillId="6" borderId="3" xfId="0" applyNumberFormat="1" applyFont="1" applyFill="1" applyBorder="1" applyAlignment="1" applyProtection="1">
      <alignment horizontal="center" vertical="center"/>
    </xf>
    <xf numFmtId="0" fontId="28" fillId="6" borderId="60" xfId="0" applyFont="1" applyFill="1" applyBorder="1" applyAlignment="1" applyProtection="1">
      <alignment horizontal="center" vertical="center" wrapText="1"/>
    </xf>
    <xf numFmtId="0" fontId="28" fillId="6" borderId="59" xfId="0" applyFont="1" applyFill="1" applyBorder="1" applyAlignment="1" applyProtection="1">
      <alignment vertical="center" wrapText="1"/>
    </xf>
    <xf numFmtId="166" fontId="8" fillId="8" borderId="12" xfId="0" applyNumberFormat="1" applyFont="1" applyFill="1" applyBorder="1" applyAlignment="1" applyProtection="1">
      <alignment horizontal="center" vertical="center" wrapText="1"/>
    </xf>
    <xf numFmtId="166" fontId="8" fillId="8" borderId="5" xfId="0" applyNumberFormat="1" applyFont="1" applyFill="1" applyBorder="1" applyAlignment="1" applyProtection="1">
      <alignment horizontal="center" vertical="center" wrapText="1"/>
    </xf>
    <xf numFmtId="166" fontId="8" fillId="8" borderId="6" xfId="0" applyNumberFormat="1" applyFont="1" applyFill="1" applyBorder="1" applyAlignment="1" applyProtection="1">
      <alignment horizontal="center" vertical="center" wrapText="1"/>
    </xf>
    <xf numFmtId="1" fontId="8" fillId="8" borderId="12" xfId="0" applyNumberFormat="1" applyFont="1" applyFill="1" applyBorder="1" applyAlignment="1" applyProtection="1">
      <alignment horizontal="center" vertical="center"/>
    </xf>
    <xf numFmtId="165" fontId="8" fillId="8" borderId="5" xfId="0" applyNumberFormat="1" applyFont="1" applyFill="1" applyBorder="1" applyAlignment="1" applyProtection="1">
      <alignment horizontal="center" vertical="center"/>
    </xf>
    <xf numFmtId="167" fontId="8" fillId="8" borderId="5" xfId="0" applyNumberFormat="1" applyFont="1" applyFill="1" applyBorder="1" applyAlignment="1" applyProtection="1">
      <alignment horizontal="center" vertical="center"/>
    </xf>
    <xf numFmtId="166" fontId="8" fillId="8" borderId="11" xfId="0" applyNumberFormat="1" applyFont="1" applyFill="1" applyBorder="1" applyAlignment="1" applyProtection="1">
      <alignment horizontal="center" vertical="center" wrapText="1"/>
    </xf>
    <xf numFmtId="166" fontId="8" fillId="8" borderId="32" xfId="0" applyNumberFormat="1" applyFont="1" applyFill="1" applyBorder="1" applyAlignment="1" applyProtection="1">
      <alignment horizontal="center" vertical="center" wrapText="1"/>
    </xf>
    <xf numFmtId="166" fontId="8" fillId="8" borderId="33" xfId="0" applyNumberFormat="1" applyFont="1" applyFill="1" applyBorder="1" applyAlignment="1" applyProtection="1">
      <alignment horizontal="center" vertical="center" wrapText="1"/>
    </xf>
    <xf numFmtId="0" fontId="28" fillId="6" borderId="27" xfId="0" applyFont="1" applyFill="1" applyBorder="1" applyAlignment="1" applyProtection="1">
      <alignment horizontal="center" vertical="center" wrapText="1"/>
    </xf>
    <xf numFmtId="0" fontId="44" fillId="6" borderId="67" xfId="0" applyFont="1" applyFill="1" applyBorder="1" applyAlignment="1" applyProtection="1">
      <alignment horizontal="center" vertical="center" wrapText="1"/>
    </xf>
    <xf numFmtId="0" fontId="12" fillId="6" borderId="48" xfId="0" applyFont="1" applyFill="1" applyBorder="1" applyAlignment="1" applyProtection="1">
      <alignment horizontal="left" vertical="center" wrapText="1"/>
    </xf>
    <xf numFmtId="0" fontId="12" fillId="6" borderId="7" xfId="0" applyFont="1" applyFill="1" applyBorder="1" applyAlignment="1" applyProtection="1">
      <alignment horizontal="left" vertical="center" wrapText="1"/>
    </xf>
    <xf numFmtId="0" fontId="35" fillId="9" borderId="8" xfId="0" applyFont="1" applyFill="1" applyBorder="1" applyAlignment="1" applyProtection="1">
      <alignment horizontal="center" vertical="center" wrapText="1"/>
    </xf>
    <xf numFmtId="0" fontId="12" fillId="6" borderId="8" xfId="0" applyFont="1" applyFill="1" applyBorder="1" applyAlignment="1" applyProtection="1">
      <alignment horizontal="left" vertical="center" wrapText="1"/>
    </xf>
    <xf numFmtId="1" fontId="35" fillId="9" borderId="8" xfId="0" applyNumberFormat="1" applyFont="1" applyFill="1" applyBorder="1" applyAlignment="1" applyProtection="1">
      <alignment horizontal="center" vertical="center" wrapText="1"/>
    </xf>
    <xf numFmtId="0" fontId="35" fillId="6" borderId="8" xfId="0" applyFont="1" applyFill="1" applyBorder="1" applyAlignment="1" applyProtection="1">
      <alignment horizontal="left" vertical="center" wrapText="1"/>
    </xf>
    <xf numFmtId="0" fontId="35" fillId="9" borderId="48" xfId="0" applyFont="1" applyFill="1" applyBorder="1" applyAlignment="1" applyProtection="1">
      <alignment horizontal="center" vertical="center" wrapText="1"/>
    </xf>
    <xf numFmtId="168" fontId="43" fillId="8" borderId="13" xfId="0" applyNumberFormat="1" applyFont="1" applyFill="1" applyBorder="1" applyAlignment="1" applyProtection="1">
      <alignment horizontal="center" vertical="center"/>
    </xf>
    <xf numFmtId="0" fontId="28" fillId="8" borderId="44" xfId="0" applyFont="1" applyFill="1" applyBorder="1" applyAlignment="1" applyProtection="1">
      <alignment horizontal="center" vertical="center"/>
    </xf>
    <xf numFmtId="0" fontId="28" fillId="6" borderId="2" xfId="0" applyFont="1" applyFill="1" applyBorder="1" applyAlignment="1" applyProtection="1">
      <alignment horizontal="center" vertical="center"/>
    </xf>
    <xf numFmtId="0" fontId="8" fillId="6" borderId="62" xfId="0" applyFont="1" applyFill="1" applyBorder="1" applyAlignment="1" applyProtection="1">
      <alignment horizontal="center" vertical="center"/>
    </xf>
    <xf numFmtId="2" fontId="8" fillId="0" borderId="0" xfId="0" applyNumberFormat="1" applyFont="1" applyProtection="1">
      <protection hidden="1"/>
    </xf>
    <xf numFmtId="2" fontId="8" fillId="0" borderId="0" xfId="0" applyNumberFormat="1" applyFont="1" applyFill="1" applyBorder="1" applyProtection="1">
      <protection hidden="1"/>
    </xf>
    <xf numFmtId="2" fontId="8" fillId="3" borderId="0" xfId="0" applyNumberFormat="1" applyFont="1" applyFill="1" applyBorder="1" applyProtection="1">
      <protection hidden="1"/>
    </xf>
    <xf numFmtId="2" fontId="28" fillId="0" borderId="0" xfId="0" applyNumberFormat="1" applyFont="1" applyFill="1" applyBorder="1" applyAlignment="1" applyProtection="1">
      <alignment horizontal="center" vertical="center" wrapText="1"/>
      <protection hidden="1"/>
    </xf>
    <xf numFmtId="2" fontId="8" fillId="0" borderId="0" xfId="0" applyNumberFormat="1" applyFont="1" applyFill="1" applyBorder="1" applyAlignment="1" applyProtection="1">
      <alignment horizontal="center" vertical="center"/>
      <protection hidden="1"/>
    </xf>
    <xf numFmtId="2" fontId="8" fillId="0" borderId="0" xfId="0" applyNumberFormat="1" applyFont="1" applyFill="1" applyProtection="1">
      <protection hidden="1"/>
    </xf>
    <xf numFmtId="2" fontId="28" fillId="0" borderId="0" xfId="0" applyNumberFormat="1" applyFont="1" applyFill="1" applyBorder="1" applyAlignment="1" applyProtection="1">
      <alignment vertical="center" wrapText="1"/>
      <protection hidden="1"/>
    </xf>
    <xf numFmtId="0" fontId="9" fillId="0" borderId="0" xfId="0" applyFont="1" applyAlignment="1" applyProtection="1">
      <alignment vertical="center" wrapText="1"/>
      <protection hidden="1"/>
    </xf>
    <xf numFmtId="0" fontId="50" fillId="0" borderId="0" xfId="0" applyFont="1" applyProtection="1"/>
    <xf numFmtId="0" fontId="28" fillId="6" borderId="51" xfId="0" applyFont="1" applyFill="1" applyBorder="1" applyAlignment="1" applyProtection="1">
      <alignment horizontal="center" vertical="center" wrapText="1"/>
    </xf>
    <xf numFmtId="166" fontId="28" fillId="6" borderId="16" xfId="0" applyNumberFormat="1" applyFont="1" applyFill="1" applyBorder="1" applyAlignment="1" applyProtection="1">
      <alignment horizontal="center" vertical="center"/>
    </xf>
    <xf numFmtId="0" fontId="53" fillId="0" borderId="0" xfId="0" applyFont="1"/>
    <xf numFmtId="1" fontId="38" fillId="8" borderId="11" xfId="0" applyNumberFormat="1" applyFont="1" applyFill="1" applyBorder="1" applyAlignment="1" applyProtection="1">
      <alignment horizontal="center" vertical="center"/>
    </xf>
    <xf numFmtId="0" fontId="14" fillId="8" borderId="32" xfId="0" applyFont="1" applyFill="1" applyBorder="1" applyAlignment="1" applyProtection="1">
      <alignment horizontal="center" vertical="center"/>
    </xf>
    <xf numFmtId="0" fontId="40" fillId="8" borderId="32" xfId="0" applyFont="1" applyFill="1" applyBorder="1" applyAlignment="1" applyProtection="1">
      <alignment horizontal="center" vertical="center"/>
    </xf>
    <xf numFmtId="167" fontId="8" fillId="6" borderId="40" xfId="0" applyNumberFormat="1" applyFont="1" applyFill="1" applyBorder="1" applyAlignment="1" applyProtection="1">
      <alignment horizontal="center" vertical="center"/>
    </xf>
    <xf numFmtId="167" fontId="8" fillId="6" borderId="32" xfId="0" applyNumberFormat="1" applyFont="1" applyFill="1" applyBorder="1" applyAlignment="1" applyProtection="1">
      <alignment horizontal="center" vertical="center"/>
    </xf>
    <xf numFmtId="167" fontId="8" fillId="6" borderId="19" xfId="0" applyNumberFormat="1" applyFont="1" applyFill="1" applyBorder="1" applyAlignment="1" applyProtection="1">
      <alignment horizontal="center" vertical="center"/>
    </xf>
    <xf numFmtId="167" fontId="8" fillId="6" borderId="37" xfId="0" applyNumberFormat="1" applyFont="1" applyFill="1" applyBorder="1" applyAlignment="1" applyProtection="1">
      <alignment horizontal="center" vertical="center"/>
    </xf>
    <xf numFmtId="167" fontId="8" fillId="6" borderId="5" xfId="0" applyNumberFormat="1" applyFont="1" applyFill="1" applyBorder="1" applyAlignment="1" applyProtection="1">
      <alignment horizontal="center" vertical="center"/>
    </xf>
    <xf numFmtId="2" fontId="39" fillId="0" borderId="0" xfId="0" applyNumberFormat="1" applyFont="1" applyAlignment="1" applyProtection="1">
      <alignment horizontal="center"/>
      <protection hidden="1"/>
    </xf>
    <xf numFmtId="167" fontId="33" fillId="4" borderId="1" xfId="0" applyNumberFormat="1" applyFont="1" applyFill="1" applyBorder="1" applyAlignment="1" applyProtection="1">
      <alignment horizontal="center" vertical="center"/>
      <protection locked="0" hidden="1"/>
    </xf>
    <xf numFmtId="167" fontId="33" fillId="4" borderId="50" xfId="0" applyNumberFormat="1" applyFont="1" applyFill="1" applyBorder="1" applyAlignment="1" applyProtection="1">
      <alignment horizontal="center" vertical="center"/>
      <protection locked="0" hidden="1"/>
    </xf>
    <xf numFmtId="0" fontId="28" fillId="6" borderId="9" xfId="0" applyFont="1" applyFill="1" applyBorder="1" applyAlignment="1" applyProtection="1">
      <alignment horizontal="center" vertical="center"/>
    </xf>
    <xf numFmtId="0" fontId="19" fillId="0" borderId="0" xfId="0" applyFont="1" applyFill="1" applyProtection="1"/>
    <xf numFmtId="0" fontId="28" fillId="6" borderId="8" xfId="0" applyFont="1" applyFill="1" applyBorder="1" applyAlignment="1" applyProtection="1">
      <alignment horizontal="center" vertical="center"/>
    </xf>
    <xf numFmtId="0" fontId="39" fillId="8" borderId="38" xfId="0" applyFont="1" applyFill="1" applyBorder="1" applyAlignment="1" applyProtection="1">
      <alignment horizontal="center" vertical="center" wrapText="1"/>
      <protection hidden="1"/>
    </xf>
    <xf numFmtId="0" fontId="39" fillId="8" borderId="22" xfId="0" applyFont="1" applyFill="1" applyBorder="1" applyAlignment="1" applyProtection="1">
      <alignment horizontal="center" vertical="center" wrapText="1"/>
      <protection hidden="1"/>
    </xf>
    <xf numFmtId="0" fontId="28" fillId="9" borderId="16" xfId="0" applyFont="1" applyFill="1" applyBorder="1" applyAlignment="1" applyProtection="1">
      <alignment wrapText="1"/>
    </xf>
    <xf numFmtId="0" fontId="28" fillId="9" borderId="16" xfId="0" applyFont="1" applyFill="1" applyBorder="1" applyAlignment="1" applyProtection="1">
      <alignment vertical="center" wrapText="1"/>
    </xf>
    <xf numFmtId="0" fontId="28" fillId="9" borderId="44" xfId="0" applyFont="1" applyFill="1" applyBorder="1" applyAlignment="1" applyProtection="1">
      <alignment horizontal="center" vertical="center"/>
    </xf>
    <xf numFmtId="0" fontId="28" fillId="9" borderId="35" xfId="0" applyFont="1" applyFill="1" applyBorder="1" applyAlignment="1" applyProtection="1">
      <alignment horizontal="center" vertical="center"/>
    </xf>
    <xf numFmtId="0" fontId="28" fillId="8" borderId="35" xfId="0" applyFont="1" applyFill="1" applyBorder="1" applyAlignment="1" applyProtection="1">
      <alignment horizontal="center" vertical="center"/>
    </xf>
    <xf numFmtId="1" fontId="28" fillId="8" borderId="9" xfId="0" applyNumberFormat="1" applyFont="1" applyFill="1" applyBorder="1" applyAlignment="1" applyProtection="1">
      <alignment horizontal="center" vertical="center"/>
      <protection hidden="1"/>
    </xf>
    <xf numFmtId="165" fontId="28" fillId="8" borderId="22" xfId="0" applyNumberFormat="1" applyFont="1" applyFill="1" applyBorder="1" applyAlignment="1" applyProtection="1">
      <alignment horizontal="center" vertical="center"/>
    </xf>
    <xf numFmtId="0" fontId="28" fillId="6" borderId="32" xfId="0" applyFont="1" applyFill="1" applyBorder="1" applyAlignment="1" applyProtection="1">
      <alignment horizontal="center" vertical="center"/>
    </xf>
    <xf numFmtId="167" fontId="33" fillId="4" borderId="32" xfId="0" applyNumberFormat="1" applyFont="1" applyFill="1" applyBorder="1" applyAlignment="1" applyProtection="1">
      <alignment horizontal="center" vertical="center"/>
      <protection locked="0" hidden="1"/>
    </xf>
    <xf numFmtId="167" fontId="33" fillId="4" borderId="33" xfId="0" applyNumberFormat="1" applyFont="1" applyFill="1" applyBorder="1" applyAlignment="1" applyProtection="1">
      <alignment horizontal="center" vertical="center"/>
      <protection locked="0" hidden="1"/>
    </xf>
    <xf numFmtId="167" fontId="33" fillId="4" borderId="48" xfId="0" applyNumberFormat="1" applyFont="1" applyFill="1" applyBorder="1" applyAlignment="1" applyProtection="1">
      <alignment horizontal="center" vertical="center"/>
      <protection locked="0" hidden="1"/>
    </xf>
    <xf numFmtId="167" fontId="33" fillId="4" borderId="55" xfId="0" applyNumberFormat="1" applyFont="1" applyFill="1" applyBorder="1" applyAlignment="1" applyProtection="1">
      <alignment horizontal="center" vertical="center"/>
      <protection locked="0" hidden="1"/>
    </xf>
    <xf numFmtId="1" fontId="54" fillId="8" borderId="50" xfId="0" applyNumberFormat="1" applyFont="1" applyFill="1" applyBorder="1" applyAlignment="1" applyProtection="1">
      <alignment horizontal="center" vertical="center"/>
      <protection hidden="1"/>
    </xf>
    <xf numFmtId="1" fontId="54" fillId="8" borderId="34" xfId="0" applyNumberFormat="1" applyFont="1" applyFill="1" applyBorder="1" applyAlignment="1" applyProtection="1">
      <alignment horizontal="center" vertical="center"/>
      <protection hidden="1"/>
    </xf>
    <xf numFmtId="1" fontId="54" fillId="8" borderId="10" xfId="0" applyNumberFormat="1" applyFont="1" applyFill="1" applyBorder="1" applyAlignment="1" applyProtection="1">
      <alignment horizontal="center" vertical="center"/>
      <protection hidden="1"/>
    </xf>
    <xf numFmtId="1" fontId="39" fillId="8" borderId="22" xfId="0" applyNumberFormat="1" applyFont="1" applyFill="1" applyBorder="1" applyAlignment="1" applyProtection="1">
      <alignment horizontal="center" vertical="center" wrapText="1"/>
      <protection hidden="1"/>
    </xf>
    <xf numFmtId="2" fontId="39" fillId="8" borderId="22" xfId="0" applyNumberFormat="1" applyFont="1" applyFill="1" applyBorder="1" applyAlignment="1" applyProtection="1">
      <alignment horizontal="center" vertical="center"/>
    </xf>
    <xf numFmtId="0" fontId="39" fillId="8" borderId="22" xfId="0" applyFont="1" applyFill="1" applyBorder="1" applyAlignment="1" applyProtection="1">
      <alignment horizontal="center" vertical="center"/>
    </xf>
    <xf numFmtId="0" fontId="42" fillId="8" borderId="11" xfId="0" applyFont="1" applyFill="1" applyBorder="1" applyAlignment="1" applyProtection="1">
      <alignment horizontal="center" vertical="center" wrapText="1"/>
      <protection hidden="1"/>
    </xf>
    <xf numFmtId="0" fontId="52" fillId="8" borderId="32" xfId="0" applyFont="1" applyFill="1" applyBorder="1" applyAlignment="1" applyProtection="1">
      <alignment horizontal="center" vertical="center" wrapText="1"/>
      <protection hidden="1"/>
    </xf>
    <xf numFmtId="0" fontId="42" fillId="8" borderId="12" xfId="0" applyFont="1" applyFill="1" applyBorder="1" applyAlignment="1" applyProtection="1">
      <alignment horizontal="center" vertical="center" wrapText="1"/>
      <protection hidden="1"/>
    </xf>
    <xf numFmtId="0" fontId="42" fillId="8" borderId="5" xfId="0" applyFont="1" applyFill="1" applyBorder="1" applyAlignment="1" applyProtection="1">
      <alignment horizontal="center" vertical="center" wrapText="1"/>
      <protection hidden="1"/>
    </xf>
    <xf numFmtId="0" fontId="9" fillId="8" borderId="22" xfId="0" applyFont="1" applyFill="1" applyBorder="1" applyAlignment="1" applyProtection="1">
      <alignment horizontal="center" vertical="center" wrapText="1"/>
      <protection hidden="1"/>
    </xf>
    <xf numFmtId="0" fontId="9" fillId="8" borderId="16" xfId="0" applyFont="1" applyFill="1" applyBorder="1" applyAlignment="1" applyProtection="1">
      <alignment horizontal="center" vertical="center" wrapText="1"/>
      <protection hidden="1"/>
    </xf>
    <xf numFmtId="0" fontId="41" fillId="0" borderId="0" xfId="0" applyFont="1" applyBorder="1" applyAlignment="1">
      <alignment horizontal="center" vertical="center"/>
    </xf>
    <xf numFmtId="0" fontId="41" fillId="0" borderId="0" xfId="0" applyFont="1" applyAlignment="1">
      <alignment horizontal="center" vertical="center"/>
    </xf>
    <xf numFmtId="0" fontId="41" fillId="0" borderId="0" xfId="0" applyFont="1" applyFill="1" applyBorder="1" applyAlignment="1">
      <alignment horizontal="center" vertical="center"/>
    </xf>
    <xf numFmtId="0" fontId="41" fillId="0" borderId="21" xfId="0" applyFont="1" applyBorder="1" applyAlignment="1">
      <alignment horizontal="center" vertical="center"/>
    </xf>
    <xf numFmtId="0" fontId="41" fillId="0" borderId="29" xfId="0" applyFont="1" applyBorder="1" applyAlignment="1">
      <alignment horizontal="center" vertical="center"/>
    </xf>
    <xf numFmtId="0" fontId="41" fillId="3" borderId="0" xfId="0" applyFont="1" applyFill="1" applyBorder="1" applyAlignment="1">
      <alignment horizontal="center" vertical="center"/>
    </xf>
    <xf numFmtId="0" fontId="41" fillId="0" borderId="0" xfId="0" applyFont="1" applyProtection="1"/>
    <xf numFmtId="0" fontId="41" fillId="0" borderId="0" xfId="0" applyFont="1" applyBorder="1" applyProtection="1"/>
    <xf numFmtId="0" fontId="41" fillId="0" borderId="57" xfId="0" applyFont="1" applyBorder="1" applyAlignment="1">
      <alignment horizontal="center" vertical="center"/>
    </xf>
    <xf numFmtId="0" fontId="41" fillId="0" borderId="18" xfId="0" applyFont="1" applyBorder="1" applyAlignment="1">
      <alignment horizontal="center" vertical="center"/>
    </xf>
    <xf numFmtId="0" fontId="41" fillId="0" borderId="56" xfId="0" applyFont="1" applyBorder="1" applyAlignment="1">
      <alignment horizontal="center" vertical="center"/>
    </xf>
    <xf numFmtId="0" fontId="41" fillId="0" borderId="21" xfId="0" applyFont="1" applyBorder="1" applyProtection="1"/>
    <xf numFmtId="0" fontId="41" fillId="0" borderId="0" xfId="0" applyFont="1" applyBorder="1" applyAlignment="1" applyProtection="1"/>
    <xf numFmtId="0" fontId="41" fillId="0" borderId="28" xfId="0" applyFont="1" applyBorder="1" applyProtection="1"/>
    <xf numFmtId="0" fontId="41" fillId="0" borderId="23" xfId="0" applyFont="1" applyBorder="1" applyAlignment="1" applyProtection="1">
      <alignment horizontal="center" vertical="center"/>
    </xf>
    <xf numFmtId="0" fontId="41" fillId="3" borderId="2" xfId="0" applyFont="1" applyFill="1" applyBorder="1" applyAlignment="1">
      <alignment horizontal="center" vertical="center"/>
    </xf>
    <xf numFmtId="165" fontId="41" fillId="3" borderId="2" xfId="0" applyNumberFormat="1" applyFont="1" applyFill="1" applyBorder="1" applyAlignment="1">
      <alignment horizontal="center" vertical="center"/>
    </xf>
    <xf numFmtId="0" fontId="41" fillId="0" borderId="29" xfId="0" applyFont="1" applyBorder="1" applyProtection="1"/>
    <xf numFmtId="166" fontId="41" fillId="3" borderId="2" xfId="0" applyNumberFormat="1" applyFont="1" applyFill="1" applyBorder="1" applyAlignment="1">
      <alignment horizontal="center" vertical="center"/>
    </xf>
    <xf numFmtId="0" fontId="41" fillId="3" borderId="5" xfId="0" applyFont="1" applyFill="1" applyBorder="1" applyAlignment="1">
      <alignment horizontal="center" vertical="center"/>
    </xf>
    <xf numFmtId="0" fontId="41" fillId="0" borderId="21" xfId="0" applyFont="1" applyBorder="1" applyAlignment="1" applyProtection="1">
      <alignment horizontal="center"/>
    </xf>
    <xf numFmtId="0" fontId="41" fillId="0" borderId="29" xfId="0" applyFont="1" applyBorder="1" applyAlignment="1" applyProtection="1">
      <alignment horizontal="center" vertical="center"/>
    </xf>
    <xf numFmtId="0" fontId="41" fillId="0" borderId="0" xfId="0" applyFont="1" applyFill="1" applyBorder="1" applyAlignment="1" applyProtection="1">
      <alignment horizontal="center" vertical="center"/>
    </xf>
    <xf numFmtId="0" fontId="41" fillId="22" borderId="40" xfId="0" applyFont="1" applyFill="1" applyBorder="1" applyAlignment="1" applyProtection="1">
      <alignment horizontal="center" vertical="center" wrapText="1"/>
    </xf>
    <xf numFmtId="0" fontId="51" fillId="22" borderId="32" xfId="0" applyFont="1" applyFill="1" applyBorder="1" applyAlignment="1">
      <alignment horizontal="center" vertical="center" wrapText="1"/>
    </xf>
    <xf numFmtId="0" fontId="41" fillId="22" borderId="19" xfId="0" applyFont="1" applyFill="1" applyBorder="1" applyAlignment="1" applyProtection="1">
      <alignment horizontal="center" vertical="center" wrapText="1"/>
    </xf>
    <xf numFmtId="0" fontId="51" fillId="22" borderId="2" xfId="0" applyFont="1" applyFill="1" applyBorder="1" applyAlignment="1">
      <alignment horizontal="center" vertical="center" wrapText="1"/>
    </xf>
    <xf numFmtId="0" fontId="51" fillId="22" borderId="37" xfId="0" applyFont="1" applyFill="1" applyBorder="1" applyAlignment="1">
      <alignment horizontal="center" vertical="center" wrapText="1"/>
    </xf>
    <xf numFmtId="0" fontId="51" fillId="22" borderId="5" xfId="0" applyFont="1" applyFill="1" applyBorder="1" applyAlignment="1">
      <alignment vertical="center" wrapText="1"/>
    </xf>
    <xf numFmtId="0" fontId="41" fillId="0" borderId="25" xfId="0" applyFont="1" applyBorder="1" applyProtection="1"/>
    <xf numFmtId="0" fontId="41" fillId="0" borderId="26" xfId="0" applyFont="1" applyBorder="1" applyProtection="1"/>
    <xf numFmtId="0" fontId="41" fillId="0" borderId="11" xfId="0" applyFont="1" applyFill="1" applyBorder="1" applyAlignment="1">
      <alignment horizontal="center" vertical="center"/>
    </xf>
    <xf numFmtId="0" fontId="41" fillId="0" borderId="33" xfId="0" applyFont="1" applyBorder="1" applyAlignment="1">
      <alignment horizontal="center" vertical="center" wrapText="1"/>
    </xf>
    <xf numFmtId="0" fontId="41" fillId="0" borderId="0" xfId="0" applyFont="1" applyAlignment="1">
      <alignment horizontal="center" vertical="center" wrapText="1"/>
    </xf>
    <xf numFmtId="0" fontId="41" fillId="0" borderId="3" xfId="0" applyFont="1" applyFill="1" applyBorder="1" applyAlignment="1">
      <alignment horizontal="center" vertical="center"/>
    </xf>
    <xf numFmtId="0" fontId="41" fillId="0" borderId="10" xfId="0" applyFont="1" applyBorder="1" applyAlignment="1">
      <alignment horizontal="center" vertical="center" wrapText="1"/>
    </xf>
    <xf numFmtId="0" fontId="41" fillId="0" borderId="0" xfId="0" applyFont="1" applyBorder="1" applyAlignment="1" applyProtection="1">
      <alignment horizontal="center" vertical="center"/>
    </xf>
    <xf numFmtId="0" fontId="41" fillId="0" borderId="54" xfId="0" applyFont="1" applyBorder="1" applyProtection="1"/>
    <xf numFmtId="0" fontId="41" fillId="0" borderId="28" xfId="0" applyFont="1" applyBorder="1" applyAlignment="1" applyProtection="1">
      <alignment horizontal="center" vertical="center"/>
    </xf>
    <xf numFmtId="0" fontId="42" fillId="0" borderId="51" xfId="0" applyFont="1" applyBorder="1" applyAlignment="1">
      <alignment horizontal="center" vertical="center"/>
    </xf>
    <xf numFmtId="0" fontId="42" fillId="0" borderId="49" xfId="0" applyFont="1" applyBorder="1" applyAlignment="1">
      <alignment horizontal="center" vertical="center"/>
    </xf>
    <xf numFmtId="0" fontId="42" fillId="0" borderId="49" xfId="0" applyFont="1" applyBorder="1" applyAlignment="1">
      <alignment horizontal="center" vertical="center" wrapText="1"/>
    </xf>
    <xf numFmtId="0" fontId="42" fillId="0" borderId="49" xfId="0" applyFont="1" applyBorder="1" applyAlignment="1" applyProtection="1">
      <alignment horizontal="center" vertical="center" wrapText="1"/>
    </xf>
    <xf numFmtId="0" fontId="42" fillId="0" borderId="52" xfId="0" applyFont="1" applyBorder="1" applyAlignment="1">
      <alignment horizontal="center" vertical="center" wrapText="1"/>
    </xf>
    <xf numFmtId="0" fontId="61" fillId="0" borderId="0" xfId="0" applyFont="1" applyAlignment="1">
      <alignment horizontal="center" vertical="center"/>
    </xf>
    <xf numFmtId="0" fontId="28" fillId="6" borderId="40" xfId="0" applyFont="1" applyFill="1" applyBorder="1" applyAlignment="1" applyProtection="1">
      <alignment horizontal="center" vertical="center"/>
    </xf>
    <xf numFmtId="0" fontId="28" fillId="6" borderId="33" xfId="0" applyFont="1" applyFill="1" applyBorder="1" applyAlignment="1" applyProtection="1">
      <alignment horizontal="center" vertical="center"/>
    </xf>
    <xf numFmtId="167" fontId="8" fillId="6" borderId="33" xfId="0" applyNumberFormat="1" applyFont="1" applyFill="1" applyBorder="1" applyAlignment="1" applyProtection="1">
      <alignment horizontal="center" vertical="center"/>
    </xf>
    <xf numFmtId="167" fontId="8" fillId="6" borderId="10" xfId="0" applyNumberFormat="1" applyFont="1" applyFill="1" applyBorder="1" applyAlignment="1" applyProtection="1">
      <alignment horizontal="center" vertical="center"/>
    </xf>
    <xf numFmtId="167" fontId="8" fillId="6" borderId="6" xfId="0" applyNumberFormat="1" applyFont="1" applyFill="1" applyBorder="1" applyAlignment="1" applyProtection="1">
      <alignment horizontal="center" vertical="center"/>
    </xf>
    <xf numFmtId="0" fontId="62" fillId="0" borderId="0" xfId="0" applyFont="1" applyAlignment="1" applyProtection="1">
      <alignment vertical="center"/>
    </xf>
    <xf numFmtId="0" fontId="41" fillId="0" borderId="0" xfId="0" applyFont="1" applyBorder="1" applyAlignment="1">
      <alignment horizontal="center" vertical="center" wrapText="1"/>
    </xf>
    <xf numFmtId="0" fontId="41" fillId="0" borderId="0" xfId="0" applyFont="1" applyFill="1" applyAlignment="1">
      <alignment horizontal="center" vertical="center" wrapText="1"/>
    </xf>
    <xf numFmtId="0" fontId="41" fillId="0" borderId="0" xfId="0" applyFont="1" applyFill="1" applyBorder="1" applyAlignment="1">
      <alignment horizontal="center" vertical="center" wrapText="1"/>
    </xf>
    <xf numFmtId="164" fontId="9" fillId="13" borderId="43" xfId="0" applyNumberFormat="1" applyFont="1" applyFill="1" applyBorder="1" applyAlignment="1" applyProtection="1">
      <alignment horizontal="center" vertical="center" wrapText="1"/>
    </xf>
    <xf numFmtId="185" fontId="9" fillId="9" borderId="2" xfId="0" applyNumberFormat="1" applyFont="1" applyFill="1" applyBorder="1" applyAlignment="1" applyProtection="1">
      <alignment horizontal="center" vertical="center"/>
    </xf>
    <xf numFmtId="166" fontId="35" fillId="9" borderId="67" xfId="0" applyNumberFormat="1" applyFont="1" applyFill="1" applyBorder="1" applyAlignment="1" applyProtection="1">
      <alignment horizontal="center" vertical="center" wrapText="1"/>
    </xf>
    <xf numFmtId="166" fontId="8" fillId="11" borderId="22" xfId="0" applyNumberFormat="1" applyFont="1" applyFill="1" applyBorder="1" applyAlignment="1" applyProtection="1">
      <alignment horizontal="center" vertical="center"/>
      <protection locked="0" hidden="1"/>
    </xf>
    <xf numFmtId="166" fontId="43" fillId="8" borderId="2" xfId="0" applyNumberFormat="1" applyFont="1" applyFill="1" applyBorder="1" applyAlignment="1" applyProtection="1">
      <alignment horizontal="center" vertical="center"/>
    </xf>
    <xf numFmtId="166" fontId="43" fillId="8" borderId="5" xfId="0" applyNumberFormat="1" applyFont="1" applyFill="1" applyBorder="1" applyAlignment="1" applyProtection="1">
      <alignment horizontal="center" vertical="center"/>
    </xf>
    <xf numFmtId="166" fontId="28" fillId="6" borderId="2" xfId="0" applyNumberFormat="1" applyFont="1" applyFill="1" applyBorder="1" applyAlignment="1" applyProtection="1">
      <alignment horizontal="center" vertical="center"/>
    </xf>
    <xf numFmtId="166" fontId="28" fillId="6" borderId="23" xfId="0" applyNumberFormat="1" applyFont="1" applyFill="1" applyBorder="1" applyAlignment="1" applyProtection="1">
      <alignment horizontal="center" vertical="center"/>
    </xf>
    <xf numFmtId="0" fontId="41" fillId="0" borderId="6" xfId="0" applyFont="1" applyBorder="1" applyAlignment="1">
      <alignment horizontal="center" vertical="center"/>
    </xf>
    <xf numFmtId="0" fontId="41" fillId="0" borderId="10" xfId="0" applyFont="1" applyBorder="1" applyAlignment="1">
      <alignment horizontal="center" vertical="center"/>
    </xf>
    <xf numFmtId="0" fontId="41" fillId="0" borderId="33" xfId="0" applyFont="1" applyBorder="1" applyAlignment="1">
      <alignment horizontal="center" vertical="center"/>
    </xf>
    <xf numFmtId="1" fontId="9" fillId="9" borderId="2" xfId="0" applyNumberFormat="1" applyFont="1" applyFill="1" applyBorder="1" applyAlignment="1" applyProtection="1">
      <alignment horizontal="center" vertical="center"/>
    </xf>
    <xf numFmtId="166" fontId="12" fillId="6" borderId="9" xfId="0" applyNumberFormat="1" applyFont="1" applyFill="1" applyBorder="1" applyAlignment="1" applyProtection="1">
      <alignment horizontal="right" vertical="center" wrapText="1"/>
    </xf>
    <xf numFmtId="166" fontId="12" fillId="6" borderId="8" xfId="0" applyNumberFormat="1" applyFont="1" applyFill="1" applyBorder="1" applyAlignment="1" applyProtection="1">
      <alignment horizontal="right" vertical="center" wrapText="1"/>
    </xf>
    <xf numFmtId="2" fontId="28" fillId="8" borderId="5" xfId="0" applyNumberFormat="1" applyFont="1" applyFill="1" applyBorder="1" applyAlignment="1" applyProtection="1">
      <alignment horizontal="center" vertical="center"/>
    </xf>
    <xf numFmtId="2" fontId="43" fillId="8" borderId="5" xfId="0" applyNumberFormat="1" applyFont="1" applyFill="1" applyBorder="1" applyAlignment="1" applyProtection="1">
      <alignment horizontal="center" vertical="center"/>
    </xf>
    <xf numFmtId="0" fontId="46" fillId="12" borderId="9" xfId="0" applyFont="1" applyFill="1" applyBorder="1" applyAlignment="1">
      <alignment horizontal="center" vertical="center"/>
    </xf>
    <xf numFmtId="0" fontId="46" fillId="12" borderId="51" xfId="0" applyFont="1" applyFill="1" applyBorder="1" applyAlignment="1">
      <alignment horizontal="center" vertical="center"/>
    </xf>
    <xf numFmtId="0" fontId="46" fillId="12" borderId="49" xfId="0" applyFont="1" applyFill="1" applyBorder="1" applyAlignment="1">
      <alignment horizontal="center" vertical="center"/>
    </xf>
    <xf numFmtId="0" fontId="46" fillId="12" borderId="49" xfId="0" applyFont="1" applyFill="1" applyBorder="1" applyAlignment="1">
      <alignment horizontal="center" vertical="center" wrapText="1"/>
    </xf>
    <xf numFmtId="0" fontId="46" fillId="12" borderId="49" xfId="0" applyFont="1" applyFill="1" applyBorder="1" applyAlignment="1" applyProtection="1">
      <alignment horizontal="center" vertical="center" wrapText="1"/>
    </xf>
    <xf numFmtId="0" fontId="46" fillId="12" borderId="52" xfId="0" applyFont="1" applyFill="1" applyBorder="1" applyAlignment="1">
      <alignment horizontal="center" vertical="center" wrapText="1"/>
    </xf>
    <xf numFmtId="185" fontId="41" fillId="0" borderId="2" xfId="0" applyNumberFormat="1" applyFont="1" applyBorder="1" applyAlignment="1">
      <alignment horizontal="center" vertical="center"/>
    </xf>
    <xf numFmtId="185" fontId="41" fillId="0" borderId="32" xfId="0" applyNumberFormat="1" applyFont="1" applyBorder="1" applyAlignment="1">
      <alignment horizontal="center" vertical="center"/>
    </xf>
    <xf numFmtId="185" fontId="41" fillId="0" borderId="5" xfId="0" applyNumberFormat="1" applyFont="1" applyBorder="1" applyAlignment="1">
      <alignment horizontal="center" vertical="center"/>
    </xf>
    <xf numFmtId="0" fontId="28" fillId="6" borderId="8" xfId="0" applyFont="1" applyFill="1" applyBorder="1" applyAlignment="1" applyProtection="1">
      <alignment horizontal="center" vertical="center"/>
    </xf>
    <xf numFmtId="0" fontId="9" fillId="8" borderId="5" xfId="0" applyFont="1" applyFill="1" applyBorder="1" applyAlignment="1" applyProtection="1">
      <alignment horizontal="center" vertical="center" wrapText="1"/>
    </xf>
    <xf numFmtId="0" fontId="28" fillId="6" borderId="8" xfId="0" applyFont="1" applyFill="1" applyBorder="1" applyAlignment="1" applyProtection="1">
      <alignment horizontal="center" vertical="center"/>
    </xf>
    <xf numFmtId="0" fontId="9" fillId="8" borderId="5" xfId="0" applyFont="1" applyFill="1" applyBorder="1" applyAlignment="1" applyProtection="1">
      <alignment horizontal="center" vertical="center" wrapText="1"/>
    </xf>
    <xf numFmtId="0" fontId="63" fillId="0" borderId="0" xfId="0" applyFont="1" applyBorder="1" applyAlignment="1">
      <alignment vertical="top" textRotation="90"/>
    </xf>
    <xf numFmtId="0" fontId="28" fillId="6" borderId="8" xfId="0" applyFont="1" applyFill="1" applyBorder="1" applyAlignment="1" applyProtection="1">
      <alignment horizontal="center" vertical="center"/>
    </xf>
    <xf numFmtId="0" fontId="9" fillId="8" borderId="5" xfId="0" applyFont="1" applyFill="1" applyBorder="1" applyAlignment="1" applyProtection="1">
      <alignment horizontal="center" vertical="center" wrapText="1"/>
    </xf>
    <xf numFmtId="165" fontId="33" fillId="4" borderId="32" xfId="0" applyNumberFormat="1" applyFont="1" applyFill="1" applyBorder="1" applyAlignment="1" applyProtection="1">
      <alignment horizontal="center" vertical="center"/>
      <protection locked="0" hidden="1"/>
    </xf>
    <xf numFmtId="165" fontId="33" fillId="4" borderId="33" xfId="0" applyNumberFormat="1" applyFont="1" applyFill="1" applyBorder="1" applyAlignment="1" applyProtection="1">
      <alignment horizontal="center" vertical="center"/>
      <protection locked="0" hidden="1"/>
    </xf>
    <xf numFmtId="165" fontId="33" fillId="4" borderId="1" xfId="0" applyNumberFormat="1" applyFont="1" applyFill="1" applyBorder="1" applyAlignment="1" applyProtection="1">
      <alignment horizontal="center" vertical="center"/>
      <protection locked="0" hidden="1"/>
    </xf>
    <xf numFmtId="165" fontId="33" fillId="4" borderId="50" xfId="0" applyNumberFormat="1" applyFont="1" applyFill="1" applyBorder="1" applyAlignment="1" applyProtection="1">
      <alignment horizontal="center" vertical="center"/>
      <protection locked="0" hidden="1"/>
    </xf>
    <xf numFmtId="165" fontId="33" fillId="4" borderId="48" xfId="0" applyNumberFormat="1" applyFont="1" applyFill="1" applyBorder="1" applyAlignment="1" applyProtection="1">
      <alignment horizontal="center" vertical="center"/>
      <protection locked="0" hidden="1"/>
    </xf>
    <xf numFmtId="165" fontId="33" fillId="4" borderId="55" xfId="0" applyNumberFormat="1" applyFont="1" applyFill="1" applyBorder="1" applyAlignment="1" applyProtection="1">
      <alignment horizontal="center" vertical="center"/>
      <protection locked="0" hidden="1"/>
    </xf>
    <xf numFmtId="165" fontId="8" fillId="6" borderId="40" xfId="0" applyNumberFormat="1" applyFont="1" applyFill="1" applyBorder="1" applyAlignment="1" applyProtection="1">
      <alignment horizontal="center" vertical="center"/>
    </xf>
    <xf numFmtId="165" fontId="8" fillId="6" borderId="32" xfId="0" applyNumberFormat="1" applyFont="1" applyFill="1" applyBorder="1" applyAlignment="1" applyProtection="1">
      <alignment horizontal="center" vertical="center"/>
    </xf>
    <xf numFmtId="165" fontId="8" fillId="6" borderId="33" xfId="0" applyNumberFormat="1" applyFont="1" applyFill="1" applyBorder="1" applyAlignment="1" applyProtection="1">
      <alignment horizontal="center" vertical="center"/>
    </xf>
    <xf numFmtId="165" fontId="8" fillId="6" borderId="19" xfId="0" applyNumberFormat="1" applyFont="1" applyFill="1" applyBorder="1" applyAlignment="1" applyProtection="1">
      <alignment horizontal="center" vertical="center"/>
    </xf>
    <xf numFmtId="165" fontId="8" fillId="6" borderId="10" xfId="0" applyNumberFormat="1" applyFont="1" applyFill="1" applyBorder="1" applyAlignment="1" applyProtection="1">
      <alignment horizontal="center" vertical="center"/>
    </xf>
    <xf numFmtId="165" fontId="8" fillId="6" borderId="37" xfId="0" applyNumberFormat="1" applyFont="1" applyFill="1" applyBorder="1" applyAlignment="1" applyProtection="1">
      <alignment horizontal="center" vertical="center"/>
    </xf>
    <xf numFmtId="165" fontId="8" fillId="6" borderId="5" xfId="0" applyNumberFormat="1" applyFont="1" applyFill="1" applyBorder="1" applyAlignment="1" applyProtection="1">
      <alignment horizontal="center" vertical="center"/>
    </xf>
    <xf numFmtId="165" fontId="8" fillId="6" borderId="6" xfId="0" applyNumberFormat="1" applyFont="1" applyFill="1" applyBorder="1" applyAlignment="1" applyProtection="1">
      <alignment horizontal="center" vertical="center"/>
    </xf>
    <xf numFmtId="2" fontId="28" fillId="6" borderId="16" xfId="0" applyNumberFormat="1" applyFont="1" applyFill="1" applyBorder="1" applyAlignment="1" applyProtection="1">
      <alignment horizontal="center" vertical="center"/>
    </xf>
    <xf numFmtId="2" fontId="28" fillId="6" borderId="23" xfId="0" applyNumberFormat="1" applyFont="1" applyFill="1" applyBorder="1" applyAlignment="1" applyProtection="1">
      <alignment horizontal="center" vertical="center"/>
    </xf>
    <xf numFmtId="165" fontId="28" fillId="6" borderId="16" xfId="0" applyNumberFormat="1" applyFont="1" applyFill="1" applyBorder="1" applyAlignment="1" applyProtection="1">
      <alignment horizontal="center" vertical="center"/>
    </xf>
    <xf numFmtId="165" fontId="8" fillId="6" borderId="4" xfId="0" applyNumberFormat="1" applyFont="1" applyFill="1" applyBorder="1" applyAlignment="1" applyProtection="1">
      <alignment horizontal="center" vertical="center"/>
    </xf>
    <xf numFmtId="165" fontId="43" fillId="8" borderId="5" xfId="0" applyNumberFormat="1" applyFont="1" applyFill="1" applyBorder="1" applyAlignment="1" applyProtection="1">
      <alignment horizontal="center" vertical="center"/>
    </xf>
    <xf numFmtId="165" fontId="28" fillId="8" borderId="5" xfId="0" applyNumberFormat="1" applyFont="1" applyFill="1" applyBorder="1" applyAlignment="1" applyProtection="1">
      <alignment horizontal="center" vertical="center"/>
    </xf>
    <xf numFmtId="2" fontId="43" fillId="8" borderId="2" xfId="0" applyNumberFormat="1" applyFont="1" applyFill="1" applyBorder="1" applyAlignment="1" applyProtection="1">
      <alignment horizontal="center" vertical="center"/>
    </xf>
    <xf numFmtId="2" fontId="33" fillId="4" borderId="32" xfId="0" applyNumberFormat="1" applyFont="1" applyFill="1" applyBorder="1" applyAlignment="1" applyProtection="1">
      <alignment horizontal="center" vertical="center"/>
      <protection locked="0" hidden="1"/>
    </xf>
    <xf numFmtId="2" fontId="33" fillId="4" borderId="33" xfId="0" applyNumberFormat="1" applyFont="1" applyFill="1" applyBorder="1" applyAlignment="1" applyProtection="1">
      <alignment horizontal="center" vertical="center"/>
      <protection locked="0" hidden="1"/>
    </xf>
    <xf numFmtId="2" fontId="33" fillId="4" borderId="1" xfId="0" applyNumberFormat="1" applyFont="1" applyFill="1" applyBorder="1" applyAlignment="1" applyProtection="1">
      <alignment horizontal="center" vertical="center"/>
      <protection locked="0" hidden="1"/>
    </xf>
    <xf numFmtId="2" fontId="33" fillId="4" borderId="50" xfId="0" applyNumberFormat="1" applyFont="1" applyFill="1" applyBorder="1" applyAlignment="1" applyProtection="1">
      <alignment horizontal="center" vertical="center"/>
      <protection locked="0" hidden="1"/>
    </xf>
    <xf numFmtId="2" fontId="33" fillId="4" borderId="48" xfId="0" applyNumberFormat="1" applyFont="1" applyFill="1" applyBorder="1" applyAlignment="1" applyProtection="1">
      <alignment horizontal="center" vertical="center"/>
      <protection locked="0" hidden="1"/>
    </xf>
    <xf numFmtId="2" fontId="33" fillId="4" borderId="55" xfId="0" applyNumberFormat="1" applyFont="1" applyFill="1" applyBorder="1" applyAlignment="1" applyProtection="1">
      <alignment horizontal="center" vertical="center"/>
      <protection locked="0" hidden="1"/>
    </xf>
    <xf numFmtId="2" fontId="8" fillId="6" borderId="40" xfId="0" applyNumberFormat="1" applyFont="1" applyFill="1" applyBorder="1" applyAlignment="1" applyProtection="1">
      <alignment horizontal="center" vertical="center"/>
    </xf>
    <xf numFmtId="2" fontId="8" fillId="6" borderId="32" xfId="0" applyNumberFormat="1" applyFont="1" applyFill="1" applyBorder="1" applyAlignment="1" applyProtection="1">
      <alignment horizontal="center" vertical="center"/>
    </xf>
    <xf numFmtId="2" fontId="8" fillId="6" borderId="33" xfId="0" applyNumberFormat="1" applyFont="1" applyFill="1" applyBorder="1" applyAlignment="1" applyProtection="1">
      <alignment horizontal="center" vertical="center"/>
    </xf>
    <xf numFmtId="2" fontId="8" fillId="6" borderId="19" xfId="0" applyNumberFormat="1" applyFont="1" applyFill="1" applyBorder="1" applyAlignment="1" applyProtection="1">
      <alignment horizontal="center" vertical="center"/>
    </xf>
    <xf numFmtId="2" fontId="8" fillId="6" borderId="2" xfId="0" applyNumberFormat="1" applyFont="1" applyFill="1" applyBorder="1" applyAlignment="1" applyProtection="1">
      <alignment horizontal="center" vertical="center"/>
    </xf>
    <xf numFmtId="2" fontId="8" fillId="6" borderId="10" xfId="0" applyNumberFormat="1" applyFont="1" applyFill="1" applyBorder="1" applyAlignment="1" applyProtection="1">
      <alignment horizontal="center" vertical="center"/>
    </xf>
    <xf numFmtId="2" fontId="8" fillId="6" borderId="37" xfId="0" applyNumberFormat="1" applyFont="1" applyFill="1" applyBorder="1" applyAlignment="1" applyProtection="1">
      <alignment horizontal="center" vertical="center"/>
    </xf>
    <xf numFmtId="2" fontId="8" fillId="6" borderId="5" xfId="0" applyNumberFormat="1" applyFont="1" applyFill="1" applyBorder="1" applyAlignment="1" applyProtection="1">
      <alignment horizontal="center" vertical="center"/>
    </xf>
    <xf numFmtId="2" fontId="8" fillId="6" borderId="6" xfId="0" applyNumberFormat="1" applyFont="1" applyFill="1" applyBorder="1" applyAlignment="1" applyProtection="1">
      <alignment horizontal="center" vertical="center"/>
    </xf>
    <xf numFmtId="2" fontId="19" fillId="3" borderId="0" xfId="0" applyNumberFormat="1" applyFont="1" applyFill="1" applyBorder="1" applyProtection="1"/>
    <xf numFmtId="168" fontId="43" fillId="8" borderId="5" xfId="0" applyNumberFormat="1" applyFont="1" applyFill="1" applyBorder="1" applyAlignment="1" applyProtection="1">
      <alignment horizontal="center" vertical="center"/>
    </xf>
    <xf numFmtId="1" fontId="28" fillId="6" borderId="2" xfId="0" applyNumberFormat="1" applyFont="1" applyFill="1" applyBorder="1" applyAlignment="1" applyProtection="1">
      <alignment horizontal="center" vertical="center"/>
    </xf>
    <xf numFmtId="167" fontId="43" fillId="8" borderId="5" xfId="0" applyNumberFormat="1" applyFont="1" applyFill="1" applyBorder="1" applyAlignment="1" applyProtection="1">
      <alignment horizontal="center" vertical="center"/>
    </xf>
    <xf numFmtId="167" fontId="28" fillId="8" borderId="5" xfId="0" applyNumberFormat="1" applyFont="1" applyFill="1" applyBorder="1" applyAlignment="1" applyProtection="1">
      <alignment horizontal="center" vertical="center"/>
    </xf>
    <xf numFmtId="165" fontId="28" fillId="6" borderId="2" xfId="0" applyNumberFormat="1" applyFont="1" applyFill="1" applyBorder="1" applyAlignment="1" applyProtection="1">
      <alignment horizontal="center" vertical="center"/>
    </xf>
    <xf numFmtId="167" fontId="28" fillId="6" borderId="16" xfId="0" applyNumberFormat="1" applyFont="1" applyFill="1" applyBorder="1" applyAlignment="1" applyProtection="1">
      <alignment horizontal="center" vertical="center"/>
    </xf>
    <xf numFmtId="167" fontId="28" fillId="6" borderId="23" xfId="0" applyNumberFormat="1" applyFont="1" applyFill="1" applyBorder="1" applyAlignment="1" applyProtection="1">
      <alignment horizontal="center" vertical="center"/>
    </xf>
    <xf numFmtId="2" fontId="28" fillId="6" borderId="2" xfId="0" applyNumberFormat="1" applyFont="1" applyFill="1" applyBorder="1" applyAlignment="1" applyProtection="1">
      <alignment horizontal="center" vertical="center"/>
    </xf>
    <xf numFmtId="168" fontId="28" fillId="8" borderId="5" xfId="0" applyNumberFormat="1" applyFont="1" applyFill="1" applyBorder="1" applyAlignment="1" applyProtection="1">
      <alignment horizontal="center" vertical="center"/>
    </xf>
    <xf numFmtId="186" fontId="28" fillId="8" borderId="5" xfId="0" applyNumberFormat="1" applyFont="1" applyFill="1" applyBorder="1" applyAlignment="1" applyProtection="1">
      <alignment horizontal="center" vertical="center"/>
    </xf>
    <xf numFmtId="167" fontId="33" fillId="4" borderId="2" xfId="0" applyNumberFormat="1" applyFont="1" applyFill="1" applyBorder="1" applyAlignment="1" applyProtection="1">
      <alignment horizontal="center" vertical="center"/>
      <protection locked="0" hidden="1"/>
    </xf>
    <xf numFmtId="167" fontId="33" fillId="4" borderId="10" xfId="0" applyNumberFormat="1" applyFont="1" applyFill="1" applyBorder="1" applyAlignment="1" applyProtection="1">
      <alignment horizontal="center" vertical="center"/>
      <protection locked="0" hidden="1"/>
    </xf>
    <xf numFmtId="167" fontId="33" fillId="4" borderId="5" xfId="0" applyNumberFormat="1" applyFont="1" applyFill="1" applyBorder="1" applyAlignment="1" applyProtection="1">
      <alignment horizontal="center" vertical="center"/>
      <protection locked="0" hidden="1"/>
    </xf>
    <xf numFmtId="167" fontId="33" fillId="4" borderId="6" xfId="0" applyNumberFormat="1" applyFont="1" applyFill="1" applyBorder="1" applyAlignment="1" applyProtection="1">
      <alignment horizontal="center" vertical="center"/>
      <protection locked="0" hidden="1"/>
    </xf>
    <xf numFmtId="187" fontId="28" fillId="8" borderId="5" xfId="9" applyNumberFormat="1" applyFont="1" applyFill="1" applyBorder="1" applyAlignment="1" applyProtection="1">
      <alignment horizontal="center" vertical="center"/>
    </xf>
    <xf numFmtId="1" fontId="43" fillId="8" borderId="2" xfId="0" applyNumberFormat="1" applyFont="1" applyFill="1" applyBorder="1" applyAlignment="1" applyProtection="1">
      <alignment horizontal="center" vertical="center"/>
    </xf>
    <xf numFmtId="0" fontId="9" fillId="9" borderId="10" xfId="0" applyFont="1" applyFill="1" applyBorder="1" applyAlignment="1" applyProtection="1">
      <alignment horizontal="center" vertical="center" wrapText="1"/>
    </xf>
    <xf numFmtId="0" fontId="44" fillId="6" borderId="8" xfId="0" applyFont="1" applyFill="1" applyBorder="1" applyAlignment="1" applyProtection="1">
      <alignment horizontal="left" vertical="center" wrapText="1"/>
    </xf>
    <xf numFmtId="0" fontId="38" fillId="0" borderId="0" xfId="0" applyFont="1"/>
    <xf numFmtId="0" fontId="46" fillId="0" borderId="28" xfId="0" applyFont="1" applyFill="1" applyBorder="1" applyAlignment="1">
      <alignment horizontal="center" vertical="center"/>
    </xf>
    <xf numFmtId="0" fontId="46" fillId="0" borderId="0" xfId="0" applyFont="1" applyFill="1" applyBorder="1" applyAlignment="1">
      <alignment horizontal="center" vertical="center"/>
    </xf>
    <xf numFmtId="0" fontId="27" fillId="0" borderId="0" xfId="0" applyFont="1" applyFill="1"/>
    <xf numFmtId="0" fontId="38" fillId="0" borderId="0" xfId="0" applyFont="1" applyAlignment="1">
      <alignment horizontal="center" vertical="center" wrapText="1"/>
    </xf>
    <xf numFmtId="22" fontId="38" fillId="0" borderId="0" xfId="0" applyNumberFormat="1" applyFont="1" applyAlignment="1">
      <alignment horizontal="center" vertical="center" wrapText="1"/>
    </xf>
    <xf numFmtId="0" fontId="38" fillId="0" borderId="0" xfId="0" applyFont="1" applyAlignment="1">
      <alignment vertical="center"/>
    </xf>
    <xf numFmtId="170" fontId="41" fillId="23" borderId="3" xfId="0" applyNumberFormat="1" applyFont="1" applyFill="1" applyBorder="1" applyAlignment="1">
      <alignment horizontal="center" vertical="center"/>
    </xf>
    <xf numFmtId="182" fontId="41" fillId="23" borderId="2" xfId="0" applyNumberFormat="1" applyFont="1" applyFill="1" applyBorder="1" applyAlignment="1">
      <alignment horizontal="center" vertical="center"/>
    </xf>
    <xf numFmtId="181" fontId="41" fillId="23" borderId="10" xfId="0" applyNumberFormat="1" applyFont="1" applyFill="1" applyBorder="1" applyAlignment="1">
      <alignment horizontal="center" vertical="center"/>
    </xf>
    <xf numFmtId="169" fontId="41" fillId="23" borderId="3" xfId="0" applyNumberFormat="1" applyFont="1" applyFill="1" applyBorder="1" applyAlignment="1">
      <alignment horizontal="center" vertical="center"/>
    </xf>
    <xf numFmtId="181" fontId="41" fillId="23" borderId="2" xfId="0" applyNumberFormat="1" applyFont="1" applyFill="1" applyBorder="1" applyAlignment="1">
      <alignment horizontal="center" vertical="center"/>
    </xf>
    <xf numFmtId="183" fontId="41" fillId="23" borderId="2" xfId="0" applyNumberFormat="1" applyFont="1" applyFill="1" applyBorder="1" applyAlignment="1">
      <alignment horizontal="center" vertical="center"/>
    </xf>
    <xf numFmtId="169" fontId="41" fillId="23" borderId="12" xfId="0" applyNumberFormat="1" applyFont="1" applyFill="1" applyBorder="1" applyAlignment="1">
      <alignment horizontal="center" vertical="center"/>
    </xf>
    <xf numFmtId="183" fontId="41" fillId="23" borderId="5" xfId="0" applyNumberFormat="1" applyFont="1" applyFill="1" applyBorder="1" applyAlignment="1">
      <alignment horizontal="center" vertical="center"/>
    </xf>
    <xf numFmtId="0" fontId="41" fillId="23" borderId="7" xfId="0" applyFont="1" applyFill="1" applyBorder="1" applyAlignment="1">
      <alignment horizontal="center" vertical="center"/>
    </xf>
    <xf numFmtId="0" fontId="41" fillId="23" borderId="8" xfId="0" applyFont="1" applyFill="1" applyBorder="1" applyAlignment="1">
      <alignment horizontal="center" vertical="center" wrapText="1"/>
    </xf>
    <xf numFmtId="0" fontId="41" fillId="23" borderId="9" xfId="0" applyFont="1" applyFill="1" applyBorder="1" applyAlignment="1">
      <alignment horizontal="center" vertical="center"/>
    </xf>
    <xf numFmtId="170" fontId="41" fillId="23" borderId="46" xfId="0" applyNumberFormat="1" applyFont="1" applyFill="1" applyBorder="1" applyAlignment="1">
      <alignment horizontal="center" vertical="center"/>
    </xf>
    <xf numFmtId="166" fontId="33" fillId="4" borderId="32" xfId="0" applyNumberFormat="1" applyFont="1" applyFill="1" applyBorder="1" applyAlignment="1" applyProtection="1">
      <alignment horizontal="center" vertical="center"/>
      <protection locked="0" hidden="1"/>
    </xf>
    <xf numFmtId="166" fontId="33" fillId="4" borderId="33" xfId="0" applyNumberFormat="1" applyFont="1" applyFill="1" applyBorder="1" applyAlignment="1" applyProtection="1">
      <alignment horizontal="center" vertical="center"/>
      <protection locked="0" hidden="1"/>
    </xf>
    <xf numFmtId="166" fontId="33" fillId="4" borderId="1" xfId="0" applyNumberFormat="1" applyFont="1" applyFill="1" applyBorder="1" applyAlignment="1" applyProtection="1">
      <alignment horizontal="center" vertical="center"/>
      <protection locked="0" hidden="1"/>
    </xf>
    <xf numFmtId="166" fontId="33" fillId="4" borderId="50" xfId="0" applyNumberFormat="1" applyFont="1" applyFill="1" applyBorder="1" applyAlignment="1" applyProtection="1">
      <alignment horizontal="center" vertical="center"/>
      <protection locked="0" hidden="1"/>
    </xf>
    <xf numFmtId="166" fontId="33" fillId="4" borderId="48" xfId="0" applyNumberFormat="1" applyFont="1" applyFill="1" applyBorder="1" applyAlignment="1" applyProtection="1">
      <alignment horizontal="center" vertical="center"/>
      <protection locked="0" hidden="1"/>
    </xf>
    <xf numFmtId="166" fontId="33" fillId="4" borderId="55" xfId="0" applyNumberFormat="1" applyFont="1" applyFill="1" applyBorder="1" applyAlignment="1" applyProtection="1">
      <alignment horizontal="center" vertical="center"/>
      <protection locked="0" hidden="1"/>
    </xf>
    <xf numFmtId="168" fontId="28" fillId="6" borderId="23" xfId="0" applyNumberFormat="1" applyFont="1" applyFill="1" applyBorder="1" applyAlignment="1" applyProtection="1">
      <alignment horizontal="center" vertical="center"/>
    </xf>
    <xf numFmtId="166" fontId="6" fillId="7" borderId="32" xfId="0" applyNumberFormat="1" applyFont="1" applyFill="1" applyBorder="1" applyAlignment="1">
      <alignment horizontal="center" vertical="center"/>
    </xf>
    <xf numFmtId="166" fontId="6" fillId="7" borderId="33" xfId="0" applyNumberFormat="1" applyFont="1" applyFill="1" applyBorder="1" applyAlignment="1">
      <alignment horizontal="center" vertical="center"/>
    </xf>
    <xf numFmtId="166" fontId="6" fillId="7" borderId="5" xfId="0" applyNumberFormat="1" applyFont="1" applyFill="1" applyBorder="1" applyAlignment="1">
      <alignment horizontal="center" vertical="center" wrapText="1"/>
    </xf>
    <xf numFmtId="166" fontId="6" fillId="7" borderId="6" xfId="0" applyNumberFormat="1" applyFont="1" applyFill="1" applyBorder="1" applyAlignment="1">
      <alignment horizontal="center" vertical="center" wrapText="1"/>
    </xf>
    <xf numFmtId="166" fontId="6" fillId="7" borderId="37" xfId="0" applyNumberFormat="1" applyFont="1" applyFill="1" applyBorder="1" applyAlignment="1">
      <alignment horizontal="center" vertical="center" wrapText="1"/>
    </xf>
    <xf numFmtId="0" fontId="39" fillId="26" borderId="39" xfId="0" applyFont="1" applyFill="1" applyBorder="1" applyAlignment="1">
      <alignment horizontal="center" vertical="center" wrapText="1"/>
    </xf>
    <xf numFmtId="0" fontId="39" fillId="26" borderId="71" xfId="0" applyFont="1" applyFill="1" applyBorder="1" applyAlignment="1">
      <alignment horizontal="center" vertical="center" wrapText="1"/>
    </xf>
    <xf numFmtId="0" fontId="39" fillId="26" borderId="42" xfId="0" applyFont="1" applyFill="1" applyBorder="1" applyAlignment="1">
      <alignment horizontal="center" vertical="center" wrapText="1"/>
    </xf>
    <xf numFmtId="166" fontId="6" fillId="7" borderId="11" xfId="0" applyNumberFormat="1" applyFont="1" applyFill="1" applyBorder="1" applyAlignment="1">
      <alignment horizontal="center" vertical="center"/>
    </xf>
    <xf numFmtId="166" fontId="6" fillId="7" borderId="12" xfId="0" applyNumberFormat="1" applyFont="1" applyFill="1" applyBorder="1" applyAlignment="1">
      <alignment horizontal="center" vertical="center" wrapText="1"/>
    </xf>
    <xf numFmtId="166" fontId="6" fillId="7" borderId="32" xfId="0" applyNumberFormat="1" applyFont="1" applyFill="1" applyBorder="1" applyAlignment="1">
      <alignment horizontal="center" vertical="center" wrapText="1"/>
    </xf>
    <xf numFmtId="166" fontId="6" fillId="7" borderId="33" xfId="0" applyNumberFormat="1" applyFont="1" applyFill="1" applyBorder="1" applyAlignment="1">
      <alignment horizontal="center" vertical="center" wrapText="1"/>
    </xf>
    <xf numFmtId="166" fontId="6" fillId="7" borderId="40" xfId="0" applyNumberFormat="1" applyFont="1" applyFill="1" applyBorder="1" applyAlignment="1">
      <alignment horizontal="center" vertical="center" wrapText="1"/>
    </xf>
    <xf numFmtId="166" fontId="6" fillId="7" borderId="11" xfId="0" applyNumberFormat="1" applyFont="1" applyFill="1" applyBorder="1" applyAlignment="1">
      <alignment horizontal="center" vertical="center" wrapText="1"/>
    </xf>
    <xf numFmtId="166" fontId="6" fillId="7" borderId="44" xfId="0" applyNumberFormat="1" applyFont="1" applyFill="1" applyBorder="1" applyAlignment="1">
      <alignment horizontal="center" vertical="center" wrapText="1"/>
    </xf>
    <xf numFmtId="166" fontId="6" fillId="7" borderId="35" xfId="0" applyNumberFormat="1" applyFont="1" applyFill="1" applyBorder="1" applyAlignment="1">
      <alignment horizontal="center" vertical="center" wrapText="1"/>
    </xf>
    <xf numFmtId="166" fontId="5" fillId="7" borderId="11" xfId="0" applyNumberFormat="1" applyFont="1" applyFill="1" applyBorder="1" applyAlignment="1">
      <alignment horizontal="center" vertical="center" wrapText="1"/>
    </xf>
    <xf numFmtId="0" fontId="38" fillId="0" borderId="0" xfId="0" applyFont="1" applyAlignment="1" applyProtection="1">
      <alignment vertical="center"/>
      <protection locked="0"/>
    </xf>
    <xf numFmtId="0" fontId="39" fillId="26" borderId="39" xfId="0" applyFont="1" applyFill="1" applyBorder="1" applyAlignment="1" applyProtection="1">
      <alignment horizontal="center" vertical="center" wrapText="1"/>
    </xf>
    <xf numFmtId="0" fontId="39" fillId="26" borderId="42" xfId="0" applyFont="1" applyFill="1" applyBorder="1" applyAlignment="1" applyProtection="1">
      <alignment horizontal="center" vertical="center" wrapText="1"/>
    </xf>
    <xf numFmtId="166" fontId="6" fillId="7" borderId="11" xfId="0" applyNumberFormat="1" applyFont="1" applyFill="1" applyBorder="1" applyAlignment="1" applyProtection="1">
      <alignment horizontal="center" vertical="center" wrapText="1"/>
    </xf>
    <xf numFmtId="0" fontId="39" fillId="26" borderId="45" xfId="0" applyFont="1" applyFill="1" applyBorder="1" applyAlignment="1">
      <alignment horizontal="center" vertical="center" wrapText="1"/>
    </xf>
    <xf numFmtId="0" fontId="39" fillId="26" borderId="36" xfId="0" applyFont="1" applyFill="1" applyBorder="1" applyAlignment="1">
      <alignment horizontal="center" vertical="center" wrapText="1"/>
    </xf>
    <xf numFmtId="166" fontId="5" fillId="7" borderId="32" xfId="0" applyNumberFormat="1" applyFont="1" applyFill="1" applyBorder="1" applyAlignment="1">
      <alignment horizontal="center" vertical="center" wrapText="1"/>
    </xf>
    <xf numFmtId="166" fontId="5" fillId="7" borderId="33" xfId="0" applyNumberFormat="1" applyFont="1" applyFill="1" applyBorder="1" applyAlignment="1">
      <alignment horizontal="center" vertical="center" wrapText="1"/>
    </xf>
    <xf numFmtId="166" fontId="5" fillId="7" borderId="12" xfId="0" applyNumberFormat="1" applyFont="1" applyFill="1" applyBorder="1" applyAlignment="1">
      <alignment horizontal="center" vertical="center" wrapText="1"/>
    </xf>
    <xf numFmtId="166" fontId="5" fillId="7" borderId="5" xfId="0" applyNumberFormat="1" applyFont="1" applyFill="1" applyBorder="1" applyAlignment="1">
      <alignment horizontal="center" vertical="center" wrapText="1"/>
    </xf>
    <xf numFmtId="166" fontId="5" fillId="7" borderId="6" xfId="0" applyNumberFormat="1" applyFont="1" applyFill="1" applyBorder="1" applyAlignment="1">
      <alignment horizontal="center" vertical="center" wrapText="1"/>
    </xf>
    <xf numFmtId="0" fontId="39" fillId="26" borderId="45" xfId="0" applyFont="1" applyFill="1" applyBorder="1" applyAlignment="1" applyProtection="1">
      <alignment horizontal="center" vertical="center" wrapText="1"/>
    </xf>
    <xf numFmtId="0" fontId="39" fillId="26" borderId="36" xfId="0" applyFont="1" applyFill="1" applyBorder="1" applyAlignment="1" applyProtection="1">
      <alignment horizontal="center" vertical="center" wrapText="1"/>
    </xf>
    <xf numFmtId="166" fontId="6" fillId="7" borderId="32" xfId="0" applyNumberFormat="1" applyFont="1" applyFill="1" applyBorder="1" applyAlignment="1" applyProtection="1">
      <alignment horizontal="center" vertical="center" wrapText="1"/>
    </xf>
    <xf numFmtId="166" fontId="6" fillId="7" borderId="33" xfId="0" applyNumberFormat="1" applyFont="1" applyFill="1" applyBorder="1" applyAlignment="1" applyProtection="1">
      <alignment horizontal="center" vertical="center" wrapText="1"/>
    </xf>
    <xf numFmtId="166" fontId="6" fillId="7" borderId="12" xfId="0" applyNumberFormat="1" applyFont="1" applyFill="1" applyBorder="1" applyAlignment="1" applyProtection="1">
      <alignment horizontal="center" vertical="center" wrapText="1"/>
    </xf>
    <xf numFmtId="166" fontId="6" fillId="7" borderId="5" xfId="0" applyNumberFormat="1" applyFont="1" applyFill="1" applyBorder="1" applyAlignment="1" applyProtection="1">
      <alignment horizontal="center" vertical="center" wrapText="1"/>
    </xf>
    <xf numFmtId="166" fontId="6" fillId="7" borderId="6" xfId="0" applyNumberFormat="1" applyFont="1" applyFill="1" applyBorder="1" applyAlignment="1" applyProtection="1">
      <alignment horizontal="center" vertical="center" wrapText="1"/>
    </xf>
    <xf numFmtId="0" fontId="42" fillId="8" borderId="33" xfId="0" applyFont="1" applyFill="1" applyBorder="1" applyAlignment="1" applyProtection="1">
      <alignment horizontal="center" vertical="center" wrapText="1"/>
      <protection hidden="1"/>
    </xf>
    <xf numFmtId="0" fontId="42" fillId="8" borderId="6" xfId="0" applyFont="1" applyFill="1" applyBorder="1" applyAlignment="1" applyProtection="1">
      <alignment horizontal="center" vertical="center" wrapText="1"/>
      <protection hidden="1"/>
    </xf>
    <xf numFmtId="166" fontId="14" fillId="8" borderId="32" xfId="0" applyNumberFormat="1" applyFont="1" applyFill="1" applyBorder="1" applyAlignment="1" applyProtection="1">
      <alignment horizontal="center" vertical="center" wrapText="1"/>
    </xf>
    <xf numFmtId="2" fontId="35" fillId="9" borderId="67" xfId="0" applyNumberFormat="1" applyFont="1" applyFill="1" applyBorder="1" applyAlignment="1" applyProtection="1">
      <alignment horizontal="center" vertical="center" wrapText="1"/>
    </xf>
    <xf numFmtId="0" fontId="8" fillId="11" borderId="22" xfId="0" applyFont="1" applyFill="1" applyBorder="1" applyAlignment="1" applyProtection="1">
      <alignment horizontal="center" vertical="center"/>
      <protection locked="0" hidden="1"/>
    </xf>
    <xf numFmtId="0" fontId="39" fillId="0" borderId="7" xfId="0" applyFont="1" applyBorder="1" applyAlignment="1">
      <alignment horizontal="center" vertical="center"/>
    </xf>
    <xf numFmtId="0" fontId="39" fillId="0" borderId="8" xfId="0" applyFont="1" applyBorder="1" applyAlignment="1">
      <alignment horizontal="center" vertical="center"/>
    </xf>
    <xf numFmtId="11" fontId="19" fillId="0" borderId="0" xfId="0" applyNumberFormat="1" applyFont="1" applyProtection="1"/>
    <xf numFmtId="0" fontId="46" fillId="0" borderId="21" xfId="0" applyFont="1" applyFill="1" applyBorder="1" applyAlignment="1">
      <alignment horizontal="center" vertical="center"/>
    </xf>
    <xf numFmtId="0" fontId="39" fillId="0" borderId="0" xfId="0" applyFont="1" applyBorder="1" applyAlignment="1">
      <alignment vertical="center"/>
    </xf>
    <xf numFmtId="0" fontId="39" fillId="26" borderId="68" xfId="0" applyFont="1" applyFill="1" applyBorder="1" applyAlignment="1">
      <alignment horizontal="center" vertical="center" wrapText="1"/>
    </xf>
    <xf numFmtId="2" fontId="39" fillId="0" borderId="22" xfId="0" applyNumberFormat="1" applyFont="1" applyBorder="1" applyAlignment="1">
      <alignment horizontal="center" vertical="center"/>
    </xf>
    <xf numFmtId="0" fontId="39" fillId="0" borderId="22" xfId="0" applyFont="1" applyBorder="1" applyAlignment="1">
      <alignment horizontal="center" vertical="center"/>
    </xf>
    <xf numFmtId="0" fontId="46" fillId="0" borderId="29" xfId="0" applyFont="1" applyFill="1" applyBorder="1" applyAlignment="1">
      <alignment horizontal="center" vertical="center"/>
    </xf>
    <xf numFmtId="0" fontId="39" fillId="0" borderId="51" xfId="0" applyFont="1" applyBorder="1" applyAlignment="1">
      <alignment horizontal="center" vertical="center"/>
    </xf>
    <xf numFmtId="0" fontId="39" fillId="0" borderId="52" xfId="0" applyFont="1" applyBorder="1" applyAlignment="1">
      <alignment horizontal="center" vertical="center"/>
    </xf>
    <xf numFmtId="0" fontId="39" fillId="0" borderId="38" xfId="0" applyFont="1" applyBorder="1" applyAlignment="1">
      <alignment horizontal="center" vertical="center"/>
    </xf>
    <xf numFmtId="0" fontId="39" fillId="0" borderId="9" xfId="0" applyFont="1" applyBorder="1" applyAlignment="1">
      <alignment horizontal="center" vertical="center"/>
    </xf>
    <xf numFmtId="0" fontId="39" fillId="0" borderId="49" xfId="0" applyFont="1" applyBorder="1" applyAlignment="1">
      <alignment horizontal="center" vertical="center"/>
    </xf>
    <xf numFmtId="0" fontId="39" fillId="0" borderId="0" xfId="0" applyFont="1" applyAlignment="1">
      <alignment horizontal="center" vertical="center"/>
    </xf>
    <xf numFmtId="0" fontId="39" fillId="0" borderId="0" xfId="0" applyFont="1" applyBorder="1" applyAlignment="1">
      <alignment horizontal="center" vertical="center"/>
    </xf>
    <xf numFmtId="0" fontId="39" fillId="0" borderId="15" xfId="0" applyFont="1" applyBorder="1" applyAlignment="1">
      <alignment horizontal="center" vertical="center"/>
    </xf>
    <xf numFmtId="0" fontId="39" fillId="0" borderId="51" xfId="0" applyFont="1" applyBorder="1" applyAlignment="1" applyProtection="1">
      <alignment horizontal="center" vertical="center"/>
    </xf>
    <xf numFmtId="0" fontId="39" fillId="0" borderId="49" xfId="0" applyFont="1" applyBorder="1" applyAlignment="1" applyProtection="1">
      <alignment horizontal="center" vertical="center"/>
    </xf>
    <xf numFmtId="0" fontId="39" fillId="0" borderId="52" xfId="0" applyFont="1" applyBorder="1" applyAlignment="1" applyProtection="1">
      <alignment horizontal="center" vertical="center"/>
    </xf>
    <xf numFmtId="0" fontId="39" fillId="0" borderId="15" xfId="0" applyFont="1" applyBorder="1" applyAlignment="1" applyProtection="1">
      <alignment horizontal="center" vertical="center"/>
    </xf>
    <xf numFmtId="0" fontId="39" fillId="0" borderId="8" xfId="0" applyFont="1" applyBorder="1" applyAlignment="1" applyProtection="1">
      <alignment horizontal="center" vertical="center"/>
    </xf>
    <xf numFmtId="183" fontId="41" fillId="23" borderId="10" xfId="0" applyNumberFormat="1" applyFont="1" applyFill="1" applyBorder="1" applyAlignment="1">
      <alignment horizontal="center" vertical="center"/>
    </xf>
    <xf numFmtId="2" fontId="8" fillId="14" borderId="0" xfId="2" applyFont="1" applyAlignment="1" applyProtection="1">
      <alignment horizontal="center" wrapText="1"/>
      <protection hidden="1"/>
    </xf>
    <xf numFmtId="0" fontId="69" fillId="0" borderId="0" xfId="0" applyFont="1" applyAlignment="1" applyProtection="1">
      <alignment vertical="center"/>
      <protection hidden="1"/>
    </xf>
    <xf numFmtId="0" fontId="28" fillId="3" borderId="22" xfId="0" applyFont="1" applyFill="1" applyBorder="1" applyAlignment="1" applyProtection="1">
      <alignment horizontal="center" vertical="center" wrapText="1"/>
      <protection hidden="1"/>
    </xf>
    <xf numFmtId="0" fontId="8" fillId="3" borderId="22" xfId="0" applyFont="1" applyFill="1" applyBorder="1" applyAlignment="1" applyProtection="1">
      <alignment horizontal="center" vertical="center"/>
    </xf>
    <xf numFmtId="2" fontId="8" fillId="24" borderId="22" xfId="2" applyFont="1" applyFill="1" applyBorder="1" applyAlignment="1" applyProtection="1">
      <alignment horizontal="center" vertical="center"/>
    </xf>
    <xf numFmtId="0" fontId="39" fillId="0" borderId="0" xfId="0" applyFont="1" applyBorder="1" applyAlignment="1" applyProtection="1">
      <alignment horizontal="center" vertical="center"/>
      <protection hidden="1"/>
    </xf>
    <xf numFmtId="164" fontId="39" fillId="0" borderId="0" xfId="0" applyNumberFormat="1" applyFont="1" applyBorder="1" applyAlignment="1" applyProtection="1">
      <alignment horizontal="center" vertical="center" wrapText="1"/>
      <protection hidden="1"/>
    </xf>
    <xf numFmtId="0" fontId="39" fillId="0" borderId="0" xfId="0" applyFont="1" applyAlignment="1" applyProtection="1">
      <alignment horizontal="center" vertical="center" wrapText="1"/>
      <protection locked="0" hidden="1"/>
    </xf>
    <xf numFmtId="0" fontId="39" fillId="0" borderId="0" xfId="0" applyFont="1" applyAlignment="1" applyProtection="1">
      <protection hidden="1"/>
    </xf>
    <xf numFmtId="2" fontId="8" fillId="14" borderId="0" xfId="2" applyFont="1" applyAlignment="1" applyProtection="1">
      <alignment horizontal="center"/>
      <protection hidden="1"/>
    </xf>
    <xf numFmtId="188" fontId="41" fillId="23" borderId="6" xfId="0" applyNumberFormat="1" applyFont="1" applyFill="1" applyBorder="1" applyAlignment="1">
      <alignment horizontal="center" vertical="center"/>
    </xf>
    <xf numFmtId="0" fontId="41" fillId="0" borderId="25" xfId="0" applyFont="1" applyBorder="1" applyAlignment="1">
      <alignment horizontal="center" vertical="center" wrapText="1"/>
    </xf>
    <xf numFmtId="0" fontId="41" fillId="0" borderId="26" xfId="0" applyFont="1" applyBorder="1" applyAlignment="1">
      <alignment horizontal="center" vertical="center" wrapText="1"/>
    </xf>
    <xf numFmtId="0" fontId="41" fillId="0" borderId="24" xfId="0" applyFont="1" applyBorder="1" applyAlignment="1">
      <alignment horizontal="center" vertical="center" wrapText="1"/>
    </xf>
    <xf numFmtId="1" fontId="8" fillId="27" borderId="16" xfId="2" applyNumberFormat="1" applyFill="1" applyBorder="1" applyAlignment="1" applyProtection="1">
      <alignment horizontal="center" vertical="center"/>
      <protection hidden="1"/>
    </xf>
    <xf numFmtId="0" fontId="8" fillId="0" borderId="0" xfId="0" applyFont="1" applyFill="1" applyProtection="1"/>
    <xf numFmtId="1" fontId="8" fillId="6" borderId="16" xfId="2" applyNumberFormat="1" applyFill="1" applyBorder="1" applyAlignment="1" applyProtection="1">
      <alignment horizontal="center" vertical="center"/>
      <protection hidden="1"/>
    </xf>
    <xf numFmtId="1" fontId="8" fillId="6" borderId="16" xfId="2" applyNumberFormat="1" applyFill="1" applyBorder="1" applyAlignment="1" applyProtection="1">
      <alignment horizontal="center" vertical="center" wrapText="1"/>
      <protection hidden="1"/>
    </xf>
    <xf numFmtId="1" fontId="8" fillId="28" borderId="16" xfId="2" applyNumberFormat="1" applyFill="1" applyBorder="1" applyAlignment="1" applyProtection="1">
      <alignment horizontal="center" vertical="center" wrapText="1"/>
      <protection hidden="1"/>
    </xf>
    <xf numFmtId="0" fontId="12" fillId="6" borderId="43" xfId="0" applyFont="1" applyFill="1" applyBorder="1" applyAlignment="1" applyProtection="1">
      <alignment horizontal="left" vertical="center" wrapText="1"/>
    </xf>
    <xf numFmtId="1" fontId="35" fillId="9" borderId="48" xfId="0" applyNumberFormat="1" applyFont="1" applyFill="1" applyBorder="1" applyAlignment="1" applyProtection="1">
      <alignment horizontal="center" vertical="center" wrapText="1"/>
    </xf>
    <xf numFmtId="0" fontId="44" fillId="6" borderId="48" xfId="0" applyFont="1" applyFill="1" applyBorder="1" applyAlignment="1" applyProtection="1">
      <alignment horizontal="left" vertical="center" wrapText="1"/>
    </xf>
    <xf numFmtId="0" fontId="8" fillId="6" borderId="4" xfId="0" applyNumberFormat="1" applyFont="1" applyFill="1" applyBorder="1" applyAlignment="1" applyProtection="1">
      <alignment horizontal="center" vertical="center"/>
    </xf>
    <xf numFmtId="185" fontId="62" fillId="0" borderId="0" xfId="0" applyNumberFormat="1" applyFont="1" applyAlignment="1" applyProtection="1">
      <alignment vertical="center"/>
    </xf>
    <xf numFmtId="2" fontId="41" fillId="0" borderId="0" xfId="0" applyNumberFormat="1" applyFont="1" applyBorder="1" applyProtection="1"/>
    <xf numFmtId="166" fontId="41" fillId="0" borderId="0" xfId="0" applyNumberFormat="1" applyFont="1" applyBorder="1" applyProtection="1"/>
    <xf numFmtId="189" fontId="41" fillId="0" borderId="0" xfId="0" applyNumberFormat="1" applyFont="1" applyBorder="1" applyProtection="1"/>
    <xf numFmtId="186" fontId="28" fillId="6" borderId="23" xfId="0" applyNumberFormat="1" applyFont="1" applyFill="1" applyBorder="1" applyAlignment="1" applyProtection="1">
      <alignment horizontal="center" vertical="center"/>
    </xf>
    <xf numFmtId="190" fontId="28" fillId="6" borderId="23" xfId="0" applyNumberFormat="1" applyFont="1" applyFill="1" applyBorder="1" applyAlignment="1" applyProtection="1">
      <alignment horizontal="center" vertical="center"/>
    </xf>
    <xf numFmtId="165" fontId="28" fillId="6" borderId="23" xfId="0" applyNumberFormat="1" applyFont="1" applyFill="1" applyBorder="1" applyAlignment="1" applyProtection="1">
      <alignment horizontal="center" vertical="center"/>
    </xf>
    <xf numFmtId="0" fontId="39" fillId="0" borderId="0" xfId="0" applyFont="1" applyAlignment="1">
      <alignment horizontal="center" vertical="center" wrapText="1"/>
    </xf>
    <xf numFmtId="0" fontId="39" fillId="0" borderId="0" xfId="0" applyFont="1" applyFill="1" applyAlignment="1">
      <alignment horizontal="center" vertical="center" wrapText="1"/>
    </xf>
    <xf numFmtId="191" fontId="41" fillId="23" borderId="1" xfId="0" applyNumberFormat="1" applyFont="1" applyFill="1" applyBorder="1" applyAlignment="1">
      <alignment horizontal="center" vertical="center"/>
    </xf>
    <xf numFmtId="191" fontId="41" fillId="23" borderId="2" xfId="0" applyNumberFormat="1" applyFont="1" applyFill="1" applyBorder="1" applyAlignment="1">
      <alignment horizontal="center" vertical="center"/>
    </xf>
    <xf numFmtId="168" fontId="28" fillId="8" borderId="4" xfId="0" applyNumberFormat="1" applyFont="1" applyFill="1" applyBorder="1" applyAlignment="1" applyProtection="1">
      <alignment horizontal="center" vertical="center"/>
    </xf>
    <xf numFmtId="1" fontId="28" fillId="8" borderId="2" xfId="0" applyNumberFormat="1" applyFont="1" applyFill="1" applyBorder="1" applyAlignment="1" applyProtection="1">
      <alignment horizontal="center" vertical="center"/>
      <protection hidden="1"/>
    </xf>
    <xf numFmtId="0" fontId="8" fillId="7" borderId="2" xfId="0" applyFont="1" applyFill="1" applyBorder="1" applyAlignment="1" applyProtection="1">
      <alignment horizontal="center" vertical="center"/>
    </xf>
    <xf numFmtId="1" fontId="8" fillId="7" borderId="2" xfId="0" applyNumberFormat="1" applyFont="1" applyFill="1" applyBorder="1" applyAlignment="1" applyProtection="1">
      <alignment horizontal="center" vertical="center"/>
    </xf>
    <xf numFmtId="0" fontId="12" fillId="6" borderId="3" xfId="0" applyFont="1" applyFill="1" applyBorder="1" applyAlignment="1" applyProtection="1">
      <alignment horizontal="center" vertical="center" wrapText="1"/>
    </xf>
    <xf numFmtId="0" fontId="28" fillId="0" borderId="22" xfId="0" applyFont="1" applyFill="1" applyBorder="1" applyAlignment="1" applyProtection="1">
      <alignment horizontal="center" vertical="center" wrapText="1"/>
      <protection hidden="1"/>
    </xf>
    <xf numFmtId="2" fontId="9" fillId="0" borderId="2" xfId="0" applyNumberFormat="1" applyFont="1" applyFill="1" applyBorder="1" applyAlignment="1">
      <alignment horizontal="center" vertical="center" wrapText="1"/>
    </xf>
    <xf numFmtId="2" fontId="9" fillId="0" borderId="5" xfId="0" applyNumberFormat="1" applyFont="1" applyFill="1" applyBorder="1" applyAlignment="1">
      <alignment horizontal="center" vertical="center" wrapText="1"/>
    </xf>
    <xf numFmtId="0" fontId="37" fillId="0" borderId="0" xfId="0" applyFont="1" applyFill="1" applyBorder="1" applyAlignment="1">
      <alignment vertical="center" wrapText="1"/>
    </xf>
    <xf numFmtId="0" fontId="72" fillId="0" borderId="0" xfId="0" applyFont="1" applyFill="1" applyBorder="1" applyAlignment="1">
      <alignment vertical="center" wrapText="1"/>
    </xf>
    <xf numFmtId="166" fontId="4" fillId="11" borderId="72" xfId="0" applyNumberFormat="1" applyFont="1" applyFill="1" applyBorder="1" applyAlignment="1" applyProtection="1">
      <alignment horizontal="center" vertical="center" wrapText="1"/>
      <protection locked="0"/>
    </xf>
    <xf numFmtId="166" fontId="4" fillId="11" borderId="20" xfId="0" applyNumberFormat="1" applyFont="1" applyFill="1" applyBorder="1" applyAlignment="1" applyProtection="1">
      <alignment horizontal="center" vertical="center" wrapText="1"/>
      <protection locked="0"/>
    </xf>
    <xf numFmtId="166" fontId="4" fillId="11" borderId="34" xfId="0" applyNumberFormat="1" applyFont="1" applyFill="1" applyBorder="1" applyAlignment="1" applyProtection="1">
      <alignment horizontal="center" vertical="center" wrapText="1"/>
      <protection locked="0"/>
    </xf>
    <xf numFmtId="166" fontId="4" fillId="11" borderId="40" xfId="0" applyNumberFormat="1" applyFont="1" applyFill="1" applyBorder="1" applyAlignment="1" applyProtection="1">
      <alignment horizontal="center" vertical="center" wrapText="1"/>
      <protection locked="0"/>
    </xf>
    <xf numFmtId="166" fontId="4" fillId="11" borderId="32" xfId="0" applyNumberFormat="1" applyFont="1" applyFill="1" applyBorder="1" applyAlignment="1" applyProtection="1">
      <alignment horizontal="center" vertical="center" wrapText="1"/>
      <protection locked="0"/>
    </xf>
    <xf numFmtId="166" fontId="4" fillId="11" borderId="33" xfId="0" applyNumberFormat="1" applyFont="1" applyFill="1" applyBorder="1" applyAlignment="1" applyProtection="1">
      <alignment horizontal="center" vertical="center" wrapText="1"/>
      <protection locked="0"/>
    </xf>
    <xf numFmtId="166" fontId="4" fillId="11" borderId="37" xfId="0" applyNumberFormat="1" applyFont="1" applyFill="1" applyBorder="1" applyAlignment="1" applyProtection="1">
      <alignment horizontal="center" vertical="center" wrapText="1"/>
      <protection locked="0"/>
    </xf>
    <xf numFmtId="166" fontId="4" fillId="11" borderId="5" xfId="0" applyNumberFormat="1" applyFont="1" applyFill="1" applyBorder="1" applyAlignment="1" applyProtection="1">
      <alignment horizontal="center" vertical="center" wrapText="1"/>
      <protection locked="0"/>
    </xf>
    <xf numFmtId="166" fontId="4" fillId="11" borderId="6" xfId="0" applyNumberFormat="1" applyFont="1" applyFill="1" applyBorder="1" applyAlignment="1" applyProtection="1">
      <alignment horizontal="center" vertical="center" wrapText="1"/>
      <protection locked="0"/>
    </xf>
    <xf numFmtId="168" fontId="28" fillId="8" borderId="13" xfId="0" applyNumberFormat="1" applyFont="1" applyFill="1" applyBorder="1" applyAlignment="1" applyProtection="1">
      <alignment horizontal="center" vertical="center"/>
    </xf>
    <xf numFmtId="2" fontId="9" fillId="0" borderId="32" xfId="0" applyNumberFormat="1" applyFont="1" applyFill="1" applyBorder="1" applyAlignment="1">
      <alignment horizontal="center" vertical="center" wrapText="1"/>
    </xf>
    <xf numFmtId="0" fontId="39" fillId="0" borderId="33" xfId="0" applyFont="1" applyFill="1" applyBorder="1" applyAlignment="1">
      <alignment horizontal="center" vertical="center" wrapText="1"/>
    </xf>
    <xf numFmtId="0" fontId="41" fillId="22" borderId="12" xfId="0" applyFont="1" applyFill="1" applyBorder="1" applyAlignment="1">
      <alignment horizontal="center" vertical="center"/>
    </xf>
    <xf numFmtId="0" fontId="41" fillId="22" borderId="5" xfId="0" applyFont="1" applyFill="1" applyBorder="1" applyAlignment="1">
      <alignment horizontal="center" vertical="center"/>
    </xf>
    <xf numFmtId="1" fontId="41" fillId="22" borderId="5" xfId="0" applyNumberFormat="1" applyFont="1" applyFill="1" applyBorder="1" applyAlignment="1">
      <alignment horizontal="center" vertical="center"/>
    </xf>
    <xf numFmtId="164" fontId="41" fillId="22" borderId="5" xfId="0" applyNumberFormat="1" applyFont="1" applyFill="1" applyBorder="1" applyAlignment="1">
      <alignment horizontal="center" vertical="center" wrapText="1"/>
    </xf>
    <xf numFmtId="165" fontId="41" fillId="22" borderId="5" xfId="0" applyNumberFormat="1" applyFont="1" applyFill="1" applyBorder="1" applyAlignment="1">
      <alignment horizontal="center" vertical="center"/>
    </xf>
    <xf numFmtId="165" fontId="41" fillId="22" borderId="5" xfId="0" applyNumberFormat="1" applyFont="1" applyFill="1" applyBorder="1" applyAlignment="1">
      <alignment horizontal="center" vertical="center" wrapText="1"/>
    </xf>
    <xf numFmtId="165" fontId="41" fillId="22" borderId="6" xfId="0" applyNumberFormat="1" applyFont="1" applyFill="1" applyBorder="1" applyAlignment="1">
      <alignment horizontal="center" vertical="center"/>
    </xf>
    <xf numFmtId="0" fontId="42" fillId="30" borderId="53" xfId="0" applyFont="1" applyFill="1" applyBorder="1" applyAlignment="1" applyProtection="1">
      <alignment horizontal="center" vertical="center" wrapText="1"/>
    </xf>
    <xf numFmtId="0" fontId="59" fillId="30" borderId="1" xfId="0" applyFont="1" applyFill="1" applyBorder="1" applyAlignment="1">
      <alignment horizontal="center" vertical="center" wrapText="1"/>
    </xf>
    <xf numFmtId="0" fontId="41" fillId="30" borderId="19" xfId="0" applyFont="1" applyFill="1" applyBorder="1" applyAlignment="1" applyProtection="1">
      <alignment horizontal="center" vertical="center" wrapText="1"/>
    </xf>
    <xf numFmtId="165" fontId="41" fillId="30" borderId="19" xfId="0" applyNumberFormat="1" applyFont="1" applyFill="1" applyBorder="1" applyAlignment="1" applyProtection="1">
      <alignment horizontal="center" vertical="center" wrapText="1"/>
    </xf>
    <xf numFmtId="0" fontId="51" fillId="30" borderId="37" xfId="0" applyFont="1" applyFill="1" applyBorder="1" applyAlignment="1">
      <alignment horizontal="center" vertical="center" wrapText="1"/>
    </xf>
    <xf numFmtId="0" fontId="51" fillId="30" borderId="5" xfId="0" applyFont="1" applyFill="1" applyBorder="1" applyAlignment="1">
      <alignment vertical="center" wrapText="1"/>
    </xf>
    <xf numFmtId="0" fontId="42" fillId="30" borderId="40" xfId="0" applyFont="1" applyFill="1" applyBorder="1" applyAlignment="1" applyProtection="1">
      <alignment horizontal="center" vertical="center" wrapText="1"/>
    </xf>
    <xf numFmtId="0" fontId="59" fillId="30" borderId="32" xfId="0" applyFont="1" applyFill="1" applyBorder="1" applyAlignment="1">
      <alignment horizontal="center" vertical="center" wrapText="1"/>
    </xf>
    <xf numFmtId="180" fontId="41" fillId="30" borderId="19" xfId="0" applyNumberFormat="1" applyFont="1" applyFill="1" applyBorder="1" applyAlignment="1" applyProtection="1">
      <alignment horizontal="center" vertical="center" wrapText="1"/>
    </xf>
    <xf numFmtId="4" fontId="41" fillId="30" borderId="19" xfId="0" applyNumberFormat="1" applyFont="1" applyFill="1" applyBorder="1" applyAlignment="1" applyProtection="1">
      <alignment horizontal="center" vertical="center" wrapText="1"/>
    </xf>
    <xf numFmtId="0" fontId="41" fillId="30" borderId="11" xfId="0" applyFont="1" applyFill="1" applyBorder="1" applyAlignment="1" applyProtection="1">
      <alignment horizontal="center" vertical="center" wrapText="1"/>
    </xf>
    <xf numFmtId="0" fontId="51" fillId="30" borderId="32" xfId="0" applyFont="1" applyFill="1" applyBorder="1" applyAlignment="1">
      <alignment horizontal="center" vertical="center" wrapText="1"/>
    </xf>
    <xf numFmtId="166" fontId="41" fillId="30" borderId="3" xfId="0" applyNumberFormat="1" applyFont="1" applyFill="1" applyBorder="1" applyAlignment="1" applyProtection="1">
      <alignment horizontal="center" vertical="center" wrapText="1"/>
    </xf>
    <xf numFmtId="0" fontId="51" fillId="30" borderId="2" xfId="0" applyFont="1" applyFill="1" applyBorder="1" applyAlignment="1">
      <alignment horizontal="center" vertical="center" wrapText="1"/>
    </xf>
    <xf numFmtId="0" fontId="41" fillId="30" borderId="54" xfId="0" applyFont="1" applyFill="1" applyBorder="1" applyAlignment="1">
      <alignment horizontal="center" vertical="center"/>
    </xf>
    <xf numFmtId="0" fontId="41" fillId="30" borderId="40" xfId="0" applyFont="1" applyFill="1" applyBorder="1" applyAlignment="1" applyProtection="1">
      <alignment horizontal="center" vertical="center" wrapText="1"/>
    </xf>
    <xf numFmtId="166" fontId="41" fillId="30" borderId="19" xfId="0" applyNumberFormat="1" applyFont="1" applyFill="1" applyBorder="1" applyAlignment="1" applyProtection="1">
      <alignment horizontal="center" vertical="center" wrapText="1"/>
    </xf>
    <xf numFmtId="0" fontId="41" fillId="30" borderId="11" xfId="0" applyFont="1" applyFill="1" applyBorder="1" applyAlignment="1">
      <alignment horizontal="center" vertical="center"/>
    </xf>
    <xf numFmtId="0" fontId="41" fillId="30" borderId="32" xfId="0" applyFont="1" applyFill="1" applyBorder="1" applyAlignment="1">
      <alignment horizontal="center" vertical="center"/>
    </xf>
    <xf numFmtId="164" fontId="41" fillId="30" borderId="32" xfId="0" applyNumberFormat="1" applyFont="1" applyFill="1" applyBorder="1" applyAlignment="1">
      <alignment horizontal="center" vertical="center" wrapText="1"/>
    </xf>
    <xf numFmtId="0" fontId="41" fillId="30" borderId="32" xfId="0" applyFont="1" applyFill="1" applyBorder="1" applyAlignment="1">
      <alignment horizontal="center" vertical="center" wrapText="1"/>
    </xf>
    <xf numFmtId="165" fontId="41" fillId="30" borderId="32" xfId="0" applyNumberFormat="1" applyFont="1" applyFill="1" applyBorder="1" applyAlignment="1">
      <alignment horizontal="center" vertical="center"/>
    </xf>
    <xf numFmtId="165" fontId="41" fillId="30" borderId="32" xfId="0" applyNumberFormat="1" applyFont="1" applyFill="1" applyBorder="1" applyAlignment="1">
      <alignment horizontal="center" vertical="center" wrapText="1"/>
    </xf>
    <xf numFmtId="165" fontId="41" fillId="30" borderId="33" xfId="0" applyNumberFormat="1" applyFont="1" applyFill="1" applyBorder="1" applyAlignment="1">
      <alignment horizontal="center" vertical="center" wrapText="1"/>
    </xf>
    <xf numFmtId="166" fontId="41" fillId="30" borderId="3" xfId="0" applyNumberFormat="1" applyFont="1" applyFill="1" applyBorder="1" applyAlignment="1">
      <alignment horizontal="center" vertical="center"/>
    </xf>
    <xf numFmtId="0" fontId="41" fillId="30" borderId="2" xfId="0" applyFont="1" applyFill="1" applyBorder="1" applyAlignment="1">
      <alignment horizontal="center" vertical="center"/>
    </xf>
    <xf numFmtId="164" fontId="41" fillId="30" borderId="2" xfId="0" applyNumberFormat="1" applyFont="1" applyFill="1" applyBorder="1" applyAlignment="1">
      <alignment horizontal="center" vertical="center" wrapText="1"/>
    </xf>
    <xf numFmtId="0" fontId="41" fillId="30" borderId="2" xfId="0" applyFont="1" applyFill="1" applyBorder="1" applyAlignment="1">
      <alignment horizontal="center" vertical="center" wrapText="1"/>
    </xf>
    <xf numFmtId="166" fontId="41" fillId="30" borderId="2" xfId="0" applyNumberFormat="1" applyFont="1" applyFill="1" applyBorder="1" applyAlignment="1">
      <alignment horizontal="center" vertical="center"/>
    </xf>
    <xf numFmtId="165" fontId="41" fillId="30" borderId="2" xfId="0" applyNumberFormat="1" applyFont="1" applyFill="1" applyBorder="1" applyAlignment="1">
      <alignment horizontal="center" vertical="center"/>
    </xf>
    <xf numFmtId="165" fontId="41" fillId="30" borderId="2" xfId="0" applyNumberFormat="1" applyFont="1" applyFill="1" applyBorder="1" applyAlignment="1">
      <alignment horizontal="center" vertical="center" wrapText="1"/>
    </xf>
    <xf numFmtId="165" fontId="41" fillId="30" borderId="10" xfId="0" applyNumberFormat="1" applyFont="1" applyFill="1" applyBorder="1" applyAlignment="1">
      <alignment horizontal="center" vertical="center" wrapText="1"/>
    </xf>
    <xf numFmtId="0" fontId="41" fillId="30" borderId="3" xfId="0" applyFont="1" applyFill="1" applyBorder="1" applyAlignment="1">
      <alignment horizontal="center" vertical="center"/>
    </xf>
    <xf numFmtId="1" fontId="41" fillId="30" borderId="2" xfId="0" applyNumberFormat="1" applyFont="1" applyFill="1" applyBorder="1" applyAlignment="1">
      <alignment horizontal="center" vertical="center"/>
    </xf>
    <xf numFmtId="0" fontId="41" fillId="30" borderId="11" xfId="0" applyFont="1" applyFill="1" applyBorder="1" applyAlignment="1">
      <alignment horizontal="center" vertical="center" wrapText="1"/>
    </xf>
    <xf numFmtId="185" fontId="41" fillId="30" borderId="32" xfId="0" applyNumberFormat="1" applyFont="1" applyFill="1" applyBorder="1" applyAlignment="1">
      <alignment horizontal="center" vertical="center" wrapText="1"/>
    </xf>
    <xf numFmtId="168" fontId="41" fillId="30" borderId="32" xfId="0" applyNumberFormat="1" applyFont="1" applyFill="1" applyBorder="1" applyAlignment="1">
      <alignment horizontal="center" vertical="center" wrapText="1"/>
    </xf>
    <xf numFmtId="0" fontId="41" fillId="30" borderId="33" xfId="0" applyFont="1" applyFill="1" applyBorder="1" applyAlignment="1">
      <alignment horizontal="center" vertical="center" wrapText="1"/>
    </xf>
    <xf numFmtId="0" fontId="41" fillId="30" borderId="3" xfId="0" applyFont="1" applyFill="1" applyBorder="1" applyAlignment="1">
      <alignment horizontal="center" vertical="center" wrapText="1"/>
    </xf>
    <xf numFmtId="185" fontId="41" fillId="30" borderId="2" xfId="0" applyNumberFormat="1" applyFont="1" applyFill="1" applyBorder="1" applyAlignment="1">
      <alignment horizontal="center" vertical="center" wrapText="1"/>
    </xf>
    <xf numFmtId="168" fontId="41" fillId="30" borderId="2" xfId="0" applyNumberFormat="1" applyFont="1" applyFill="1" applyBorder="1" applyAlignment="1">
      <alignment horizontal="center" vertical="center" wrapText="1"/>
    </xf>
    <xf numFmtId="0" fontId="41" fillId="30" borderId="10" xfId="0" applyFont="1" applyFill="1" applyBorder="1" applyAlignment="1">
      <alignment horizontal="center" vertical="center" wrapText="1"/>
    </xf>
    <xf numFmtId="2" fontId="41" fillId="30" borderId="2" xfId="0" applyNumberFormat="1" applyFont="1" applyFill="1" applyBorder="1" applyAlignment="1">
      <alignment horizontal="center" vertical="center" wrapText="1"/>
    </xf>
    <xf numFmtId="0" fontId="41" fillId="30" borderId="2" xfId="0" applyNumberFormat="1" applyFont="1" applyFill="1" applyBorder="1" applyAlignment="1">
      <alignment horizontal="center" vertical="center" wrapText="1"/>
    </xf>
    <xf numFmtId="166" fontId="41" fillId="30" borderId="2" xfId="0" applyNumberFormat="1" applyFont="1" applyFill="1" applyBorder="1" applyAlignment="1">
      <alignment horizontal="center" vertical="center" wrapText="1"/>
    </xf>
    <xf numFmtId="0" fontId="41" fillId="30" borderId="58" xfId="0" applyFont="1" applyFill="1" applyBorder="1" applyAlignment="1">
      <alignment horizontal="center" vertical="center" wrapText="1"/>
    </xf>
    <xf numFmtId="0" fontId="41" fillId="30" borderId="20" xfId="0" applyFont="1" applyFill="1" applyBorder="1" applyAlignment="1">
      <alignment horizontal="center" vertical="center" wrapText="1"/>
    </xf>
    <xf numFmtId="164" fontId="41" fillId="30" borderId="20" xfId="0" applyNumberFormat="1" applyFont="1" applyFill="1" applyBorder="1" applyAlignment="1">
      <alignment horizontal="center" vertical="center" wrapText="1"/>
    </xf>
    <xf numFmtId="0" fontId="41" fillId="30" borderId="20" xfId="0" applyNumberFormat="1" applyFont="1" applyFill="1" applyBorder="1" applyAlignment="1">
      <alignment horizontal="center" vertical="center" wrapText="1"/>
    </xf>
    <xf numFmtId="166" fontId="41" fillId="30" borderId="20" xfId="0" applyNumberFormat="1" applyFont="1" applyFill="1" applyBorder="1" applyAlignment="1">
      <alignment horizontal="center" vertical="center" wrapText="1"/>
    </xf>
    <xf numFmtId="185" fontId="41" fillId="30" borderId="20" xfId="0" applyNumberFormat="1" applyFont="1" applyFill="1" applyBorder="1" applyAlignment="1">
      <alignment horizontal="center" vertical="center" wrapText="1"/>
    </xf>
    <xf numFmtId="168" fontId="41" fillId="30" borderId="20" xfId="0" applyNumberFormat="1" applyFont="1" applyFill="1" applyBorder="1" applyAlignment="1">
      <alignment horizontal="center" vertical="center" wrapText="1"/>
    </xf>
    <xf numFmtId="0" fontId="41" fillId="30" borderId="34" xfId="0" applyFont="1" applyFill="1" applyBorder="1" applyAlignment="1">
      <alignment horizontal="center" vertical="center" wrapText="1"/>
    </xf>
    <xf numFmtId="164" fontId="41" fillId="30" borderId="32" xfId="0" applyNumberFormat="1" applyFont="1" applyFill="1" applyBorder="1" applyAlignment="1">
      <alignment horizontal="center" vertical="center"/>
    </xf>
    <xf numFmtId="185" fontId="41" fillId="30" borderId="32" xfId="0" applyNumberFormat="1" applyFont="1" applyFill="1" applyBorder="1" applyAlignment="1">
      <alignment horizontal="center" vertical="center"/>
    </xf>
    <xf numFmtId="168" fontId="41" fillId="30" borderId="32" xfId="0" applyNumberFormat="1" applyFont="1" applyFill="1" applyBorder="1" applyAlignment="1">
      <alignment horizontal="center" vertical="center"/>
    </xf>
    <xf numFmtId="0" fontId="41" fillId="30" borderId="33" xfId="0" applyFont="1" applyFill="1" applyBorder="1" applyAlignment="1">
      <alignment horizontal="center" vertical="center"/>
    </xf>
    <xf numFmtId="164" fontId="41" fillId="30" borderId="2" xfId="0" applyNumberFormat="1" applyFont="1" applyFill="1" applyBorder="1" applyAlignment="1">
      <alignment horizontal="center" vertical="center"/>
    </xf>
    <xf numFmtId="185" fontId="41" fillId="30" borderId="2" xfId="0" applyNumberFormat="1" applyFont="1" applyFill="1" applyBorder="1" applyAlignment="1">
      <alignment horizontal="center" vertical="center"/>
    </xf>
    <xf numFmtId="168" fontId="41" fillId="30" borderId="2" xfId="0" applyNumberFormat="1" applyFont="1" applyFill="1" applyBorder="1" applyAlignment="1">
      <alignment horizontal="center" vertical="center"/>
    </xf>
    <xf numFmtId="0" fontId="41" fillId="30" borderId="10" xfId="0" applyFont="1" applyFill="1" applyBorder="1" applyAlignment="1">
      <alignment horizontal="center" vertical="center"/>
    </xf>
    <xf numFmtId="2" fontId="41" fillId="30" borderId="2" xfId="0" applyNumberFormat="1" applyFont="1" applyFill="1" applyBorder="1" applyAlignment="1">
      <alignment horizontal="center" vertical="center"/>
    </xf>
    <xf numFmtId="185" fontId="41" fillId="30" borderId="20" xfId="0" applyNumberFormat="1" applyFont="1" applyFill="1" applyBorder="1" applyAlignment="1">
      <alignment horizontal="center" vertical="center"/>
    </xf>
    <xf numFmtId="0" fontId="41" fillId="30" borderId="20" xfId="0" applyFont="1" applyFill="1" applyBorder="1" applyAlignment="1">
      <alignment horizontal="center" vertical="center"/>
    </xf>
    <xf numFmtId="164" fontId="41" fillId="30" borderId="20" xfId="0" applyNumberFormat="1" applyFont="1" applyFill="1" applyBorder="1" applyAlignment="1">
      <alignment horizontal="center" vertical="center"/>
    </xf>
    <xf numFmtId="166" fontId="41" fillId="30" borderId="20" xfId="0" applyNumberFormat="1" applyFont="1" applyFill="1" applyBorder="1" applyAlignment="1">
      <alignment horizontal="center" vertical="center"/>
    </xf>
    <xf numFmtId="168" fontId="41" fillId="30" borderId="20" xfId="0" applyNumberFormat="1" applyFont="1" applyFill="1" applyBorder="1" applyAlignment="1">
      <alignment horizontal="center" vertical="center"/>
    </xf>
    <xf numFmtId="0" fontId="41" fillId="30" borderId="34" xfId="0" applyFont="1" applyFill="1" applyBorder="1" applyAlignment="1">
      <alignment horizontal="center" vertical="center"/>
    </xf>
    <xf numFmtId="1" fontId="41" fillId="30" borderId="32" xfId="0" applyNumberFormat="1" applyFont="1" applyFill="1" applyBorder="1" applyAlignment="1">
      <alignment horizontal="center" vertical="center"/>
    </xf>
    <xf numFmtId="0" fontId="41" fillId="30" borderId="1" xfId="0" applyFont="1" applyFill="1" applyBorder="1" applyAlignment="1">
      <alignment horizontal="center" vertical="center"/>
    </xf>
    <xf numFmtId="164" fontId="41" fillId="30" borderId="1" xfId="0" applyNumberFormat="1" applyFont="1" applyFill="1" applyBorder="1" applyAlignment="1">
      <alignment horizontal="center" vertical="center"/>
    </xf>
    <xf numFmtId="2" fontId="41" fillId="30" borderId="1" xfId="0" applyNumberFormat="1" applyFont="1" applyFill="1" applyBorder="1" applyAlignment="1">
      <alignment horizontal="center" vertical="center"/>
    </xf>
    <xf numFmtId="1" fontId="8" fillId="31" borderId="16" xfId="2" applyNumberFormat="1" applyFill="1" applyBorder="1" applyAlignment="1" applyProtection="1">
      <alignment horizontal="center" vertical="center"/>
      <protection locked="0" hidden="1"/>
    </xf>
    <xf numFmtId="0" fontId="39" fillId="0" borderId="0" xfId="0" applyFont="1" applyAlignment="1" applyProtection="1">
      <alignment vertical="center" wrapText="1"/>
      <protection hidden="1"/>
    </xf>
    <xf numFmtId="0" fontId="28" fillId="6" borderId="8" xfId="0" applyFont="1" applyFill="1" applyBorder="1" applyAlignment="1" applyProtection="1">
      <alignment horizontal="center" vertical="center"/>
    </xf>
    <xf numFmtId="0" fontId="41" fillId="0" borderId="12" xfId="0" applyFont="1" applyBorder="1" applyAlignment="1">
      <alignment horizontal="center" vertical="center"/>
    </xf>
    <xf numFmtId="0" fontId="41" fillId="0" borderId="5" xfId="0" applyFont="1" applyBorder="1" applyAlignment="1">
      <alignment horizontal="center" vertical="center"/>
    </xf>
    <xf numFmtId="0" fontId="41" fillId="0" borderId="3" xfId="0" applyFont="1" applyBorder="1" applyAlignment="1">
      <alignment horizontal="center" vertical="center"/>
    </xf>
    <xf numFmtId="0" fontId="41" fillId="0" borderId="2" xfId="0" applyFont="1" applyBorder="1" applyAlignment="1">
      <alignment horizontal="center" vertical="center"/>
    </xf>
    <xf numFmtId="0" fontId="46" fillId="12" borderId="8" xfId="0" applyFont="1" applyFill="1" applyBorder="1" applyAlignment="1">
      <alignment horizontal="center" vertical="center"/>
    </xf>
    <xf numFmtId="0" fontId="41" fillId="0" borderId="32" xfId="0" applyFont="1" applyBorder="1" applyAlignment="1">
      <alignment horizontal="center" vertical="center"/>
    </xf>
    <xf numFmtId="0" fontId="41" fillId="0" borderId="2" xfId="0" applyFont="1" applyFill="1" applyBorder="1" applyAlignment="1">
      <alignment horizontal="center" vertical="center" wrapText="1"/>
    </xf>
    <xf numFmtId="0" fontId="41" fillId="0" borderId="11" xfId="0" applyFont="1" applyBorder="1" applyAlignment="1">
      <alignment horizontal="center" vertical="center" wrapText="1"/>
    </xf>
    <xf numFmtId="0" fontId="41" fillId="0" borderId="3" xfId="0" applyFont="1" applyFill="1" applyBorder="1" applyAlignment="1">
      <alignment horizontal="center" vertical="center" wrapText="1"/>
    </xf>
    <xf numFmtId="0" fontId="41" fillId="0" borderId="3" xfId="0" applyFont="1" applyBorder="1" applyAlignment="1">
      <alignment horizontal="center" vertical="center" wrapText="1"/>
    </xf>
    <xf numFmtId="0" fontId="41" fillId="0" borderId="25" xfId="0" applyFont="1" applyBorder="1" applyAlignment="1">
      <alignment horizontal="center" vertical="center"/>
    </xf>
    <xf numFmtId="0" fontId="41" fillId="0" borderId="26" xfId="0" applyFont="1" applyBorder="1" applyAlignment="1">
      <alignment horizontal="center" vertical="center"/>
    </xf>
    <xf numFmtId="0" fontId="41" fillId="0" borderId="24" xfId="0" applyFont="1" applyBorder="1" applyAlignment="1">
      <alignment horizontal="center" vertical="center"/>
    </xf>
    <xf numFmtId="2" fontId="41" fillId="14" borderId="32" xfId="2" applyFont="1" applyBorder="1" applyAlignment="1" applyProtection="1">
      <alignment horizontal="center" vertical="center" wrapText="1"/>
      <protection locked="0"/>
    </xf>
    <xf numFmtId="164" fontId="41" fillId="14" borderId="32" xfId="2" applyNumberFormat="1" applyFont="1" applyBorder="1" applyAlignment="1" applyProtection="1">
      <alignment horizontal="center" vertical="center" wrapText="1"/>
      <protection locked="0" hidden="1"/>
    </xf>
    <xf numFmtId="2" fontId="41" fillId="14" borderId="32" xfId="2" applyFont="1" applyBorder="1" applyAlignment="1" applyProtection="1">
      <alignment horizontal="center" vertical="center" wrapText="1"/>
      <protection locked="0" hidden="1"/>
    </xf>
    <xf numFmtId="2" fontId="41" fillId="14" borderId="32" xfId="2" applyFont="1" applyBorder="1" applyAlignment="1" applyProtection="1">
      <alignment horizontal="center" vertical="center" wrapText="1"/>
    </xf>
    <xf numFmtId="2" fontId="41" fillId="14" borderId="33" xfId="2" applyFont="1" applyBorder="1" applyAlignment="1" applyProtection="1">
      <alignment horizontal="center" vertical="center" wrapText="1"/>
      <protection locked="0" hidden="1"/>
    </xf>
    <xf numFmtId="2" fontId="41" fillId="24" borderId="2" xfId="2" applyFont="1" applyFill="1" applyBorder="1" applyAlignment="1" applyProtection="1">
      <alignment horizontal="center" vertical="center" wrapText="1"/>
      <protection locked="0" hidden="1"/>
    </xf>
    <xf numFmtId="164" fontId="41" fillId="0" borderId="2" xfId="0" applyNumberFormat="1" applyFont="1" applyFill="1" applyBorder="1" applyAlignment="1">
      <alignment horizontal="center" vertical="center" wrapText="1"/>
    </xf>
    <xf numFmtId="164" fontId="41" fillId="3" borderId="2" xfId="0" applyNumberFormat="1" applyFont="1" applyFill="1" applyBorder="1" applyAlignment="1">
      <alignment horizontal="center" vertical="center" wrapText="1"/>
    </xf>
    <xf numFmtId="164" fontId="41" fillId="25" borderId="2" xfId="8" applyNumberFormat="1" applyFont="1" applyBorder="1" applyAlignment="1" applyProtection="1">
      <alignment horizontal="center" vertical="center" wrapText="1"/>
      <protection locked="0" hidden="1"/>
    </xf>
    <xf numFmtId="3" fontId="41" fillId="0" borderId="2" xfId="0" applyNumberFormat="1" applyFont="1" applyFill="1" applyBorder="1" applyAlignment="1">
      <alignment horizontal="center" vertical="center" wrapText="1"/>
    </xf>
    <xf numFmtId="0" fontId="41" fillId="0" borderId="10" xfId="0" applyFont="1" applyFill="1" applyBorder="1" applyAlignment="1">
      <alignment horizontal="center" vertical="center" wrapText="1"/>
    </xf>
    <xf numFmtId="2" fontId="3" fillId="0" borderId="3" xfId="2" applyFont="1" applyFill="1" applyBorder="1" applyAlignment="1">
      <alignment horizontal="center" vertical="center"/>
      <protection hidden="1"/>
    </xf>
    <xf numFmtId="0" fontId="41" fillId="0" borderId="3" xfId="0" applyNumberFormat="1" applyFont="1" applyFill="1" applyBorder="1" applyAlignment="1">
      <alignment horizontal="center" vertical="center" wrapText="1"/>
    </xf>
    <xf numFmtId="171" fontId="41" fillId="0" borderId="3" xfId="0" applyNumberFormat="1" applyFont="1" applyFill="1" applyBorder="1" applyAlignment="1">
      <alignment horizontal="center" vertical="center" wrapText="1"/>
    </xf>
    <xf numFmtId="2" fontId="3" fillId="24" borderId="2" xfId="2" applyFont="1" applyFill="1" applyBorder="1" applyAlignment="1" applyProtection="1">
      <alignment horizontal="center" vertical="center" wrapText="1"/>
      <protection locked="0" hidden="1"/>
    </xf>
    <xf numFmtId="164" fontId="3" fillId="0" borderId="2" xfId="0" applyNumberFormat="1" applyFont="1" applyFill="1" applyBorder="1" applyAlignment="1">
      <alignment horizontal="center" vertical="center" wrapText="1"/>
    </xf>
    <xf numFmtId="0" fontId="3" fillId="0" borderId="2" xfId="0" applyFont="1" applyFill="1" applyBorder="1" applyAlignment="1">
      <alignment horizontal="center" vertical="center" wrapText="1"/>
    </xf>
    <xf numFmtId="164" fontId="3" fillId="3" borderId="2" xfId="0" applyNumberFormat="1" applyFont="1" applyFill="1" applyBorder="1" applyAlignment="1">
      <alignment horizontal="center" vertical="center" wrapText="1"/>
    </xf>
    <xf numFmtId="3" fontId="3" fillId="0" borderId="2" xfId="0" applyNumberFormat="1" applyFont="1" applyFill="1" applyBorder="1" applyAlignment="1">
      <alignment horizontal="center" vertical="center" wrapText="1"/>
    </xf>
    <xf numFmtId="0" fontId="3" fillId="0" borderId="10" xfId="0" applyFont="1" applyFill="1" applyBorder="1" applyAlignment="1">
      <alignment horizontal="center" vertical="center" wrapText="1"/>
    </xf>
    <xf numFmtId="172" fontId="41" fillId="0" borderId="3" xfId="0" applyNumberFormat="1" applyFont="1" applyFill="1" applyBorder="1" applyAlignment="1">
      <alignment horizontal="center" vertical="center" wrapText="1"/>
    </xf>
    <xf numFmtId="164" fontId="41" fillId="0" borderId="0" xfId="0" applyNumberFormat="1" applyFont="1" applyBorder="1" applyAlignment="1">
      <alignment horizontal="center" vertical="center"/>
    </xf>
    <xf numFmtId="173" fontId="41" fillId="0" borderId="3" xfId="0" applyNumberFormat="1" applyFont="1" applyFill="1" applyBorder="1" applyAlignment="1">
      <alignment horizontal="center" vertical="center" wrapText="1"/>
    </xf>
    <xf numFmtId="174" fontId="41" fillId="0" borderId="3" xfId="0" applyNumberFormat="1" applyFont="1" applyFill="1" applyBorder="1" applyAlignment="1">
      <alignment horizontal="center" vertical="center" wrapText="1"/>
    </xf>
    <xf numFmtId="175" fontId="41" fillId="0" borderId="3" xfId="0" applyNumberFormat="1" applyFont="1" applyFill="1" applyBorder="1" applyAlignment="1">
      <alignment horizontal="center" vertical="center" wrapText="1"/>
    </xf>
    <xf numFmtId="176" fontId="41" fillId="0" borderId="3" xfId="0" applyNumberFormat="1" applyFont="1" applyFill="1" applyBorder="1" applyAlignment="1">
      <alignment horizontal="center" vertical="center" wrapText="1"/>
    </xf>
    <xf numFmtId="177" fontId="41" fillId="0" borderId="3" xfId="0" applyNumberFormat="1" applyFont="1" applyFill="1" applyBorder="1" applyAlignment="1">
      <alignment horizontal="center" vertical="center" wrapText="1"/>
    </xf>
    <xf numFmtId="178" fontId="3" fillId="0" borderId="3" xfId="0" applyNumberFormat="1" applyFont="1" applyFill="1" applyBorder="1" applyAlignment="1">
      <alignment horizontal="center" vertical="center" wrapText="1"/>
    </xf>
    <xf numFmtId="179" fontId="3" fillId="0" borderId="3" xfId="0" applyNumberFormat="1" applyFont="1" applyFill="1" applyBorder="1" applyAlignment="1">
      <alignment horizontal="center" vertical="center" wrapText="1"/>
    </xf>
    <xf numFmtId="165" fontId="41" fillId="3" borderId="0" xfId="0" applyNumberFormat="1" applyFont="1" applyFill="1" applyBorder="1" applyAlignment="1" applyProtection="1">
      <alignment horizontal="center" vertical="center" wrapText="1"/>
      <protection locked="0"/>
    </xf>
    <xf numFmtId="179" fontId="3" fillId="0" borderId="12" xfId="0" applyNumberFormat="1" applyFont="1" applyFill="1" applyBorder="1" applyAlignment="1">
      <alignment horizontal="center" vertical="center" wrapText="1"/>
    </xf>
    <xf numFmtId="2" fontId="41" fillId="3" borderId="0" xfId="0" applyNumberFormat="1" applyFont="1" applyFill="1" applyBorder="1" applyAlignment="1" applyProtection="1">
      <alignment horizontal="center" vertical="center" wrapText="1"/>
      <protection locked="0"/>
    </xf>
    <xf numFmtId="0" fontId="41" fillId="0" borderId="2" xfId="0" applyFont="1" applyFill="1" applyBorder="1" applyAlignment="1" applyProtection="1">
      <alignment horizontal="center" vertical="center" wrapText="1"/>
      <protection locked="0"/>
    </xf>
    <xf numFmtId="1" fontId="41" fillId="0" borderId="2" xfId="0" applyNumberFormat="1" applyFont="1" applyFill="1" applyBorder="1" applyAlignment="1" applyProtection="1">
      <alignment horizontal="center" vertical="center" wrapText="1"/>
      <protection locked="0"/>
    </xf>
    <xf numFmtId="49" fontId="41" fillId="25" borderId="2" xfId="8" applyNumberFormat="1" applyFont="1" applyBorder="1" applyProtection="1">
      <alignment horizontal="center" vertical="center"/>
      <protection locked="0" hidden="1"/>
    </xf>
    <xf numFmtId="1" fontId="41" fillId="0" borderId="2" xfId="0" applyNumberFormat="1" applyFont="1" applyFill="1" applyBorder="1" applyAlignment="1" applyProtection="1">
      <alignment horizontal="center" vertical="center" wrapText="1"/>
    </xf>
    <xf numFmtId="185" fontId="41" fillId="24" borderId="2" xfId="2" applyNumberFormat="1" applyFont="1" applyFill="1" applyBorder="1" applyAlignment="1" applyProtection="1">
      <alignment horizontal="center" vertical="center"/>
      <protection locked="0" hidden="1"/>
    </xf>
    <xf numFmtId="2" fontId="41" fillId="0" borderId="10" xfId="0" applyNumberFormat="1" applyFont="1" applyFill="1" applyBorder="1" applyAlignment="1" applyProtection="1">
      <alignment horizontal="center" vertical="center" wrapText="1"/>
      <protection locked="0"/>
    </xf>
    <xf numFmtId="49" fontId="41" fillId="25" borderId="5" xfId="8" applyNumberFormat="1" applyFont="1" applyBorder="1" applyProtection="1">
      <alignment horizontal="center" vertical="center"/>
      <protection locked="0" hidden="1"/>
    </xf>
    <xf numFmtId="0" fontId="39" fillId="22" borderId="66" xfId="0" applyFont="1" applyFill="1" applyBorder="1" applyAlignment="1">
      <alignment horizontal="center" vertical="center"/>
    </xf>
    <xf numFmtId="0" fontId="42" fillId="0" borderId="0" xfId="0" applyFont="1" applyBorder="1" applyAlignment="1" applyProtection="1">
      <alignment vertical="center" textRotation="90"/>
    </xf>
    <xf numFmtId="0" fontId="41" fillId="0" borderId="0" xfId="0" applyFont="1" applyBorder="1" applyAlignment="1" applyProtection="1">
      <alignment horizontal="center"/>
    </xf>
    <xf numFmtId="0" fontId="41" fillId="29" borderId="11" xfId="0" applyFont="1" applyFill="1" applyBorder="1" applyAlignment="1" applyProtection="1">
      <alignment horizontal="center" vertical="center"/>
    </xf>
    <xf numFmtId="0" fontId="41" fillId="29" borderId="32" xfId="0" applyFont="1" applyFill="1" applyBorder="1" applyAlignment="1" applyProtection="1">
      <alignment horizontal="center" vertical="center"/>
    </xf>
    <xf numFmtId="166" fontId="41" fillId="29" borderId="32" xfId="0" applyNumberFormat="1" applyFont="1" applyFill="1" applyBorder="1" applyAlignment="1" applyProtection="1">
      <alignment horizontal="center" vertical="center"/>
    </xf>
    <xf numFmtId="0" fontId="41" fillId="29" borderId="33" xfId="0" applyFont="1" applyFill="1" applyBorder="1" applyAlignment="1" applyProtection="1">
      <alignment horizontal="center" vertical="center"/>
    </xf>
    <xf numFmtId="3" fontId="41" fillId="21" borderId="38" xfId="0" applyNumberFormat="1" applyFont="1" applyFill="1" applyBorder="1" applyAlignment="1" applyProtection="1">
      <alignment vertical="center" wrapText="1"/>
    </xf>
    <xf numFmtId="0" fontId="41" fillId="29" borderId="3" xfId="0" applyFont="1" applyFill="1" applyBorder="1" applyAlignment="1" applyProtection="1">
      <alignment horizontal="center" vertical="center"/>
    </xf>
    <xf numFmtId="0" fontId="41" fillId="29" borderId="2" xfId="0" applyFont="1" applyFill="1" applyBorder="1" applyAlignment="1" applyProtection="1">
      <alignment horizontal="center" vertical="center"/>
    </xf>
    <xf numFmtId="166" fontId="41" fillId="29" borderId="2" xfId="0" applyNumberFormat="1" applyFont="1" applyFill="1" applyBorder="1" applyAlignment="1" applyProtection="1">
      <alignment horizontal="center" vertical="center"/>
    </xf>
    <xf numFmtId="0" fontId="41" fillId="29" borderId="10" xfId="0" applyFont="1" applyFill="1" applyBorder="1" applyAlignment="1" applyProtection="1">
      <alignment horizontal="center" vertical="center"/>
    </xf>
    <xf numFmtId="3" fontId="41" fillId="21" borderId="61" xfId="0" applyNumberFormat="1" applyFont="1" applyFill="1" applyBorder="1" applyAlignment="1" applyProtection="1">
      <alignment horizontal="center" vertical="center" wrapText="1"/>
    </xf>
    <xf numFmtId="166" fontId="41" fillId="29" borderId="12" xfId="0" applyNumberFormat="1" applyFont="1" applyFill="1" applyBorder="1" applyAlignment="1" applyProtection="1">
      <alignment horizontal="center" vertical="center"/>
    </xf>
    <xf numFmtId="0" fontId="41" fillId="29" borderId="5" xfId="0" applyFont="1" applyFill="1" applyBorder="1" applyAlignment="1" applyProtection="1">
      <alignment horizontal="center" vertical="center"/>
    </xf>
    <xf numFmtId="166" fontId="41" fillId="29" borderId="5" xfId="0" applyNumberFormat="1" applyFont="1" applyFill="1" applyBorder="1" applyAlignment="1" applyProtection="1">
      <alignment horizontal="center" vertical="center"/>
    </xf>
    <xf numFmtId="0" fontId="41" fillId="29" borderId="6" xfId="0" applyFont="1" applyFill="1" applyBorder="1" applyAlignment="1" applyProtection="1">
      <alignment horizontal="center" vertical="center"/>
    </xf>
    <xf numFmtId="3" fontId="41" fillId="21" borderId="66" xfId="0" applyNumberFormat="1" applyFont="1" applyFill="1" applyBorder="1" applyAlignment="1" applyProtection="1">
      <alignment vertical="center" wrapText="1"/>
    </xf>
    <xf numFmtId="166" fontId="41" fillId="29" borderId="3" xfId="0" applyNumberFormat="1" applyFont="1" applyFill="1" applyBorder="1" applyAlignment="1" applyProtection="1">
      <alignment horizontal="center" vertical="center"/>
    </xf>
    <xf numFmtId="0" fontId="41" fillId="29" borderId="12" xfId="0" applyFont="1" applyFill="1" applyBorder="1" applyAlignment="1" applyProtection="1">
      <alignment horizontal="center" vertical="center"/>
    </xf>
    <xf numFmtId="165" fontId="41" fillId="29" borderId="32" xfId="0" applyNumberFormat="1" applyFont="1" applyFill="1" applyBorder="1" applyAlignment="1" applyProtection="1">
      <alignment horizontal="center" vertical="center"/>
    </xf>
    <xf numFmtId="165" fontId="41" fillId="29" borderId="33" xfId="0" applyNumberFormat="1" applyFont="1" applyFill="1" applyBorder="1" applyAlignment="1" applyProtection="1">
      <alignment horizontal="center" vertical="center"/>
    </xf>
    <xf numFmtId="165" fontId="41" fillId="29" borderId="2" xfId="0" applyNumberFormat="1" applyFont="1" applyFill="1" applyBorder="1" applyAlignment="1" applyProtection="1">
      <alignment horizontal="center" vertical="center"/>
    </xf>
    <xf numFmtId="165" fontId="41" fillId="29" borderId="10" xfId="0" applyNumberFormat="1" applyFont="1" applyFill="1" applyBorder="1" applyAlignment="1" applyProtection="1">
      <alignment horizontal="center" vertical="center"/>
    </xf>
    <xf numFmtId="165" fontId="41" fillId="29" borderId="12" xfId="0" applyNumberFormat="1" applyFont="1" applyFill="1" applyBorder="1" applyAlignment="1" applyProtection="1">
      <alignment horizontal="center" vertical="center"/>
    </xf>
    <xf numFmtId="165" fontId="41" fillId="29" borderId="5" xfId="0" applyNumberFormat="1" applyFont="1" applyFill="1" applyBorder="1" applyAlignment="1" applyProtection="1">
      <alignment horizontal="center" vertical="center"/>
    </xf>
    <xf numFmtId="165" fontId="41" fillId="29" borderId="6" xfId="0" applyNumberFormat="1" applyFont="1" applyFill="1" applyBorder="1" applyAlignment="1" applyProtection="1">
      <alignment horizontal="center" vertical="center"/>
    </xf>
    <xf numFmtId="166" fontId="41" fillId="30" borderId="11" xfId="0" applyNumberFormat="1" applyFont="1" applyFill="1" applyBorder="1" applyAlignment="1" applyProtection="1">
      <alignment horizontal="center" vertical="center"/>
    </xf>
    <xf numFmtId="0" fontId="41" fillId="30" borderId="32" xfId="0" applyFont="1" applyFill="1" applyBorder="1" applyAlignment="1" applyProtection="1">
      <alignment horizontal="center" vertical="center"/>
    </xf>
    <xf numFmtId="0" fontId="51" fillId="30" borderId="33" xfId="0" applyFont="1" applyFill="1" applyBorder="1" applyAlignment="1">
      <alignment horizontal="center" vertical="center" wrapText="1"/>
    </xf>
    <xf numFmtId="170" fontId="41" fillId="23" borderId="51" xfId="0" applyNumberFormat="1" applyFont="1" applyFill="1" applyBorder="1" applyAlignment="1">
      <alignment horizontal="center" vertical="center"/>
    </xf>
    <xf numFmtId="0" fontId="41" fillId="23" borderId="49" xfId="0" applyFont="1" applyFill="1" applyBorder="1" applyAlignment="1">
      <alignment horizontal="center" vertical="center"/>
    </xf>
    <xf numFmtId="169" fontId="41" fillId="23" borderId="52" xfId="0" applyNumberFormat="1" applyFont="1" applyFill="1" applyBorder="1" applyAlignment="1">
      <alignment horizontal="center" vertical="center"/>
    </xf>
    <xf numFmtId="0" fontId="41" fillId="30" borderId="3" xfId="0" applyFont="1" applyFill="1" applyBorder="1" applyAlignment="1" applyProtection="1">
      <alignment horizontal="center" vertical="center"/>
    </xf>
    <xf numFmtId="0" fontId="41" fillId="30" borderId="2" xfId="0" applyFont="1" applyFill="1" applyBorder="1" applyAlignment="1" applyProtection="1">
      <alignment horizontal="center" vertical="center"/>
    </xf>
    <xf numFmtId="0" fontId="51" fillId="30" borderId="10" xfId="0" applyFont="1" applyFill="1" applyBorder="1" applyAlignment="1">
      <alignment horizontal="center" vertical="center" wrapText="1"/>
    </xf>
    <xf numFmtId="0" fontId="41" fillId="30" borderId="12" xfId="0" applyFont="1" applyFill="1" applyBorder="1" applyAlignment="1" applyProtection="1">
      <alignment horizontal="center" vertical="center"/>
    </xf>
    <xf numFmtId="0" fontId="41" fillId="30" borderId="5" xfId="0" applyFont="1" applyFill="1" applyBorder="1" applyAlignment="1" applyProtection="1">
      <alignment horizontal="center" vertical="center"/>
    </xf>
    <xf numFmtId="0" fontId="51" fillId="30" borderId="6" xfId="0" applyFont="1" applyFill="1" applyBorder="1" applyAlignment="1">
      <alignment horizontal="center" vertical="center" wrapText="1"/>
    </xf>
    <xf numFmtId="3" fontId="41" fillId="21" borderId="66" xfId="0" applyNumberFormat="1" applyFont="1" applyFill="1" applyBorder="1" applyAlignment="1" applyProtection="1">
      <alignment horizontal="center" vertical="center" wrapText="1"/>
    </xf>
    <xf numFmtId="0" fontId="41" fillId="30" borderId="11" xfId="0" applyFont="1" applyFill="1" applyBorder="1" applyAlignment="1" applyProtection="1">
      <alignment horizontal="center" vertical="center"/>
    </xf>
    <xf numFmtId="180" fontId="41" fillId="30" borderId="32" xfId="0" applyNumberFormat="1" applyFont="1" applyFill="1" applyBorder="1" applyAlignment="1" applyProtection="1">
      <alignment horizontal="center" vertical="center" wrapText="1"/>
    </xf>
    <xf numFmtId="180" fontId="41" fillId="30" borderId="33" xfId="0" applyNumberFormat="1" applyFont="1" applyFill="1" applyBorder="1" applyAlignment="1" applyProtection="1">
      <alignment horizontal="center" vertical="center" wrapText="1"/>
    </xf>
    <xf numFmtId="180" fontId="41" fillId="30" borderId="2" xfId="0" applyNumberFormat="1" applyFont="1" applyFill="1" applyBorder="1" applyAlignment="1" applyProtection="1">
      <alignment horizontal="center" vertical="center" wrapText="1"/>
    </xf>
    <xf numFmtId="180" fontId="41" fillId="30" borderId="5" xfId="0" applyNumberFormat="1" applyFont="1" applyFill="1" applyBorder="1" applyAlignment="1" applyProtection="1">
      <alignment horizontal="center" vertical="center" wrapText="1"/>
    </xf>
    <xf numFmtId="0" fontId="41" fillId="30" borderId="46" xfId="0" applyFont="1" applyFill="1" applyBorder="1" applyAlignment="1" applyProtection="1">
      <alignment horizontal="center" vertical="center"/>
    </xf>
    <xf numFmtId="180" fontId="41" fillId="30" borderId="1" xfId="0" applyNumberFormat="1" applyFont="1" applyFill="1" applyBorder="1" applyAlignment="1" applyProtection="1">
      <alignment horizontal="center" vertical="center" wrapText="1"/>
    </xf>
    <xf numFmtId="4" fontId="41" fillId="30" borderId="1" xfId="0" applyNumberFormat="1" applyFont="1" applyFill="1" applyBorder="1" applyAlignment="1" applyProtection="1">
      <alignment horizontal="center" vertical="center" wrapText="1"/>
    </xf>
    <xf numFmtId="184" fontId="41" fillId="30" borderId="50" xfId="0" applyNumberFormat="1" applyFont="1" applyFill="1" applyBorder="1" applyAlignment="1" applyProtection="1">
      <alignment horizontal="center" vertical="center" wrapText="1"/>
    </xf>
    <xf numFmtId="184" fontId="41" fillId="30" borderId="2" xfId="0" applyNumberFormat="1" applyFont="1" applyFill="1" applyBorder="1" applyAlignment="1" applyProtection="1">
      <alignment horizontal="center" vertical="center" wrapText="1"/>
    </xf>
    <xf numFmtId="184" fontId="41" fillId="30" borderId="10" xfId="0" applyNumberFormat="1" applyFont="1" applyFill="1" applyBorder="1" applyAlignment="1" applyProtection="1">
      <alignment horizontal="center" vertical="center" wrapText="1"/>
    </xf>
    <xf numFmtId="165" fontId="41" fillId="30" borderId="12" xfId="0" applyNumberFormat="1" applyFont="1" applyFill="1" applyBorder="1" applyAlignment="1" applyProtection="1">
      <alignment horizontal="center" vertical="center"/>
    </xf>
    <xf numFmtId="4" fontId="41" fillId="30" borderId="5" xfId="0" applyNumberFormat="1" applyFont="1" applyFill="1" applyBorder="1" applyAlignment="1" applyProtection="1">
      <alignment horizontal="center" vertical="center" wrapText="1"/>
    </xf>
    <xf numFmtId="4" fontId="41" fillId="30" borderId="6" xfId="0" applyNumberFormat="1" applyFont="1" applyFill="1" applyBorder="1" applyAlignment="1" applyProtection="1">
      <alignment horizontal="center" vertical="center" wrapText="1"/>
    </xf>
    <xf numFmtId="0" fontId="42" fillId="0" borderId="21" xfId="0" applyFont="1" applyBorder="1" applyAlignment="1" applyProtection="1">
      <alignment horizontal="center" vertical="center"/>
    </xf>
    <xf numFmtId="0" fontId="42" fillId="0" borderId="0" xfId="0" applyFont="1" applyBorder="1" applyAlignment="1" applyProtection="1">
      <alignment horizontal="center" vertical="center"/>
    </xf>
    <xf numFmtId="3" fontId="41" fillId="0" borderId="0" xfId="0" applyNumberFormat="1" applyFont="1" applyFill="1" applyBorder="1" applyAlignment="1" applyProtection="1">
      <alignment horizontal="center" vertical="center" wrapText="1"/>
    </xf>
    <xf numFmtId="164" fontId="41" fillId="0" borderId="0" xfId="0" applyNumberFormat="1" applyFont="1" applyFill="1" applyBorder="1" applyAlignment="1" applyProtection="1">
      <alignment horizontal="center" vertical="center"/>
    </xf>
    <xf numFmtId="14" fontId="41" fillId="0" borderId="0" xfId="0" applyNumberFormat="1" applyFont="1" applyFill="1" applyBorder="1" applyAlignment="1" applyProtection="1">
      <alignment horizontal="center" vertical="center" wrapText="1"/>
    </xf>
    <xf numFmtId="166" fontId="41" fillId="22" borderId="11" xfId="0" applyNumberFormat="1" applyFont="1" applyFill="1" applyBorder="1" applyAlignment="1" applyProtection="1">
      <alignment horizontal="center" vertical="center"/>
    </xf>
    <xf numFmtId="0" fontId="41" fillId="22" borderId="32" xfId="0" applyFont="1" applyFill="1" applyBorder="1" applyAlignment="1" applyProtection="1">
      <alignment horizontal="center" vertical="center"/>
    </xf>
    <xf numFmtId="166" fontId="41" fillId="22" borderId="32" xfId="0" applyNumberFormat="1" applyFont="1" applyFill="1" applyBorder="1" applyAlignment="1" applyProtection="1">
      <alignment horizontal="center" vertical="center"/>
    </xf>
    <xf numFmtId="0" fontId="41" fillId="22" borderId="33" xfId="0" applyFont="1" applyFill="1" applyBorder="1" applyAlignment="1" applyProtection="1">
      <alignment horizontal="center" vertical="center" wrapText="1"/>
    </xf>
    <xf numFmtId="0" fontId="41" fillId="22" borderId="3" xfId="0" applyFont="1" applyFill="1" applyBorder="1" applyAlignment="1" applyProtection="1">
      <alignment horizontal="center" vertical="center"/>
    </xf>
    <xf numFmtId="0" fontId="41" fillId="22" borderId="2" xfId="0" applyFont="1" applyFill="1" applyBorder="1" applyAlignment="1" applyProtection="1">
      <alignment horizontal="center" vertical="center"/>
    </xf>
    <xf numFmtId="166" fontId="41" fillId="22" borderId="2" xfId="0" applyNumberFormat="1" applyFont="1" applyFill="1" applyBorder="1" applyAlignment="1" applyProtection="1">
      <alignment horizontal="center" vertical="center"/>
    </xf>
    <xf numFmtId="0" fontId="51" fillId="22" borderId="10" xfId="0" applyFont="1" applyFill="1" applyBorder="1" applyAlignment="1">
      <alignment horizontal="center" vertical="center" wrapText="1"/>
    </xf>
    <xf numFmtId="0" fontId="41" fillId="22" borderId="12" xfId="0" applyFont="1" applyFill="1" applyBorder="1" applyAlignment="1" applyProtection="1">
      <alignment horizontal="center" vertical="center"/>
    </xf>
    <xf numFmtId="0" fontId="41" fillId="22" borderId="48" xfId="0" applyFont="1" applyFill="1" applyBorder="1" applyAlignment="1" applyProtection="1">
      <alignment horizontal="center" vertical="center"/>
    </xf>
    <xf numFmtId="0" fontId="41" fillId="22" borderId="5" xfId="0" applyFont="1" applyFill="1" applyBorder="1" applyAlignment="1" applyProtection="1">
      <alignment horizontal="center" vertical="center"/>
    </xf>
    <xf numFmtId="0" fontId="51" fillId="22" borderId="6" xfId="0" applyFont="1" applyFill="1" applyBorder="1" applyAlignment="1">
      <alignment horizontal="center" vertical="center" wrapText="1"/>
    </xf>
    <xf numFmtId="0" fontId="41" fillId="22" borderId="11" xfId="0" applyFont="1" applyFill="1" applyBorder="1" applyAlignment="1" applyProtection="1">
      <alignment horizontal="center" vertical="center"/>
    </xf>
    <xf numFmtId="166" fontId="41" fillId="29" borderId="46" xfId="0" applyNumberFormat="1" applyFont="1" applyFill="1" applyBorder="1" applyAlignment="1" applyProtection="1">
      <alignment horizontal="center" vertical="center"/>
    </xf>
    <xf numFmtId="0" fontId="41" fillId="29" borderId="1" xfId="0" applyFont="1" applyFill="1" applyBorder="1" applyAlignment="1" applyProtection="1">
      <alignment horizontal="center" vertical="center"/>
    </xf>
    <xf numFmtId="2" fontId="41" fillId="29" borderId="1" xfId="0" applyNumberFormat="1" applyFont="1" applyFill="1" applyBorder="1" applyAlignment="1" applyProtection="1">
      <alignment horizontal="center" vertical="center"/>
    </xf>
    <xf numFmtId="0" fontId="41" fillId="29" borderId="50" xfId="0" applyFont="1" applyFill="1" applyBorder="1" applyAlignment="1" applyProtection="1">
      <alignment horizontal="center" vertical="center" wrapText="1"/>
    </xf>
    <xf numFmtId="0" fontId="51" fillId="29" borderId="10" xfId="0" applyFont="1" applyFill="1" applyBorder="1" applyAlignment="1">
      <alignment horizontal="center" vertical="center" wrapText="1"/>
    </xf>
    <xf numFmtId="2" fontId="41" fillId="29" borderId="5" xfId="0" applyNumberFormat="1" applyFont="1" applyFill="1" applyBorder="1" applyAlignment="1" applyProtection="1">
      <alignment horizontal="center" vertical="center"/>
    </xf>
    <xf numFmtId="0" fontId="51" fillId="29" borderId="6" xfId="0" applyFont="1" applyFill="1" applyBorder="1" applyAlignment="1">
      <alignment horizontal="center" vertical="center" wrapText="1"/>
    </xf>
    <xf numFmtId="166" fontId="41" fillId="30" borderId="32" xfId="0" applyNumberFormat="1" applyFont="1" applyFill="1" applyBorder="1" applyAlignment="1" applyProtection="1">
      <alignment horizontal="center" vertical="center"/>
    </xf>
    <xf numFmtId="166" fontId="41" fillId="30" borderId="33" xfId="0" applyNumberFormat="1" applyFont="1" applyFill="1" applyBorder="1" applyAlignment="1" applyProtection="1">
      <alignment horizontal="center" vertical="center" wrapText="1"/>
    </xf>
    <xf numFmtId="166" fontId="41" fillId="30" borderId="2" xfId="0" applyNumberFormat="1" applyFont="1" applyFill="1" applyBorder="1" applyAlignment="1" applyProtection="1">
      <alignment horizontal="center" vertical="center"/>
    </xf>
    <xf numFmtId="166" fontId="51" fillId="30" borderId="10" xfId="0" applyNumberFormat="1" applyFont="1" applyFill="1" applyBorder="1" applyAlignment="1">
      <alignment horizontal="center" vertical="center" wrapText="1"/>
    </xf>
    <xf numFmtId="3" fontId="41" fillId="21" borderId="61" xfId="0" applyNumberFormat="1" applyFont="1" applyFill="1" applyBorder="1" applyAlignment="1" applyProtection="1">
      <alignment horizontal="center" wrapText="1"/>
    </xf>
    <xf numFmtId="166" fontId="41" fillId="30" borderId="12" xfId="0" applyNumberFormat="1" applyFont="1" applyFill="1" applyBorder="1" applyAlignment="1" applyProtection="1">
      <alignment horizontal="center" vertical="center"/>
    </xf>
    <xf numFmtId="166" fontId="41" fillId="30" borderId="5" xfId="0" applyNumberFormat="1" applyFont="1" applyFill="1" applyBorder="1" applyAlignment="1" applyProtection="1">
      <alignment horizontal="center" vertical="center"/>
    </xf>
    <xf numFmtId="166" fontId="51" fillId="30" borderId="6" xfId="0" applyNumberFormat="1" applyFont="1" applyFill="1" applyBorder="1" applyAlignment="1">
      <alignment horizontal="center" vertical="center" wrapText="1"/>
    </xf>
    <xf numFmtId="3" fontId="41" fillId="21" borderId="66" xfId="0" applyNumberFormat="1" applyFont="1" applyFill="1" applyBorder="1" applyAlignment="1" applyProtection="1">
      <alignment horizontal="center" wrapText="1"/>
    </xf>
    <xf numFmtId="0" fontId="41" fillId="30" borderId="33" xfId="0" applyFont="1" applyFill="1" applyBorder="1" applyAlignment="1" applyProtection="1">
      <alignment horizontal="center" vertical="center" wrapText="1"/>
    </xf>
    <xf numFmtId="184" fontId="41" fillId="30" borderId="53" xfId="0" applyNumberFormat="1" applyFont="1" applyFill="1" applyBorder="1" applyAlignment="1" applyProtection="1">
      <alignment horizontal="center" vertical="center"/>
    </xf>
    <xf numFmtId="0" fontId="41" fillId="30" borderId="1" xfId="0" applyFont="1" applyFill="1" applyBorder="1" applyAlignment="1" applyProtection="1">
      <alignment horizontal="center" vertical="center"/>
    </xf>
    <xf numFmtId="184" fontId="41" fillId="30" borderId="19" xfId="0" applyNumberFormat="1" applyFont="1" applyFill="1" applyBorder="1" applyAlignment="1" applyProtection="1">
      <alignment horizontal="center" vertical="center"/>
    </xf>
    <xf numFmtId="184" fontId="41" fillId="30" borderId="37" xfId="0" applyNumberFormat="1" applyFont="1" applyFill="1" applyBorder="1" applyAlignment="1" applyProtection="1">
      <alignment horizontal="center" vertical="center"/>
    </xf>
    <xf numFmtId="166" fontId="51" fillId="30" borderId="33" xfId="0" applyNumberFormat="1" applyFont="1" applyFill="1" applyBorder="1" applyAlignment="1">
      <alignment horizontal="center" vertical="center" wrapText="1"/>
    </xf>
    <xf numFmtId="166" fontId="41" fillId="30" borderId="3" xfId="0" applyNumberFormat="1" applyFont="1" applyFill="1" applyBorder="1" applyAlignment="1" applyProtection="1">
      <alignment horizontal="center" vertical="center"/>
    </xf>
    <xf numFmtId="165" fontId="41" fillId="30" borderId="46" xfId="0" applyNumberFormat="1" applyFont="1" applyFill="1" applyBorder="1" applyAlignment="1" applyProtection="1">
      <alignment horizontal="center" vertical="center"/>
    </xf>
    <xf numFmtId="165" fontId="41" fillId="30" borderId="50" xfId="0" applyNumberFormat="1" applyFont="1" applyFill="1" applyBorder="1" applyAlignment="1" applyProtection="1">
      <alignment horizontal="center" vertical="center" wrapText="1"/>
    </xf>
    <xf numFmtId="165" fontId="41" fillId="30" borderId="3" xfId="0" applyNumberFormat="1" applyFont="1" applyFill="1" applyBorder="1" applyAlignment="1" applyProtection="1">
      <alignment horizontal="center" vertical="center"/>
    </xf>
    <xf numFmtId="165" fontId="41" fillId="30" borderId="2" xfId="0" applyNumberFormat="1" applyFont="1" applyFill="1" applyBorder="1" applyAlignment="1" applyProtection="1">
      <alignment horizontal="center" vertical="center"/>
    </xf>
    <xf numFmtId="165" fontId="51" fillId="30" borderId="10" xfId="0" applyNumberFormat="1" applyFont="1" applyFill="1" applyBorder="1" applyAlignment="1">
      <alignment horizontal="center" vertical="center" wrapText="1"/>
    </xf>
    <xf numFmtId="165" fontId="51" fillId="30" borderId="6" xfId="0" applyNumberFormat="1" applyFont="1" applyFill="1" applyBorder="1" applyAlignment="1">
      <alignment horizontal="center" vertical="center" wrapText="1"/>
    </xf>
    <xf numFmtId="0" fontId="68" fillId="12" borderId="66" xfId="0" applyFont="1" applyFill="1" applyBorder="1" applyAlignment="1">
      <alignment horizontal="right" vertical="center" wrapText="1"/>
    </xf>
    <xf numFmtId="0" fontId="41" fillId="24" borderId="2" xfId="2" applyNumberFormat="1" applyFont="1" applyFill="1" applyBorder="1" applyAlignment="1" applyProtection="1">
      <alignment horizontal="center" vertical="center"/>
      <protection locked="0" hidden="1"/>
    </xf>
    <xf numFmtId="2" fontId="3" fillId="24" borderId="5" xfId="2" applyFont="1" applyFill="1" applyBorder="1" applyAlignment="1" applyProtection="1">
      <alignment horizontal="center" vertical="center" wrapText="1"/>
      <protection locked="0" hidden="1"/>
    </xf>
    <xf numFmtId="164" fontId="3" fillId="0" borderId="5" xfId="0" applyNumberFormat="1" applyFont="1" applyFill="1" applyBorder="1" applyAlignment="1">
      <alignment horizontal="center" vertical="center" wrapText="1"/>
    </xf>
    <xf numFmtId="0" fontId="3" fillId="0" borderId="5" xfId="0" applyFont="1" applyFill="1" applyBorder="1" applyAlignment="1">
      <alignment horizontal="center" vertical="center" wrapText="1"/>
    </xf>
    <xf numFmtId="164" fontId="3" fillId="3" borderId="5" xfId="0" applyNumberFormat="1" applyFont="1" applyFill="1" applyBorder="1" applyAlignment="1">
      <alignment horizontal="center" vertical="center" wrapText="1"/>
    </xf>
    <xf numFmtId="3" fontId="3" fillId="0" borderId="5" xfId="0" applyNumberFormat="1" applyFont="1" applyFill="1" applyBorder="1" applyAlignment="1">
      <alignment horizontal="center" vertical="center" wrapText="1"/>
    </xf>
    <xf numFmtId="0" fontId="3" fillId="0" borderId="6" xfId="0" applyFont="1" applyFill="1" applyBorder="1" applyAlignment="1">
      <alignment horizontal="center" vertical="center" wrapText="1"/>
    </xf>
    <xf numFmtId="0" fontId="41" fillId="7" borderId="3" xfId="0" applyFont="1" applyFill="1" applyBorder="1" applyAlignment="1">
      <alignment horizontal="center" vertical="center" wrapText="1"/>
    </xf>
    <xf numFmtId="0" fontId="41" fillId="7" borderId="2" xfId="0" applyFont="1" applyFill="1" applyBorder="1" applyAlignment="1">
      <alignment horizontal="center" vertical="center"/>
    </xf>
    <xf numFmtId="164" fontId="41" fillId="7" borderId="2" xfId="0" applyNumberFormat="1" applyFont="1" applyFill="1" applyBorder="1" applyAlignment="1">
      <alignment horizontal="center" vertical="center"/>
    </xf>
    <xf numFmtId="185" fontId="41" fillId="7" borderId="2" xfId="0" applyNumberFormat="1" applyFont="1" applyFill="1" applyBorder="1" applyAlignment="1">
      <alignment horizontal="center" vertical="center"/>
    </xf>
    <xf numFmtId="166" fontId="41" fillId="7" borderId="2" xfId="0" applyNumberFormat="1" applyFont="1" applyFill="1" applyBorder="1" applyAlignment="1">
      <alignment horizontal="center" vertical="center"/>
    </xf>
    <xf numFmtId="168" fontId="41" fillId="7" borderId="2" xfId="0" applyNumberFormat="1" applyFont="1" applyFill="1" applyBorder="1" applyAlignment="1">
      <alignment horizontal="center" vertical="center"/>
    </xf>
    <xf numFmtId="0" fontId="41" fillId="7" borderId="10" xfId="0" applyFont="1" applyFill="1" applyBorder="1" applyAlignment="1">
      <alignment horizontal="center" vertical="center"/>
    </xf>
    <xf numFmtId="0" fontId="41" fillId="7" borderId="12" xfId="0" applyFont="1" applyFill="1" applyBorder="1" applyAlignment="1">
      <alignment horizontal="center" vertical="center" wrapText="1"/>
    </xf>
    <xf numFmtId="0" fontId="41" fillId="7" borderId="5" xfId="0" applyFont="1" applyFill="1" applyBorder="1" applyAlignment="1">
      <alignment horizontal="center" vertical="center"/>
    </xf>
    <xf numFmtId="164" fontId="41" fillId="7" borderId="5" xfId="0" applyNumberFormat="1" applyFont="1" applyFill="1" applyBorder="1" applyAlignment="1">
      <alignment horizontal="center" vertical="center"/>
    </xf>
    <xf numFmtId="168" fontId="41" fillId="7" borderId="5" xfId="0" applyNumberFormat="1" applyFont="1" applyFill="1" applyBorder="1" applyAlignment="1">
      <alignment horizontal="center" vertical="center"/>
    </xf>
    <xf numFmtId="0" fontId="41" fillId="7" borderId="6" xfId="0" applyFont="1" applyFill="1" applyBorder="1" applyAlignment="1">
      <alignment horizontal="center" vertical="center"/>
    </xf>
    <xf numFmtId="0" fontId="41" fillId="14" borderId="32" xfId="2" applyNumberFormat="1" applyFont="1" applyBorder="1" applyAlignment="1" applyProtection="1">
      <alignment horizontal="center" vertical="center"/>
      <protection locked="0" hidden="1"/>
    </xf>
    <xf numFmtId="2" fontId="41" fillId="14" borderId="32" xfId="2" applyFont="1" applyBorder="1" applyAlignment="1" applyProtection="1">
      <alignment horizontal="center" vertical="center"/>
      <protection locked="0" hidden="1"/>
    </xf>
    <xf numFmtId="1" fontId="41" fillId="14" borderId="32" xfId="2" applyNumberFormat="1" applyFont="1" applyBorder="1" applyAlignment="1" applyProtection="1">
      <alignment horizontal="center" vertical="center"/>
      <protection locked="0" hidden="1"/>
    </xf>
    <xf numFmtId="1" fontId="41" fillId="14" borderId="32" xfId="2" applyNumberFormat="1" applyFont="1" applyBorder="1" applyAlignment="1" applyProtection="1">
      <alignment horizontal="center" vertical="center"/>
      <protection hidden="1"/>
    </xf>
    <xf numFmtId="2" fontId="3" fillId="14" borderId="33" xfId="2" applyFont="1" applyBorder="1" applyAlignment="1">
      <alignment horizontal="center" vertical="center"/>
      <protection hidden="1"/>
    </xf>
    <xf numFmtId="0" fontId="41" fillId="0" borderId="3" xfId="0" applyNumberFormat="1" applyFont="1" applyFill="1" applyBorder="1" applyAlignment="1">
      <alignment horizontal="center" vertical="center"/>
    </xf>
    <xf numFmtId="171" fontId="41" fillId="0" borderId="3" xfId="0" applyNumberFormat="1" applyFont="1" applyFill="1" applyBorder="1" applyAlignment="1">
      <alignment horizontal="center" vertical="center"/>
    </xf>
    <xf numFmtId="172" fontId="41" fillId="0" borderId="3" xfId="0" applyNumberFormat="1" applyFont="1" applyFill="1" applyBorder="1" applyAlignment="1">
      <alignment horizontal="center" vertical="center"/>
    </xf>
    <xf numFmtId="173" fontId="41" fillId="0" borderId="3" xfId="0" applyNumberFormat="1" applyFont="1" applyFill="1" applyBorder="1" applyAlignment="1">
      <alignment horizontal="center" vertical="center"/>
    </xf>
    <xf numFmtId="174" fontId="41" fillId="0" borderId="3" xfId="0" applyNumberFormat="1" applyFont="1" applyFill="1" applyBorder="1" applyAlignment="1">
      <alignment horizontal="center" vertical="center"/>
    </xf>
    <xf numFmtId="175" fontId="41" fillId="0" borderId="3" xfId="0" applyNumberFormat="1" applyFont="1" applyFill="1" applyBorder="1" applyAlignment="1">
      <alignment horizontal="center" vertical="center"/>
    </xf>
    <xf numFmtId="176" fontId="41" fillId="0" borderId="3" xfId="0" applyNumberFormat="1" applyFont="1" applyFill="1" applyBorder="1" applyAlignment="1">
      <alignment horizontal="center" vertical="center"/>
    </xf>
    <xf numFmtId="177" fontId="41" fillId="0" borderId="3" xfId="0" applyNumberFormat="1" applyFont="1" applyFill="1" applyBorder="1" applyAlignment="1">
      <alignment horizontal="center" vertical="center"/>
    </xf>
    <xf numFmtId="178" fontId="39" fillId="23" borderId="3" xfId="0" applyNumberFormat="1" applyFont="1" applyFill="1" applyBorder="1" applyAlignment="1">
      <alignment horizontal="center" vertical="center"/>
    </xf>
    <xf numFmtId="179" fontId="39" fillId="23" borderId="3" xfId="0" applyNumberFormat="1" applyFont="1" applyFill="1" applyBorder="1" applyAlignment="1">
      <alignment horizontal="center" vertical="center"/>
    </xf>
    <xf numFmtId="179" fontId="39" fillId="23" borderId="12" xfId="0" applyNumberFormat="1" applyFont="1" applyFill="1" applyBorder="1" applyAlignment="1">
      <alignment horizontal="center" vertical="center"/>
    </xf>
    <xf numFmtId="0" fontId="41" fillId="24" borderId="5" xfId="2" applyNumberFormat="1" applyFont="1" applyFill="1" applyBorder="1" applyAlignment="1" applyProtection="1">
      <alignment horizontal="center" vertical="center"/>
      <protection locked="0" hidden="1"/>
    </xf>
    <xf numFmtId="0" fontId="41" fillId="0" borderId="5" xfId="0" applyFont="1" applyFill="1" applyBorder="1" applyAlignment="1" applyProtection="1">
      <alignment horizontal="center" vertical="center" wrapText="1"/>
      <protection locked="0"/>
    </xf>
    <xf numFmtId="1" fontId="41" fillId="0" borderId="5" xfId="0" applyNumberFormat="1" applyFont="1" applyFill="1" applyBorder="1" applyAlignment="1" applyProtection="1">
      <alignment horizontal="center" vertical="center" wrapText="1"/>
      <protection locked="0"/>
    </xf>
    <xf numFmtId="1" fontId="41" fillId="0" borderId="5" xfId="0" applyNumberFormat="1" applyFont="1" applyFill="1" applyBorder="1" applyAlignment="1" applyProtection="1">
      <alignment horizontal="center" vertical="center" wrapText="1"/>
    </xf>
    <xf numFmtId="185" fontId="41" fillId="24" borderId="5" xfId="2" applyNumberFormat="1" applyFont="1" applyFill="1" applyBorder="1" applyAlignment="1" applyProtection="1">
      <alignment horizontal="center" vertical="center"/>
      <protection locked="0" hidden="1"/>
    </xf>
    <xf numFmtId="2" fontId="41" fillId="0" borderId="6" xfId="0" applyNumberFormat="1" applyFont="1" applyFill="1" applyBorder="1" applyAlignment="1" applyProtection="1">
      <alignment horizontal="center" vertical="center" wrapText="1"/>
      <protection locked="0"/>
    </xf>
    <xf numFmtId="0" fontId="63" fillId="0" borderId="0" xfId="0" applyFont="1" applyFill="1" applyBorder="1" applyAlignment="1">
      <alignment vertical="top" textRotation="90"/>
    </xf>
    <xf numFmtId="0" fontId="41" fillId="9" borderId="2" xfId="0" applyFont="1" applyFill="1" applyBorder="1" applyAlignment="1">
      <alignment horizontal="center" vertical="center"/>
    </xf>
    <xf numFmtId="0" fontId="41" fillId="9" borderId="11" xfId="0" applyFont="1" applyFill="1" applyBorder="1" applyAlignment="1">
      <alignment horizontal="center" vertical="center" wrapText="1"/>
    </xf>
    <xf numFmtId="0" fontId="41" fillId="9" borderId="3" xfId="0" applyFont="1" applyFill="1" applyBorder="1" applyAlignment="1">
      <alignment horizontal="center" vertical="center" wrapText="1"/>
    </xf>
    <xf numFmtId="0" fontId="41" fillId="9" borderId="32" xfId="0" applyFont="1" applyFill="1" applyBorder="1" applyAlignment="1">
      <alignment horizontal="center" vertical="center"/>
    </xf>
    <xf numFmtId="165" fontId="41" fillId="7" borderId="2" xfId="0" applyNumberFormat="1" applyFont="1" applyFill="1" applyBorder="1" applyAlignment="1">
      <alignment horizontal="center" vertical="center"/>
    </xf>
    <xf numFmtId="168" fontId="41" fillId="9" borderId="2" xfId="0" applyNumberFormat="1" applyFont="1" applyFill="1" applyBorder="1" applyAlignment="1">
      <alignment horizontal="center" vertical="center"/>
    </xf>
    <xf numFmtId="0" fontId="41" fillId="9" borderId="32" xfId="0" applyFont="1" applyFill="1" applyBorder="1" applyAlignment="1">
      <alignment horizontal="center" vertical="center" wrapText="1"/>
    </xf>
    <xf numFmtId="164" fontId="41" fillId="9" borderId="32" xfId="0" applyNumberFormat="1" applyFont="1" applyFill="1" applyBorder="1" applyAlignment="1">
      <alignment horizontal="center" vertical="center" wrapText="1"/>
    </xf>
    <xf numFmtId="0" fontId="41" fillId="9" borderId="32" xfId="0" applyNumberFormat="1" applyFont="1" applyFill="1" applyBorder="1" applyAlignment="1">
      <alignment horizontal="center" vertical="center"/>
    </xf>
    <xf numFmtId="185" fontId="41" fillId="9" borderId="32" xfId="0" applyNumberFormat="1" applyFont="1" applyFill="1" applyBorder="1" applyAlignment="1">
      <alignment horizontal="center" vertical="center" wrapText="1"/>
    </xf>
    <xf numFmtId="168" fontId="41" fillId="9" borderId="32" xfId="0" applyNumberFormat="1" applyFont="1" applyFill="1" applyBorder="1" applyAlignment="1">
      <alignment horizontal="center" vertical="center" wrapText="1"/>
    </xf>
    <xf numFmtId="0" fontId="41" fillId="9" borderId="33" xfId="0" applyFont="1" applyFill="1" applyBorder="1" applyAlignment="1">
      <alignment horizontal="center" vertical="center" wrapText="1"/>
    </xf>
    <xf numFmtId="0" fontId="41" fillId="9" borderId="12" xfId="0" applyFont="1" applyFill="1" applyBorder="1" applyAlignment="1">
      <alignment horizontal="center" vertical="center" wrapText="1"/>
    </xf>
    <xf numFmtId="0" fontId="41" fillId="9" borderId="5" xfId="0" applyFont="1" applyFill="1" applyBorder="1" applyAlignment="1">
      <alignment horizontal="center" vertical="center"/>
    </xf>
    <xf numFmtId="164" fontId="41" fillId="9" borderId="5" xfId="0" applyNumberFormat="1" applyFont="1" applyFill="1" applyBorder="1" applyAlignment="1">
      <alignment horizontal="center" vertical="center"/>
    </xf>
    <xf numFmtId="0" fontId="41" fillId="9" borderId="5" xfId="0" applyNumberFormat="1" applyFont="1" applyFill="1" applyBorder="1" applyAlignment="1">
      <alignment horizontal="center" vertical="center"/>
    </xf>
    <xf numFmtId="185" fontId="41" fillId="9" borderId="5" xfId="0" applyNumberFormat="1" applyFont="1" applyFill="1" applyBorder="1" applyAlignment="1">
      <alignment horizontal="center" vertical="center"/>
    </xf>
    <xf numFmtId="168" fontId="41" fillId="9" borderId="5" xfId="0" applyNumberFormat="1" applyFont="1" applyFill="1" applyBorder="1" applyAlignment="1">
      <alignment horizontal="center" vertical="center"/>
    </xf>
    <xf numFmtId="0" fontId="41" fillId="9" borderId="6" xfId="0" applyFont="1" applyFill="1" applyBorder="1" applyAlignment="1">
      <alignment horizontal="center" vertical="center"/>
    </xf>
    <xf numFmtId="164" fontId="41" fillId="9" borderId="32" xfId="0" applyNumberFormat="1" applyFont="1" applyFill="1" applyBorder="1" applyAlignment="1">
      <alignment horizontal="center" vertical="center"/>
    </xf>
    <xf numFmtId="185" fontId="41" fillId="9" borderId="49" xfId="0" applyNumberFormat="1" applyFont="1" applyFill="1" applyBorder="1" applyAlignment="1">
      <alignment horizontal="center" vertical="center"/>
    </xf>
    <xf numFmtId="166" fontId="41" fillId="9" borderId="32" xfId="0" applyNumberFormat="1" applyFont="1" applyFill="1" applyBorder="1" applyAlignment="1">
      <alignment horizontal="center" vertical="center"/>
    </xf>
    <xf numFmtId="1" fontId="41" fillId="9" borderId="32" xfId="0" applyNumberFormat="1" applyFont="1" applyFill="1" applyBorder="1" applyAlignment="1">
      <alignment horizontal="center" vertical="center"/>
    </xf>
    <xf numFmtId="185" fontId="41" fillId="9" borderId="32" xfId="0" applyNumberFormat="1" applyFont="1" applyFill="1" applyBorder="1" applyAlignment="1">
      <alignment horizontal="center" vertical="center"/>
    </xf>
    <xf numFmtId="168" fontId="41" fillId="9" borderId="32" xfId="0" applyNumberFormat="1" applyFont="1" applyFill="1" applyBorder="1" applyAlignment="1">
      <alignment horizontal="center" vertical="center"/>
    </xf>
    <xf numFmtId="0" fontId="41" fillId="9" borderId="33" xfId="0" applyFont="1" applyFill="1" applyBorder="1" applyAlignment="1">
      <alignment horizontal="center" vertical="center"/>
    </xf>
    <xf numFmtId="164" fontId="41" fillId="9" borderId="2" xfId="0" applyNumberFormat="1" applyFont="1" applyFill="1" applyBorder="1" applyAlignment="1">
      <alignment horizontal="center" vertical="center"/>
    </xf>
    <xf numFmtId="185" fontId="41" fillId="9" borderId="20" xfId="0" applyNumberFormat="1" applyFont="1" applyFill="1" applyBorder="1" applyAlignment="1">
      <alignment horizontal="center" vertical="center"/>
    </xf>
    <xf numFmtId="1" fontId="41" fillId="9" borderId="2" xfId="0" applyNumberFormat="1" applyFont="1" applyFill="1" applyBorder="1" applyAlignment="1">
      <alignment horizontal="center" vertical="center"/>
    </xf>
    <xf numFmtId="185" fontId="41" fillId="9" borderId="2" xfId="0" applyNumberFormat="1" applyFont="1" applyFill="1" applyBorder="1" applyAlignment="1">
      <alignment horizontal="center" vertical="center"/>
    </xf>
    <xf numFmtId="0" fontId="41" fillId="9" borderId="10" xfId="0" applyFont="1" applyFill="1" applyBorder="1" applyAlignment="1">
      <alignment horizontal="center" vertical="center"/>
    </xf>
    <xf numFmtId="185" fontId="41" fillId="30" borderId="1" xfId="0" applyNumberFormat="1" applyFont="1" applyFill="1" applyBorder="1" applyAlignment="1">
      <alignment horizontal="center" vertical="center"/>
    </xf>
    <xf numFmtId="168" fontId="41" fillId="30" borderId="1" xfId="0" applyNumberFormat="1" applyFont="1" applyFill="1" applyBorder="1" applyAlignment="1">
      <alignment horizontal="center" vertical="center"/>
    </xf>
    <xf numFmtId="166" fontId="41" fillId="9" borderId="5" xfId="0" applyNumberFormat="1" applyFont="1" applyFill="1" applyBorder="1" applyAlignment="1">
      <alignment horizontal="center" vertical="center"/>
    </xf>
    <xf numFmtId="0" fontId="41" fillId="7" borderId="1" xfId="0" applyFont="1" applyFill="1" applyBorder="1" applyAlignment="1">
      <alignment horizontal="center" vertical="center"/>
    </xf>
    <xf numFmtId="164" fontId="41" fillId="7" borderId="1" xfId="0" applyNumberFormat="1" applyFont="1" applyFill="1" applyBorder="1" applyAlignment="1">
      <alignment horizontal="center" vertical="center"/>
    </xf>
    <xf numFmtId="185" fontId="41" fillId="7" borderId="1" xfId="0" applyNumberFormat="1" applyFont="1" applyFill="1" applyBorder="1" applyAlignment="1">
      <alignment horizontal="center" vertical="center"/>
    </xf>
    <xf numFmtId="0" fontId="41" fillId="7" borderId="32" xfId="0" applyFont="1" applyFill="1" applyBorder="1" applyAlignment="1">
      <alignment horizontal="center" vertical="center"/>
    </xf>
    <xf numFmtId="164" fontId="41" fillId="7" borderId="32" xfId="0" applyNumberFormat="1" applyFont="1" applyFill="1" applyBorder="1" applyAlignment="1">
      <alignment horizontal="center" vertical="center"/>
    </xf>
    <xf numFmtId="165" fontId="41" fillId="7" borderId="32" xfId="0" applyNumberFormat="1" applyFont="1" applyFill="1" applyBorder="1" applyAlignment="1">
      <alignment horizontal="center" vertical="center"/>
    </xf>
    <xf numFmtId="0" fontId="41" fillId="7" borderId="33" xfId="0" applyFont="1" applyFill="1" applyBorder="1" applyAlignment="1">
      <alignment horizontal="center" vertical="center"/>
    </xf>
    <xf numFmtId="165" fontId="41" fillId="7" borderId="5" xfId="0" applyNumberFormat="1" applyFont="1" applyFill="1" applyBorder="1" applyAlignment="1">
      <alignment horizontal="center" vertical="center"/>
    </xf>
    <xf numFmtId="168" fontId="41" fillId="7" borderId="1" xfId="0" applyNumberFormat="1" applyFont="1" applyFill="1" applyBorder="1" applyAlignment="1">
      <alignment horizontal="center" vertical="center"/>
    </xf>
    <xf numFmtId="166" fontId="41" fillId="7" borderId="1" xfId="0" applyNumberFormat="1" applyFont="1" applyFill="1" applyBorder="1" applyAlignment="1">
      <alignment horizontal="center" vertical="center"/>
    </xf>
    <xf numFmtId="168" fontId="41" fillId="7" borderId="32" xfId="0" applyNumberFormat="1" applyFont="1" applyFill="1" applyBorder="1" applyAlignment="1">
      <alignment horizontal="center" vertical="center"/>
    </xf>
    <xf numFmtId="0" fontId="3" fillId="0" borderId="0" xfId="0" applyFont="1"/>
    <xf numFmtId="0" fontId="3" fillId="0" borderId="0" xfId="0" applyFont="1" applyAlignment="1">
      <alignment horizontal="center"/>
    </xf>
    <xf numFmtId="0" fontId="3" fillId="0" borderId="11" xfId="0" applyFont="1" applyFill="1" applyBorder="1" applyAlignment="1">
      <alignment horizontal="center" vertical="center" wrapText="1"/>
    </xf>
    <xf numFmtId="1" fontId="3" fillId="0" borderId="32" xfId="0" applyNumberFormat="1" applyFont="1" applyFill="1" applyBorder="1" applyAlignment="1">
      <alignment horizontal="center" vertical="center"/>
    </xf>
    <xf numFmtId="191" fontId="3" fillId="0" borderId="32" xfId="0" quotePrefix="1" applyNumberFormat="1" applyFont="1" applyFill="1" applyBorder="1" applyAlignment="1">
      <alignment horizontal="center" vertical="center" wrapText="1"/>
    </xf>
    <xf numFmtId="182" fontId="3" fillId="0" borderId="32" xfId="0" quotePrefix="1" applyNumberFormat="1" applyFont="1" applyFill="1" applyBorder="1" applyAlignment="1">
      <alignment horizontal="center" vertical="center" wrapText="1"/>
    </xf>
    <xf numFmtId="192" fontId="3" fillId="0" borderId="32" xfId="7" applyNumberFormat="1" applyFont="1" applyFill="1" applyBorder="1" applyAlignment="1">
      <alignment horizontal="center" vertical="center" wrapText="1"/>
    </xf>
    <xf numFmtId="192" fontId="3" fillId="0" borderId="32" xfId="0" applyNumberFormat="1" applyFont="1" applyFill="1" applyBorder="1" applyAlignment="1">
      <alignment horizontal="center" vertical="center" wrapText="1"/>
    </xf>
    <xf numFmtId="166" fontId="3" fillId="0" borderId="32" xfId="0" applyNumberFormat="1" applyFont="1" applyFill="1" applyBorder="1" applyAlignment="1">
      <alignment horizontal="center" vertical="center" wrapText="1"/>
    </xf>
    <xf numFmtId="2" fontId="3" fillId="0" borderId="32" xfId="0" applyNumberFormat="1" applyFont="1" applyFill="1" applyBorder="1" applyAlignment="1">
      <alignment horizontal="center" vertical="center" wrapText="1"/>
    </xf>
    <xf numFmtId="0" fontId="3" fillId="8" borderId="11" xfId="0" applyFont="1" applyFill="1" applyBorder="1" applyAlignment="1">
      <alignment horizontal="center" vertical="center"/>
    </xf>
    <xf numFmtId="0" fontId="3" fillId="8" borderId="32" xfId="0" applyFont="1" applyFill="1" applyBorder="1" applyAlignment="1">
      <alignment horizontal="center" vertical="center"/>
    </xf>
    <xf numFmtId="0" fontId="3" fillId="8" borderId="33" xfId="0" applyFont="1" applyFill="1" applyBorder="1" applyAlignment="1">
      <alignment horizontal="center" vertical="center"/>
    </xf>
    <xf numFmtId="0" fontId="3" fillId="0" borderId="3" xfId="0" applyFont="1" applyFill="1" applyBorder="1" applyAlignment="1">
      <alignment horizontal="center" vertical="center" wrapText="1"/>
    </xf>
    <xf numFmtId="1" fontId="3" fillId="0" borderId="2" xfId="0" applyNumberFormat="1" applyFont="1" applyFill="1" applyBorder="1" applyAlignment="1">
      <alignment horizontal="center" vertical="center"/>
    </xf>
    <xf numFmtId="191" fontId="3" fillId="0" borderId="2" xfId="0" quotePrefix="1" applyNumberFormat="1" applyFont="1" applyFill="1" applyBorder="1" applyAlignment="1">
      <alignment horizontal="center" vertical="center" wrapText="1"/>
    </xf>
    <xf numFmtId="182" fontId="3" fillId="0" borderId="2" xfId="0" quotePrefix="1" applyNumberFormat="1" applyFont="1" applyFill="1" applyBorder="1" applyAlignment="1">
      <alignment horizontal="center" vertical="center" wrapText="1"/>
    </xf>
    <xf numFmtId="192" fontId="3" fillId="0" borderId="2" xfId="7" applyNumberFormat="1" applyFont="1" applyFill="1" applyBorder="1" applyAlignment="1">
      <alignment horizontal="center" vertical="center" wrapText="1"/>
    </xf>
    <xf numFmtId="192" fontId="3" fillId="0" borderId="2" xfId="0" applyNumberFormat="1" applyFont="1" applyFill="1" applyBorder="1" applyAlignment="1">
      <alignment horizontal="center" vertical="center" wrapText="1"/>
    </xf>
    <xf numFmtId="166" fontId="3" fillId="0" borderId="2" xfId="0" applyNumberFormat="1" applyFont="1" applyFill="1" applyBorder="1" applyAlignment="1">
      <alignment horizontal="center" vertical="center" wrapText="1"/>
    </xf>
    <xf numFmtId="2" fontId="3" fillId="0" borderId="2" xfId="0" applyNumberFormat="1" applyFont="1" applyFill="1" applyBorder="1" applyAlignment="1">
      <alignment horizontal="center" vertical="center" wrapText="1"/>
    </xf>
    <xf numFmtId="0" fontId="3" fillId="8" borderId="3" xfId="0" applyFont="1" applyFill="1" applyBorder="1" applyAlignment="1">
      <alignment horizontal="center" vertical="center"/>
    </xf>
    <xf numFmtId="0" fontId="3" fillId="8" borderId="2" xfId="0" applyFont="1" applyFill="1" applyBorder="1" applyAlignment="1">
      <alignment horizontal="center" vertical="center"/>
    </xf>
    <xf numFmtId="0" fontId="3" fillId="8" borderId="10" xfId="0" applyFont="1" applyFill="1" applyBorder="1" applyAlignment="1">
      <alignment horizontal="center" vertical="center"/>
    </xf>
    <xf numFmtId="166" fontId="3" fillId="8" borderId="3" xfId="0" applyNumberFormat="1" applyFont="1" applyFill="1" applyBorder="1" applyAlignment="1">
      <alignment horizontal="center" vertical="center"/>
    </xf>
    <xf numFmtId="166" fontId="3" fillId="8" borderId="2" xfId="0" applyNumberFormat="1" applyFont="1" applyFill="1" applyBorder="1" applyAlignment="1">
      <alignment horizontal="center" vertical="center"/>
    </xf>
    <xf numFmtId="166" fontId="3" fillId="8" borderId="10" xfId="0" applyNumberFormat="1" applyFont="1" applyFill="1" applyBorder="1" applyAlignment="1">
      <alignment horizontal="center" vertical="center"/>
    </xf>
    <xf numFmtId="0" fontId="3" fillId="8" borderId="3" xfId="0" applyFont="1" applyFill="1" applyBorder="1" applyAlignment="1">
      <alignment horizontal="center" vertical="center" wrapText="1"/>
    </xf>
    <xf numFmtId="0" fontId="3" fillId="8" borderId="2" xfId="0" applyFont="1" applyFill="1" applyBorder="1" applyAlignment="1">
      <alignment horizontal="center" vertical="center" wrapText="1"/>
    </xf>
    <xf numFmtId="0" fontId="3" fillId="8" borderId="10" xfId="0" applyFont="1" applyFill="1" applyBorder="1" applyAlignment="1">
      <alignment horizontal="center" vertical="center" wrapText="1"/>
    </xf>
    <xf numFmtId="181" fontId="3" fillId="0" borderId="2" xfId="0" quotePrefix="1" applyNumberFormat="1" applyFont="1" applyFill="1" applyBorder="1" applyAlignment="1">
      <alignment horizontal="center" vertical="center" wrapText="1"/>
    </xf>
    <xf numFmtId="2" fontId="3" fillId="8" borderId="3" xfId="0" applyNumberFormat="1" applyFont="1" applyFill="1" applyBorder="1" applyAlignment="1">
      <alignment horizontal="center" vertical="center"/>
    </xf>
    <xf numFmtId="2" fontId="3" fillId="8" borderId="2" xfId="0" applyNumberFormat="1" applyFont="1" applyFill="1" applyBorder="1" applyAlignment="1">
      <alignment horizontal="center" vertical="center"/>
    </xf>
    <xf numFmtId="2" fontId="3" fillId="8" borderId="10" xfId="0" applyNumberFormat="1" applyFont="1" applyFill="1" applyBorder="1" applyAlignment="1">
      <alignment horizontal="center" vertical="center"/>
    </xf>
    <xf numFmtId="1" fontId="3" fillId="0" borderId="2" xfId="0" applyNumberFormat="1" applyFont="1" applyFill="1" applyBorder="1" applyAlignment="1">
      <alignment horizontal="center" vertical="center" wrapText="1"/>
    </xf>
    <xf numFmtId="0" fontId="3" fillId="8" borderId="12" xfId="0" applyFont="1" applyFill="1" applyBorder="1" applyAlignment="1">
      <alignment horizontal="center" vertical="center"/>
    </xf>
    <xf numFmtId="0" fontId="3" fillId="8" borderId="5" xfId="0" applyFont="1" applyFill="1" applyBorder="1" applyAlignment="1">
      <alignment horizontal="center" vertical="center"/>
    </xf>
    <xf numFmtId="0" fontId="3" fillId="8" borderId="6" xfId="0" applyFont="1" applyFill="1" applyBorder="1" applyAlignment="1">
      <alignment horizontal="center" vertical="center"/>
    </xf>
    <xf numFmtId="183" fontId="3" fillId="0" borderId="2" xfId="0" quotePrefix="1" applyNumberFormat="1" applyFont="1" applyFill="1" applyBorder="1" applyAlignment="1" applyProtection="1">
      <alignment horizontal="center" vertical="center" wrapText="1"/>
    </xf>
    <xf numFmtId="2" fontId="3" fillId="0" borderId="2" xfId="0" applyNumberFormat="1" applyFont="1" applyFill="1" applyBorder="1" applyAlignment="1">
      <alignment horizontal="center" vertical="center"/>
    </xf>
    <xf numFmtId="0" fontId="3" fillId="0" borderId="12" xfId="0" applyFont="1" applyFill="1" applyBorder="1" applyAlignment="1">
      <alignment horizontal="center" vertical="center" wrapText="1"/>
    </xf>
    <xf numFmtId="1" fontId="3" fillId="0" borderId="5" xfId="0" applyNumberFormat="1" applyFont="1" applyFill="1" applyBorder="1" applyAlignment="1">
      <alignment horizontal="center" vertical="center" wrapText="1"/>
    </xf>
    <xf numFmtId="1" fontId="3" fillId="0" borderId="5" xfId="0" applyNumberFormat="1" applyFont="1" applyFill="1" applyBorder="1" applyAlignment="1">
      <alignment horizontal="center" vertical="center"/>
    </xf>
    <xf numFmtId="183" fontId="3" fillId="0" borderId="5" xfId="0" quotePrefix="1" applyNumberFormat="1" applyFont="1" applyFill="1" applyBorder="1" applyAlignment="1" applyProtection="1">
      <alignment horizontal="center" vertical="center" wrapText="1"/>
    </xf>
    <xf numFmtId="2" fontId="3" fillId="0" borderId="5" xfId="0" applyNumberFormat="1" applyFont="1" applyFill="1" applyBorder="1" applyAlignment="1">
      <alignment horizontal="center" vertical="center"/>
    </xf>
    <xf numFmtId="192" fontId="3" fillId="0" borderId="5" xfId="7" applyNumberFormat="1" applyFont="1" applyFill="1" applyBorder="1" applyAlignment="1">
      <alignment horizontal="center" vertical="center" wrapText="1"/>
    </xf>
    <xf numFmtId="192" fontId="3" fillId="0" borderId="5" xfId="0" applyNumberFormat="1" applyFont="1" applyFill="1" applyBorder="1" applyAlignment="1">
      <alignment horizontal="center" vertical="center" wrapText="1"/>
    </xf>
    <xf numFmtId="166" fontId="3" fillId="0" borderId="5" xfId="0" applyNumberFormat="1" applyFont="1" applyFill="1" applyBorder="1" applyAlignment="1">
      <alignment horizontal="center" vertical="center" wrapText="1"/>
    </xf>
    <xf numFmtId="2" fontId="3" fillId="0" borderId="5" xfId="0" applyNumberFormat="1" applyFont="1" applyFill="1" applyBorder="1" applyAlignment="1">
      <alignment horizontal="center" vertical="center" wrapText="1"/>
    </xf>
    <xf numFmtId="0" fontId="3" fillId="0" borderId="21" xfId="0" applyFont="1" applyBorder="1" applyAlignment="1">
      <alignment horizontal="center" vertical="center"/>
    </xf>
    <xf numFmtId="0" fontId="3" fillId="0" borderId="0" xfId="0" applyFont="1" applyAlignment="1">
      <alignment horizontal="center" vertical="center"/>
    </xf>
    <xf numFmtId="0" fontId="3" fillId="0" borderId="0" xfId="0" applyFont="1" applyProtection="1">
      <protection hidden="1"/>
    </xf>
    <xf numFmtId="0" fontId="3" fillId="0" borderId="0" xfId="0" applyFont="1" applyAlignment="1" applyProtection="1">
      <alignment horizontal="center" vertical="center" wrapText="1"/>
      <protection hidden="1"/>
    </xf>
    <xf numFmtId="0" fontId="3" fillId="0" borderId="0" xfId="0" applyFont="1" applyBorder="1" applyAlignment="1" applyProtection="1">
      <alignment vertical="center" wrapText="1"/>
      <protection hidden="1"/>
    </xf>
    <xf numFmtId="14" fontId="3" fillId="0" borderId="0" xfId="0" applyNumberFormat="1" applyFont="1" applyAlignment="1" applyProtection="1">
      <alignment horizontal="left" vertical="center" wrapText="1"/>
      <protection hidden="1"/>
    </xf>
    <xf numFmtId="0" fontId="3" fillId="0" borderId="0" xfId="0" applyFont="1" applyAlignment="1" applyProtection="1">
      <protection hidden="1"/>
    </xf>
    <xf numFmtId="0" fontId="3" fillId="0" borderId="0" xfId="0" applyNumberFormat="1" applyFont="1" applyAlignment="1" applyProtection="1">
      <alignment horizontal="center"/>
      <protection hidden="1"/>
    </xf>
    <xf numFmtId="185" fontId="3" fillId="0" borderId="22" xfId="0" applyNumberFormat="1" applyFont="1" applyBorder="1" applyAlignment="1" applyProtection="1">
      <alignment horizontal="center" vertical="center" wrapText="1"/>
      <protection hidden="1"/>
    </xf>
    <xf numFmtId="0" fontId="3" fillId="0" borderId="17" xfId="0" applyFont="1" applyBorder="1" applyAlignment="1" applyProtection="1">
      <alignment horizontal="center" vertical="center" wrapText="1"/>
      <protection hidden="1"/>
    </xf>
    <xf numFmtId="1" fontId="3" fillId="0" borderId="22" xfId="0" applyNumberFormat="1" applyFont="1" applyBorder="1" applyAlignment="1" applyProtection="1">
      <alignment horizontal="center" vertical="center" wrapText="1"/>
      <protection hidden="1"/>
    </xf>
    <xf numFmtId="0" fontId="3" fillId="0" borderId="16" xfId="0" applyFont="1" applyBorder="1" applyAlignment="1" applyProtection="1">
      <alignment horizontal="center" vertical="center" wrapText="1"/>
      <protection hidden="1"/>
    </xf>
    <xf numFmtId="1" fontId="3" fillId="3" borderId="22" xfId="0" applyNumberFormat="1" applyFont="1" applyFill="1" applyBorder="1" applyAlignment="1" applyProtection="1">
      <alignment horizontal="center" vertical="center" wrapText="1"/>
      <protection hidden="1"/>
    </xf>
    <xf numFmtId="0" fontId="3" fillId="3" borderId="17" xfId="0" applyFont="1" applyFill="1" applyBorder="1" applyAlignment="1" applyProtection="1">
      <alignment horizontal="center" vertical="center" wrapText="1"/>
      <protection hidden="1"/>
    </xf>
    <xf numFmtId="0" fontId="3" fillId="3" borderId="16" xfId="0" applyFont="1" applyFill="1" applyBorder="1" applyAlignment="1" applyProtection="1">
      <alignment horizontal="center" vertical="center" wrapText="1"/>
      <protection hidden="1"/>
    </xf>
    <xf numFmtId="0" fontId="3" fillId="0" borderId="0" xfId="0" applyFont="1" applyAlignment="1" applyProtection="1">
      <alignment horizontal="justify" vertical="center" wrapText="1"/>
      <protection hidden="1"/>
    </xf>
    <xf numFmtId="0" fontId="3" fillId="0" borderId="0" xfId="0" applyFont="1" applyAlignment="1" applyProtection="1">
      <alignment horizontal="justify" vertical="justify" wrapText="1"/>
      <protection hidden="1"/>
    </xf>
    <xf numFmtId="0" fontId="3" fillId="0" borderId="11" xfId="0" applyFont="1" applyFill="1" applyBorder="1" applyAlignment="1" applyProtection="1">
      <alignment horizontal="center" vertical="center" wrapText="1"/>
      <protection hidden="1"/>
    </xf>
    <xf numFmtId="1" fontId="3" fillId="3" borderId="32" xfId="0" applyNumberFormat="1" applyFont="1" applyFill="1" applyBorder="1" applyAlignment="1" applyProtection="1">
      <alignment horizontal="center" vertical="center" wrapText="1"/>
    </xf>
    <xf numFmtId="191" fontId="3" fillId="0" borderId="32" xfId="0" quotePrefix="1" applyNumberFormat="1" applyFont="1" applyFill="1" applyBorder="1" applyAlignment="1" applyProtection="1">
      <alignment horizontal="center" vertical="center" wrapText="1"/>
    </xf>
    <xf numFmtId="191" fontId="3" fillId="3" borderId="32" xfId="0" quotePrefix="1" applyNumberFormat="1" applyFont="1" applyFill="1" applyBorder="1" applyAlignment="1" applyProtection="1">
      <alignment horizontal="center" vertical="center" wrapText="1"/>
    </xf>
    <xf numFmtId="0" fontId="3" fillId="0" borderId="3" xfId="0" applyFont="1" applyFill="1" applyBorder="1" applyAlignment="1" applyProtection="1">
      <alignment horizontal="center" vertical="center" wrapText="1"/>
      <protection hidden="1"/>
    </xf>
    <xf numFmtId="1" fontId="3" fillId="3" borderId="2" xfId="0" applyNumberFormat="1" applyFont="1" applyFill="1" applyBorder="1" applyAlignment="1" applyProtection="1">
      <alignment horizontal="center" vertical="center" wrapText="1"/>
    </xf>
    <xf numFmtId="191" fontId="3" fillId="0" borderId="2" xfId="0" quotePrefix="1" applyNumberFormat="1" applyFont="1" applyFill="1" applyBorder="1" applyAlignment="1" applyProtection="1">
      <alignment horizontal="center" vertical="center" wrapText="1"/>
    </xf>
    <xf numFmtId="191" fontId="3" fillId="3" borderId="2" xfId="0" quotePrefix="1" applyNumberFormat="1" applyFont="1" applyFill="1" applyBorder="1" applyAlignment="1" applyProtection="1">
      <alignment horizontal="center" vertical="center" wrapText="1"/>
    </xf>
    <xf numFmtId="182" fontId="3" fillId="0" borderId="2" xfId="0" quotePrefix="1" applyNumberFormat="1" applyFont="1" applyFill="1" applyBorder="1" applyAlignment="1" applyProtection="1">
      <alignment horizontal="center" vertical="center" wrapText="1"/>
    </xf>
    <xf numFmtId="0" fontId="3" fillId="9" borderId="0" xfId="0" applyFont="1" applyFill="1" applyProtection="1">
      <protection hidden="1"/>
    </xf>
    <xf numFmtId="182" fontId="3" fillId="3" borderId="2" xfId="0" quotePrefix="1" applyNumberFormat="1" applyFont="1" applyFill="1" applyBorder="1" applyAlignment="1" applyProtection="1">
      <alignment horizontal="center" vertical="center" wrapText="1"/>
    </xf>
    <xf numFmtId="181" fontId="3" fillId="0" borderId="2" xfId="0" quotePrefix="1" applyNumberFormat="1" applyFont="1" applyFill="1" applyBorder="1" applyAlignment="1" applyProtection="1">
      <alignment horizontal="center" vertical="center" wrapText="1"/>
    </xf>
    <xf numFmtId="181" fontId="3" fillId="3" borderId="2" xfId="0" quotePrefix="1" applyNumberFormat="1" applyFont="1" applyFill="1" applyBorder="1" applyAlignment="1" applyProtection="1">
      <alignment horizontal="center" vertical="center" wrapText="1"/>
    </xf>
    <xf numFmtId="183" fontId="3" fillId="3" borderId="2" xfId="0" quotePrefix="1" applyNumberFormat="1" applyFont="1" applyFill="1" applyBorder="1" applyAlignment="1" applyProtection="1">
      <alignment horizontal="center" vertical="center" wrapText="1"/>
    </xf>
    <xf numFmtId="1" fontId="3" fillId="3" borderId="2" xfId="0" applyNumberFormat="1" applyFont="1" applyFill="1" applyBorder="1" applyAlignment="1" applyProtection="1">
      <alignment horizontal="center" vertical="center" wrapText="1"/>
      <protection hidden="1"/>
    </xf>
    <xf numFmtId="181" fontId="3" fillId="0" borderId="2" xfId="0" quotePrefix="1" applyNumberFormat="1" applyFont="1" applyFill="1" applyBorder="1" applyAlignment="1" applyProtection="1">
      <alignment horizontal="center" vertical="center" wrapText="1"/>
      <protection hidden="1"/>
    </xf>
    <xf numFmtId="181" fontId="3" fillId="3" borderId="2" xfId="0" quotePrefix="1" applyNumberFormat="1" applyFont="1" applyFill="1" applyBorder="1" applyAlignment="1" applyProtection="1">
      <alignment horizontal="center" vertical="center" wrapText="1"/>
      <protection hidden="1"/>
    </xf>
    <xf numFmtId="1" fontId="3" fillId="0" borderId="2" xfId="0" applyNumberFormat="1" applyFont="1" applyFill="1" applyBorder="1" applyAlignment="1" applyProtection="1">
      <alignment horizontal="center" vertical="center" wrapText="1"/>
      <protection hidden="1"/>
    </xf>
    <xf numFmtId="183" fontId="3" fillId="0" borderId="2" xfId="0" quotePrefix="1" applyNumberFormat="1" applyFont="1" applyFill="1" applyBorder="1" applyAlignment="1" applyProtection="1">
      <alignment horizontal="center" vertical="center" wrapText="1"/>
      <protection hidden="1"/>
    </xf>
    <xf numFmtId="183" fontId="3" fillId="3" borderId="2" xfId="0" quotePrefix="1" applyNumberFormat="1" applyFont="1" applyFill="1" applyBorder="1" applyAlignment="1" applyProtection="1">
      <alignment horizontal="center" vertical="center" wrapText="1"/>
      <protection hidden="1"/>
    </xf>
    <xf numFmtId="0" fontId="3" fillId="0" borderId="12" xfId="0" applyFont="1" applyFill="1" applyBorder="1" applyAlignment="1" applyProtection="1">
      <alignment horizontal="center" vertical="center" wrapText="1"/>
      <protection hidden="1"/>
    </xf>
    <xf numFmtId="1" fontId="3" fillId="3" borderId="5" xfId="0" applyNumberFormat="1" applyFont="1" applyFill="1" applyBorder="1" applyAlignment="1" applyProtection="1">
      <alignment horizontal="center" vertical="center" wrapText="1"/>
      <protection hidden="1"/>
    </xf>
    <xf numFmtId="183" fontId="3" fillId="0" borderId="5" xfId="0" quotePrefix="1" applyNumberFormat="1" applyFont="1" applyFill="1" applyBorder="1" applyAlignment="1" applyProtection="1">
      <alignment horizontal="center" vertical="center" wrapText="1"/>
      <protection hidden="1"/>
    </xf>
    <xf numFmtId="183" fontId="3" fillId="3" borderId="5" xfId="0" quotePrefix="1" applyNumberFormat="1" applyFont="1" applyFill="1" applyBorder="1" applyAlignment="1" applyProtection="1">
      <alignment horizontal="center" vertical="center" wrapText="1"/>
      <protection hidden="1"/>
    </xf>
    <xf numFmtId="1" fontId="3" fillId="3" borderId="0" xfId="0" quotePrefix="1" applyNumberFormat="1" applyFont="1" applyFill="1" applyBorder="1" applyAlignment="1" applyProtection="1">
      <alignment horizontal="center" vertical="center" wrapText="1"/>
      <protection hidden="1"/>
    </xf>
    <xf numFmtId="166" fontId="3" fillId="0" borderId="0" xfId="0" applyNumberFormat="1" applyFont="1" applyFill="1" applyBorder="1" applyAlignment="1" applyProtection="1">
      <alignment horizontal="center" vertical="center" wrapText="1"/>
      <protection hidden="1"/>
    </xf>
    <xf numFmtId="2" fontId="3" fillId="3" borderId="0" xfId="0" applyNumberFormat="1" applyFont="1" applyFill="1" applyBorder="1" applyAlignment="1" applyProtection="1">
      <alignment horizontal="center" vertical="center" wrapText="1"/>
      <protection hidden="1"/>
    </xf>
    <xf numFmtId="0" fontId="3" fillId="3" borderId="0" xfId="0" applyFont="1" applyFill="1" applyAlignment="1" applyProtection="1">
      <alignment horizontal="justify" vertical="justify" wrapText="1"/>
      <protection hidden="1"/>
    </xf>
    <xf numFmtId="0" fontId="3" fillId="3" borderId="0" xfId="0" applyFont="1" applyFill="1" applyAlignment="1" applyProtection="1">
      <alignment vertical="justify" wrapText="1"/>
      <protection hidden="1"/>
    </xf>
    <xf numFmtId="0" fontId="3" fillId="0" borderId="0" xfId="0" applyFont="1" applyAlignment="1" applyProtection="1">
      <alignment horizontal="justify" vertical="center"/>
      <protection hidden="1"/>
    </xf>
    <xf numFmtId="0" fontId="3" fillId="10" borderId="0" xfId="0" applyFont="1" applyFill="1" applyAlignment="1" applyProtection="1">
      <alignment horizontal="center"/>
      <protection hidden="1"/>
    </xf>
    <xf numFmtId="0" fontId="3" fillId="0" borderId="0" xfId="0" applyFont="1" applyAlignment="1" applyProtection="1">
      <alignment vertical="center" wrapText="1"/>
      <protection hidden="1"/>
    </xf>
    <xf numFmtId="0" fontId="28" fillId="6" borderId="8" xfId="0" applyFont="1" applyFill="1" applyBorder="1" applyAlignment="1" applyProtection="1">
      <alignment horizontal="center" vertical="center"/>
    </xf>
    <xf numFmtId="182" fontId="41" fillId="23" borderId="47" xfId="0" applyNumberFormat="1" applyFont="1" applyFill="1" applyBorder="1" applyAlignment="1">
      <alignment horizontal="center" vertical="center"/>
    </xf>
    <xf numFmtId="182" fontId="41" fillId="23" borderId="14" xfId="0" applyNumberFormat="1" applyFont="1" applyFill="1" applyBorder="1" applyAlignment="1">
      <alignment horizontal="center" vertical="center"/>
    </xf>
    <xf numFmtId="181" fontId="41" fillId="23" borderId="14" xfId="0" applyNumberFormat="1" applyFont="1" applyFill="1" applyBorder="1" applyAlignment="1">
      <alignment horizontal="center" vertical="center"/>
    </xf>
    <xf numFmtId="182" fontId="41" fillId="32" borderId="14" xfId="0" applyNumberFormat="1" applyFont="1" applyFill="1" applyBorder="1" applyAlignment="1">
      <alignment horizontal="center" vertical="center"/>
    </xf>
    <xf numFmtId="0" fontId="41" fillId="32" borderId="46" xfId="0" applyFont="1" applyFill="1" applyBorder="1" applyAlignment="1">
      <alignment horizontal="center" vertical="center"/>
    </xf>
    <xf numFmtId="0" fontId="41" fillId="32" borderId="3" xfId="0" applyFont="1" applyFill="1" applyBorder="1" applyAlignment="1">
      <alignment horizontal="center" vertical="center"/>
    </xf>
    <xf numFmtId="0" fontId="41" fillId="32" borderId="12" xfId="0" applyFont="1" applyFill="1" applyBorder="1" applyAlignment="1">
      <alignment horizontal="center" vertical="center"/>
    </xf>
    <xf numFmtId="1" fontId="3" fillId="0" borderId="2" xfId="0" applyNumberFormat="1" applyFont="1" applyFill="1" applyBorder="1" applyAlignment="1" applyProtection="1">
      <alignment horizontal="center" vertical="center" wrapText="1"/>
    </xf>
    <xf numFmtId="1" fontId="3" fillId="0" borderId="32" xfId="0" applyNumberFormat="1" applyFont="1" applyFill="1" applyBorder="1" applyAlignment="1" applyProtection="1">
      <alignment horizontal="center" vertical="center" wrapText="1"/>
    </xf>
    <xf numFmtId="1" fontId="3" fillId="0" borderId="5" xfId="0" applyNumberFormat="1" applyFont="1" applyFill="1" applyBorder="1" applyAlignment="1" applyProtection="1">
      <alignment horizontal="center" vertical="center" wrapText="1"/>
      <protection hidden="1"/>
    </xf>
    <xf numFmtId="0" fontId="3" fillId="0" borderId="0" xfId="0" applyFont="1" applyFill="1" applyBorder="1" applyAlignment="1">
      <alignment horizontal="center" vertical="center" wrapText="1"/>
    </xf>
    <xf numFmtId="1" fontId="3" fillId="0" borderId="0" xfId="0" applyNumberFormat="1" applyFont="1" applyFill="1" applyBorder="1" applyAlignment="1">
      <alignment horizontal="center" vertical="center"/>
    </xf>
    <xf numFmtId="181" fontId="3" fillId="0" borderId="0" xfId="0" quotePrefix="1" applyNumberFormat="1" applyFont="1" applyFill="1" applyBorder="1" applyAlignment="1">
      <alignment horizontal="center" vertical="center" wrapText="1"/>
    </xf>
    <xf numFmtId="182" fontId="3" fillId="0" borderId="0" xfId="0" quotePrefix="1" applyNumberFormat="1" applyFont="1" applyFill="1" applyBorder="1" applyAlignment="1">
      <alignment horizontal="center" vertical="center" wrapText="1"/>
    </xf>
    <xf numFmtId="192" fontId="3" fillId="0" borderId="0" xfId="7" applyNumberFormat="1" applyFont="1" applyFill="1" applyBorder="1" applyAlignment="1">
      <alignment horizontal="center" vertical="center" wrapText="1"/>
    </xf>
    <xf numFmtId="192" fontId="3" fillId="0" borderId="0" xfId="0" applyNumberFormat="1" applyFont="1" applyFill="1" applyBorder="1" applyAlignment="1">
      <alignment horizontal="center" vertical="center" wrapText="1"/>
    </xf>
    <xf numFmtId="2" fontId="9" fillId="0" borderId="0" xfId="0" applyNumberFormat="1" applyFont="1" applyFill="1" applyBorder="1" applyAlignment="1">
      <alignment horizontal="center" vertical="center" wrapText="1"/>
    </xf>
    <xf numFmtId="166" fontId="3" fillId="0" borderId="0" xfId="0" applyNumberFormat="1" applyFont="1" applyFill="1" applyBorder="1" applyAlignment="1">
      <alignment horizontal="center" vertical="center" wrapText="1"/>
    </xf>
    <xf numFmtId="2" fontId="3" fillId="0" borderId="0" xfId="0" applyNumberFormat="1" applyFont="1" applyFill="1" applyBorder="1" applyAlignment="1">
      <alignment horizontal="center" vertical="center" wrapText="1"/>
    </xf>
    <xf numFmtId="0" fontId="39" fillId="0" borderId="0" xfId="0" applyFont="1" applyFill="1" applyBorder="1" applyAlignment="1">
      <alignment horizontal="center" vertical="center" wrapText="1"/>
    </xf>
    <xf numFmtId="1" fontId="3" fillId="0" borderId="0" xfId="0" applyNumberFormat="1" applyFont="1" applyFill="1" applyBorder="1" applyAlignment="1">
      <alignment horizontal="center" vertical="center" wrapText="1"/>
    </xf>
    <xf numFmtId="183" fontId="3" fillId="0" borderId="0" xfId="0" quotePrefix="1" applyNumberFormat="1" applyFont="1" applyFill="1" applyBorder="1" applyAlignment="1" applyProtection="1">
      <alignment horizontal="center" vertical="center" wrapText="1"/>
    </xf>
    <xf numFmtId="2" fontId="3" fillId="0" borderId="0" xfId="0" applyNumberFormat="1" applyFont="1" applyFill="1" applyBorder="1" applyAlignment="1">
      <alignment horizontal="center" vertical="center"/>
    </xf>
    <xf numFmtId="0" fontId="39" fillId="26" borderId="51" xfId="0" applyFont="1" applyFill="1" applyBorder="1" applyAlignment="1">
      <alignment horizontal="center" vertical="center" wrapText="1"/>
    </xf>
    <xf numFmtId="0" fontId="39" fillId="26" borderId="49" xfId="0" applyFont="1" applyFill="1" applyBorder="1" applyAlignment="1">
      <alignment horizontal="center" vertical="center" wrapText="1"/>
    </xf>
    <xf numFmtId="0" fontId="39" fillId="26" borderId="52" xfId="0" applyFont="1" applyFill="1" applyBorder="1" applyAlignment="1">
      <alignment horizontal="center" vertical="center" wrapText="1"/>
    </xf>
    <xf numFmtId="0" fontId="39" fillId="0" borderId="10" xfId="0" applyFont="1" applyFill="1" applyBorder="1" applyAlignment="1">
      <alignment horizontal="center" vertical="center" wrapText="1"/>
    </xf>
    <xf numFmtId="191" fontId="3" fillId="0" borderId="5" xfId="0" quotePrefix="1" applyNumberFormat="1" applyFont="1" applyFill="1" applyBorder="1" applyAlignment="1">
      <alignment horizontal="center" vertical="center" wrapText="1"/>
    </xf>
    <xf numFmtId="0" fontId="39" fillId="0" borderId="6" xfId="0" applyFont="1" applyFill="1" applyBorder="1" applyAlignment="1">
      <alignment horizontal="center" vertical="center" wrapText="1"/>
    </xf>
    <xf numFmtId="2" fontId="3" fillId="8" borderId="19" xfId="0" applyNumberFormat="1" applyFont="1" applyFill="1" applyBorder="1" applyAlignment="1">
      <alignment horizontal="center" vertical="center"/>
    </xf>
    <xf numFmtId="166" fontId="4" fillId="11" borderId="11" xfId="0" applyNumberFormat="1" applyFont="1" applyFill="1" applyBorder="1" applyAlignment="1" applyProtection="1">
      <alignment horizontal="center" vertical="center" wrapText="1"/>
      <protection locked="0"/>
    </xf>
    <xf numFmtId="166" fontId="4" fillId="11" borderId="12" xfId="0" applyNumberFormat="1" applyFont="1" applyFill="1" applyBorder="1" applyAlignment="1" applyProtection="1">
      <alignment horizontal="center" vertical="center" wrapText="1"/>
      <protection locked="0"/>
    </xf>
    <xf numFmtId="0" fontId="41" fillId="22" borderId="0" xfId="0" applyFont="1" applyFill="1" applyAlignment="1">
      <alignment horizontal="center" vertical="center" wrapText="1"/>
    </xf>
    <xf numFmtId="20" fontId="39" fillId="0" borderId="8" xfId="0" applyNumberFormat="1" applyFont="1" applyBorder="1" applyAlignment="1">
      <alignment horizontal="center" vertical="center"/>
    </xf>
    <xf numFmtId="0" fontId="3" fillId="0" borderId="0" xfId="0" applyFont="1" applyAlignment="1">
      <alignment vertical="center"/>
    </xf>
    <xf numFmtId="166" fontId="3" fillId="0" borderId="2" xfId="0" applyNumberFormat="1" applyFont="1" applyBorder="1" applyAlignment="1" applyProtection="1">
      <alignment horizontal="center" vertical="center"/>
      <protection hidden="1"/>
    </xf>
    <xf numFmtId="166" fontId="3" fillId="0" borderId="12" xfId="0" applyNumberFormat="1" applyFont="1" applyBorder="1" applyAlignment="1" applyProtection="1">
      <alignment horizontal="center" vertical="center"/>
      <protection hidden="1"/>
    </xf>
    <xf numFmtId="166" fontId="3" fillId="0" borderId="5" xfId="0" applyNumberFormat="1" applyFont="1" applyBorder="1" applyAlignment="1" applyProtection="1">
      <alignment horizontal="center" vertical="center"/>
      <protection hidden="1"/>
    </xf>
    <xf numFmtId="2" fontId="3" fillId="3" borderId="39" xfId="0" applyNumberFormat="1" applyFont="1" applyFill="1" applyBorder="1" applyAlignment="1" applyProtection="1">
      <alignment horizontal="center" vertical="center" wrapText="1"/>
    </xf>
    <xf numFmtId="2" fontId="3" fillId="3" borderId="41" xfId="0" applyNumberFormat="1" applyFont="1" applyFill="1" applyBorder="1" applyAlignment="1" applyProtection="1">
      <alignment horizontal="center" vertical="center" wrapText="1"/>
    </xf>
    <xf numFmtId="2" fontId="3" fillId="3" borderId="42" xfId="0" applyNumberFormat="1" applyFont="1" applyFill="1" applyBorder="1" applyAlignment="1" applyProtection="1">
      <alignment horizontal="center" vertical="center" wrapText="1"/>
    </xf>
    <xf numFmtId="166" fontId="3" fillId="0" borderId="6" xfId="0" applyNumberFormat="1" applyFont="1" applyBorder="1" applyAlignment="1" applyProtection="1">
      <alignment horizontal="center" vertical="center"/>
      <protection hidden="1"/>
    </xf>
    <xf numFmtId="166" fontId="3" fillId="0" borderId="3" xfId="0" applyNumberFormat="1" applyFont="1" applyBorder="1" applyAlignment="1" applyProtection="1">
      <alignment horizontal="center" vertical="center"/>
      <protection hidden="1"/>
    </xf>
    <xf numFmtId="166" fontId="3" fillId="0" borderId="10" xfId="0" applyNumberFormat="1" applyFont="1" applyBorder="1" applyAlignment="1" applyProtection="1">
      <alignment horizontal="center" vertical="center"/>
      <protection hidden="1"/>
    </xf>
    <xf numFmtId="0" fontId="28" fillId="6" borderId="13" xfId="0" applyFont="1" applyFill="1" applyBorder="1" applyAlignment="1" applyProtection="1">
      <alignment horizontal="center" vertical="center"/>
    </xf>
    <xf numFmtId="0" fontId="28" fillId="6" borderId="14" xfId="0" applyFont="1" applyFill="1" applyBorder="1" applyAlignment="1" applyProtection="1">
      <alignment horizontal="center" vertical="center"/>
    </xf>
    <xf numFmtId="0" fontId="28" fillId="6" borderId="4" xfId="0" applyFont="1" applyFill="1" applyBorder="1" applyAlignment="1" applyProtection="1">
      <alignment horizontal="center" vertical="center"/>
    </xf>
    <xf numFmtId="167" fontId="33" fillId="4" borderId="11" xfId="0" applyNumberFormat="1" applyFont="1" applyFill="1" applyBorder="1" applyAlignment="1" applyProtection="1">
      <alignment horizontal="center" vertical="center"/>
      <protection locked="0" hidden="1"/>
    </xf>
    <xf numFmtId="167" fontId="33" fillId="4" borderId="46" xfId="0" applyNumberFormat="1" applyFont="1" applyFill="1" applyBorder="1" applyAlignment="1" applyProtection="1">
      <alignment horizontal="center" vertical="center"/>
      <protection locked="0" hidden="1"/>
    </xf>
    <xf numFmtId="167" fontId="33" fillId="4" borderId="43" xfId="0" applyNumberFormat="1" applyFont="1" applyFill="1" applyBorder="1" applyAlignment="1" applyProtection="1">
      <alignment horizontal="center" vertical="center"/>
      <protection locked="0" hidden="1"/>
    </xf>
    <xf numFmtId="20" fontId="8" fillId="4" borderId="7" xfId="0" applyNumberFormat="1" applyFont="1" applyFill="1" applyBorder="1" applyAlignment="1" applyProtection="1">
      <alignment horizontal="center" vertical="center"/>
      <protection locked="0" hidden="1"/>
    </xf>
    <xf numFmtId="182" fontId="3" fillId="0" borderId="13" xfId="0" quotePrefix="1" applyNumberFormat="1" applyFont="1" applyFill="1" applyBorder="1" applyAlignment="1" applyProtection="1">
      <alignment horizontal="center" vertical="center" wrapText="1"/>
    </xf>
    <xf numFmtId="182" fontId="3" fillId="0" borderId="14" xfId="0" quotePrefix="1" applyNumberFormat="1" applyFont="1" applyFill="1" applyBorder="1" applyAlignment="1" applyProtection="1">
      <alignment horizontal="center" vertical="center" wrapText="1"/>
    </xf>
    <xf numFmtId="181" fontId="3" fillId="0" borderId="14" xfId="0" quotePrefix="1" applyNumberFormat="1" applyFont="1" applyFill="1" applyBorder="1" applyAlignment="1" applyProtection="1">
      <alignment horizontal="center" vertical="center" wrapText="1"/>
    </xf>
    <xf numFmtId="183" fontId="3" fillId="0" borderId="14" xfId="0" quotePrefix="1" applyNumberFormat="1" applyFont="1" applyFill="1" applyBorder="1" applyAlignment="1" applyProtection="1">
      <alignment horizontal="center" vertical="center" wrapText="1"/>
    </xf>
    <xf numFmtId="181" fontId="3" fillId="0" borderId="14" xfId="0" quotePrefix="1" applyNumberFormat="1" applyFont="1" applyFill="1" applyBorder="1" applyAlignment="1" applyProtection="1">
      <alignment horizontal="center" vertical="center" wrapText="1"/>
      <protection hidden="1"/>
    </xf>
    <xf numFmtId="183" fontId="3" fillId="0" borderId="14" xfId="0" quotePrefix="1" applyNumberFormat="1" applyFont="1" applyFill="1" applyBorder="1" applyAlignment="1" applyProtection="1">
      <alignment horizontal="center" vertical="center" wrapText="1"/>
      <protection hidden="1"/>
    </xf>
    <xf numFmtId="188" fontId="3" fillId="3" borderId="4" xfId="0" quotePrefix="1" applyNumberFormat="1" applyFont="1" applyFill="1" applyBorder="1" applyAlignment="1" applyProtection="1">
      <alignment horizontal="center" vertical="center" wrapText="1"/>
      <protection hidden="1"/>
    </xf>
    <xf numFmtId="0" fontId="3" fillId="0" borderId="0" xfId="0" applyFont="1" applyFill="1" applyAlignment="1" applyProtection="1">
      <alignment vertical="center" wrapText="1"/>
      <protection hidden="1"/>
    </xf>
    <xf numFmtId="1" fontId="41" fillId="7" borderId="32" xfId="0" applyNumberFormat="1" applyFont="1" applyFill="1" applyBorder="1" applyAlignment="1">
      <alignment horizontal="center" vertical="center"/>
    </xf>
    <xf numFmtId="165" fontId="9" fillId="9" borderId="2" xfId="0" applyNumberFormat="1" applyFont="1" applyFill="1" applyBorder="1" applyAlignment="1" applyProtection="1">
      <alignment horizontal="center" vertical="center"/>
    </xf>
    <xf numFmtId="165" fontId="8" fillId="6" borderId="3" xfId="0" applyNumberFormat="1" applyFont="1" applyFill="1" applyBorder="1" applyAlignment="1" applyProtection="1">
      <alignment horizontal="center" vertical="center"/>
    </xf>
    <xf numFmtId="165" fontId="8" fillId="8" borderId="12" xfId="0" applyNumberFormat="1" applyFont="1" applyFill="1" applyBorder="1" applyAlignment="1" applyProtection="1">
      <alignment horizontal="center" vertical="center"/>
    </xf>
    <xf numFmtId="191" fontId="41" fillId="32" borderId="50" xfId="0" applyNumberFormat="1" applyFont="1" applyFill="1" applyBorder="1" applyAlignment="1">
      <alignment horizontal="center" vertical="center"/>
    </xf>
    <xf numFmtId="182" fontId="41" fillId="32" borderId="50" xfId="0" applyNumberFormat="1" applyFont="1" applyFill="1" applyBorder="1" applyAlignment="1">
      <alignment horizontal="center" vertical="center"/>
    </xf>
    <xf numFmtId="191" fontId="41" fillId="32" borderId="1" xfId="0" applyNumberFormat="1" applyFont="1" applyFill="1" applyBorder="1" applyAlignment="1">
      <alignment horizontal="center" vertical="center"/>
    </xf>
    <xf numFmtId="191" fontId="41" fillId="32" borderId="2" xfId="0" applyNumberFormat="1" applyFont="1" applyFill="1" applyBorder="1" applyAlignment="1">
      <alignment horizontal="center" vertical="center"/>
    </xf>
    <xf numFmtId="191" fontId="41" fillId="32" borderId="5" xfId="0" applyNumberFormat="1" applyFont="1" applyFill="1" applyBorder="1" applyAlignment="1">
      <alignment horizontal="center" vertical="center"/>
    </xf>
    <xf numFmtId="0" fontId="8" fillId="8" borderId="37" xfId="0" applyFont="1" applyFill="1" applyBorder="1" applyAlignment="1" applyProtection="1">
      <alignment horizontal="center" vertical="center"/>
    </xf>
    <xf numFmtId="167" fontId="8" fillId="8" borderId="4" xfId="0" applyNumberFormat="1" applyFont="1" applyFill="1" applyBorder="1" applyAlignment="1" applyProtection="1">
      <alignment horizontal="center" vertical="center"/>
    </xf>
    <xf numFmtId="11" fontId="8" fillId="8" borderId="4" xfId="0" applyNumberFormat="1" applyFont="1" applyFill="1" applyBorder="1" applyAlignment="1" applyProtection="1">
      <alignment horizontal="center" vertical="center"/>
    </xf>
    <xf numFmtId="11" fontId="28" fillId="8" borderId="4" xfId="0" applyNumberFormat="1" applyFont="1" applyFill="1" applyBorder="1" applyAlignment="1" applyProtection="1">
      <alignment horizontal="center" vertical="center"/>
    </xf>
    <xf numFmtId="11" fontId="28" fillId="6" borderId="4" xfId="0" applyNumberFormat="1" applyFont="1" applyFill="1" applyBorder="1" applyAlignment="1" applyProtection="1">
      <alignment horizontal="center" vertical="center"/>
    </xf>
    <xf numFmtId="11" fontId="8" fillId="6" borderId="4" xfId="0" applyNumberFormat="1" applyFont="1" applyFill="1" applyBorder="1" applyAlignment="1" applyProtection="1">
      <alignment horizontal="center" vertical="center"/>
    </xf>
    <xf numFmtId="165" fontId="43" fillId="8" borderId="2" xfId="0" applyNumberFormat="1" applyFont="1" applyFill="1" applyBorder="1" applyAlignment="1" applyProtection="1">
      <alignment horizontal="center" vertical="center"/>
    </xf>
    <xf numFmtId="185" fontId="41" fillId="7" borderId="5" xfId="0" applyNumberFormat="1" applyFont="1" applyFill="1" applyBorder="1" applyAlignment="1">
      <alignment horizontal="center" vertical="center"/>
    </xf>
    <xf numFmtId="166" fontId="41" fillId="7" borderId="5" xfId="0" applyNumberFormat="1" applyFont="1" applyFill="1" applyBorder="1" applyAlignment="1">
      <alignment horizontal="center" vertical="center"/>
    </xf>
    <xf numFmtId="0" fontId="41" fillId="7" borderId="50" xfId="0" applyFont="1" applyFill="1" applyBorder="1" applyAlignment="1">
      <alignment horizontal="center" vertical="center"/>
    </xf>
    <xf numFmtId="0" fontId="41" fillId="7" borderId="46" xfId="0" applyFont="1" applyFill="1" applyBorder="1" applyAlignment="1">
      <alignment horizontal="center" vertical="center" wrapText="1"/>
    </xf>
    <xf numFmtId="1" fontId="41" fillId="7" borderId="2" xfId="0" applyNumberFormat="1" applyFont="1" applyFill="1" applyBorder="1" applyAlignment="1">
      <alignment horizontal="center" vertical="center"/>
    </xf>
    <xf numFmtId="1" fontId="41" fillId="7" borderId="5" xfId="0" applyNumberFormat="1" applyFont="1" applyFill="1" applyBorder="1" applyAlignment="1">
      <alignment horizontal="center" vertical="center"/>
    </xf>
    <xf numFmtId="182" fontId="3" fillId="0" borderId="5" xfId="0" quotePrefix="1" applyNumberFormat="1" applyFont="1" applyFill="1" applyBorder="1" applyAlignment="1">
      <alignment horizontal="center" vertical="center" wrapText="1"/>
    </xf>
    <xf numFmtId="2" fontId="3" fillId="8" borderId="11" xfId="0" applyNumberFormat="1" applyFont="1" applyFill="1" applyBorder="1" applyAlignment="1">
      <alignment horizontal="center" vertical="center"/>
    </xf>
    <xf numFmtId="2" fontId="3" fillId="8" borderId="32" xfId="0" applyNumberFormat="1" applyFont="1" applyFill="1" applyBorder="1" applyAlignment="1">
      <alignment horizontal="center" vertical="center"/>
    </xf>
    <xf numFmtId="2" fontId="3" fillId="8" borderId="33" xfId="0" applyNumberFormat="1" applyFont="1" applyFill="1" applyBorder="1" applyAlignment="1">
      <alignment horizontal="center" vertical="center"/>
    </xf>
    <xf numFmtId="2" fontId="3" fillId="8" borderId="40" xfId="0" applyNumberFormat="1" applyFont="1" applyFill="1" applyBorder="1" applyAlignment="1">
      <alignment horizontal="center" vertical="center"/>
    </xf>
    <xf numFmtId="166" fontId="3" fillId="8" borderId="19" xfId="0" applyNumberFormat="1" applyFont="1" applyFill="1" applyBorder="1" applyAlignment="1">
      <alignment horizontal="center" vertical="center"/>
    </xf>
    <xf numFmtId="166" fontId="3" fillId="8" borderId="19" xfId="0" applyNumberFormat="1" applyFont="1" applyFill="1" applyBorder="1" applyAlignment="1">
      <alignment horizontal="center" vertical="center" wrapText="1"/>
    </xf>
    <xf numFmtId="166" fontId="3" fillId="8" borderId="2" xfId="0" applyNumberFormat="1" applyFont="1" applyFill="1" applyBorder="1" applyAlignment="1">
      <alignment horizontal="center" vertical="center" wrapText="1"/>
    </xf>
    <xf numFmtId="166" fontId="3" fillId="8" borderId="10" xfId="0" applyNumberFormat="1" applyFont="1" applyFill="1" applyBorder="1" applyAlignment="1">
      <alignment horizontal="center" vertical="center" wrapText="1"/>
    </xf>
    <xf numFmtId="166" fontId="3" fillId="8" borderId="12" xfId="0" applyNumberFormat="1" applyFont="1" applyFill="1" applyBorder="1" applyAlignment="1">
      <alignment horizontal="center" vertical="center"/>
    </xf>
    <xf numFmtId="166" fontId="3" fillId="8" borderId="5" xfId="0" applyNumberFormat="1" applyFont="1" applyFill="1" applyBorder="1" applyAlignment="1">
      <alignment horizontal="center" vertical="center"/>
    </xf>
    <xf numFmtId="166" fontId="3" fillId="8" borderId="6" xfId="0" applyNumberFormat="1" applyFont="1" applyFill="1" applyBorder="1" applyAlignment="1">
      <alignment horizontal="center" vertical="center"/>
    </xf>
    <xf numFmtId="166" fontId="3" fillId="8" borderId="37" xfId="0" applyNumberFormat="1" applyFont="1" applyFill="1" applyBorder="1" applyAlignment="1">
      <alignment horizontal="center" vertical="center"/>
    </xf>
    <xf numFmtId="0" fontId="39" fillId="0" borderId="0" xfId="0" applyFont="1" applyAlignment="1" applyProtection="1">
      <alignment horizontal="left" vertical="center"/>
      <protection hidden="1"/>
    </xf>
    <xf numFmtId="0" fontId="39" fillId="0" borderId="0" xfId="0" applyFont="1" applyBorder="1" applyAlignment="1" applyProtection="1">
      <alignment horizontal="center" vertical="center" wrapText="1"/>
      <protection hidden="1"/>
    </xf>
    <xf numFmtId="0" fontId="28" fillId="0" borderId="38" xfId="0" applyFont="1" applyFill="1" applyBorder="1" applyAlignment="1" applyProtection="1">
      <alignment horizontal="center" vertical="center" wrapText="1"/>
      <protection hidden="1"/>
    </xf>
    <xf numFmtId="0" fontId="28" fillId="0" borderId="22" xfId="0" applyFont="1" applyBorder="1" applyAlignment="1" applyProtection="1">
      <alignment horizontal="center" vertical="center" wrapText="1"/>
      <protection hidden="1"/>
    </xf>
    <xf numFmtId="0" fontId="3" fillId="0" borderId="0" xfId="0" applyFont="1" applyAlignment="1" applyProtection="1">
      <alignment horizontal="center"/>
      <protection hidden="1"/>
    </xf>
    <xf numFmtId="0" fontId="39" fillId="0" borderId="0" xfId="0" applyFont="1" applyBorder="1" applyAlignment="1" applyProtection="1">
      <alignment horizontal="left" vertical="center" wrapText="1"/>
      <protection hidden="1"/>
    </xf>
    <xf numFmtId="49" fontId="39" fillId="0" borderId="0" xfId="0" applyNumberFormat="1" applyFont="1" applyAlignment="1" applyProtection="1">
      <alignment horizontal="right"/>
      <protection hidden="1"/>
    </xf>
    <xf numFmtId="0" fontId="3" fillId="0" borderId="0" xfId="0" applyFont="1" applyBorder="1" applyAlignment="1" applyProtection="1">
      <alignment horizontal="left" vertical="center" wrapText="1"/>
      <protection hidden="1"/>
    </xf>
    <xf numFmtId="0" fontId="3" fillId="0" borderId="0" xfId="0" applyFont="1" applyAlignment="1" applyProtection="1">
      <alignment horizontal="left" vertical="justify" wrapText="1"/>
      <protection hidden="1"/>
    </xf>
    <xf numFmtId="0" fontId="3" fillId="0" borderId="0" xfId="0" applyFont="1" applyAlignment="1" applyProtection="1">
      <alignment horizontal="left" vertical="center" wrapText="1"/>
      <protection hidden="1"/>
    </xf>
    <xf numFmtId="0" fontId="39" fillId="0" borderId="0" xfId="0" applyFont="1" applyAlignment="1" applyProtection="1">
      <alignment horizontal="center" vertical="center" wrapText="1"/>
      <protection hidden="1"/>
    </xf>
    <xf numFmtId="0" fontId="8" fillId="3" borderId="22" xfId="0" applyFont="1" applyFill="1" applyBorder="1" applyAlignment="1" applyProtection="1">
      <alignment horizontal="center" vertical="center" wrapText="1"/>
    </xf>
    <xf numFmtId="166" fontId="12" fillId="6" borderId="9" xfId="0" applyNumberFormat="1" applyFont="1" applyFill="1" applyBorder="1" applyAlignment="1">
      <alignment horizontal="right" vertical="center" wrapText="1"/>
    </xf>
    <xf numFmtId="166" fontId="12" fillId="6" borderId="8" xfId="0" applyNumberFormat="1" applyFont="1" applyFill="1" applyBorder="1" applyAlignment="1">
      <alignment horizontal="right" vertical="center" wrapText="1"/>
    </xf>
    <xf numFmtId="164" fontId="41" fillId="25" borderId="5" xfId="8" applyNumberFormat="1" applyFont="1" applyBorder="1" applyAlignment="1" applyProtection="1">
      <alignment horizontal="center" vertical="center" wrapText="1"/>
      <protection locked="0" hidden="1"/>
    </xf>
    <xf numFmtId="166" fontId="3" fillId="0" borderId="11" xfId="0" applyNumberFormat="1" applyFont="1" applyBorder="1" applyAlignment="1" applyProtection="1">
      <alignment horizontal="center" vertical="center"/>
      <protection hidden="1"/>
    </xf>
    <xf numFmtId="166" fontId="3" fillId="0" borderId="32" xfId="0" applyNumberFormat="1" applyFont="1" applyBorder="1" applyAlignment="1" applyProtection="1">
      <alignment horizontal="center" vertical="center"/>
      <protection hidden="1"/>
    </xf>
    <xf numFmtId="166" fontId="3" fillId="0" borderId="33" xfId="0" applyNumberFormat="1" applyFont="1" applyBorder="1" applyAlignment="1" applyProtection="1">
      <alignment horizontal="center" vertical="center"/>
      <protection hidden="1"/>
    </xf>
    <xf numFmtId="166" fontId="6" fillId="7" borderId="2" xfId="0" applyNumberFormat="1" applyFont="1" applyFill="1" applyBorder="1" applyAlignment="1">
      <alignment horizontal="center" vertical="center" wrapText="1"/>
    </xf>
    <xf numFmtId="166" fontId="4" fillId="11" borderId="58" xfId="0" applyNumberFormat="1" applyFont="1" applyFill="1" applyBorder="1" applyAlignment="1" applyProtection="1">
      <alignment horizontal="center" vertical="center" wrapText="1"/>
      <protection locked="0"/>
    </xf>
    <xf numFmtId="166" fontId="6" fillId="7" borderId="3" xfId="0" applyNumberFormat="1" applyFont="1" applyFill="1" applyBorder="1" applyAlignment="1">
      <alignment horizontal="center" vertical="center" wrapText="1"/>
    </xf>
    <xf numFmtId="166" fontId="6" fillId="7" borderId="10" xfId="0" applyNumberFormat="1" applyFont="1" applyFill="1" applyBorder="1" applyAlignment="1">
      <alignment horizontal="center" vertical="center" wrapText="1"/>
    </xf>
    <xf numFmtId="0" fontId="41" fillId="22" borderId="0" xfId="0" applyFont="1" applyFill="1" applyBorder="1" applyAlignment="1">
      <alignment horizontal="center" vertical="center"/>
    </xf>
    <xf numFmtId="0" fontId="2" fillId="0" borderId="0" xfId="0" applyFont="1" applyProtection="1">
      <protection hidden="1"/>
    </xf>
    <xf numFmtId="0" fontId="2" fillId="0" borderId="0" xfId="0" applyFont="1" applyAlignment="1" applyProtection="1">
      <alignment horizontal="center"/>
      <protection hidden="1"/>
    </xf>
    <xf numFmtId="0" fontId="2" fillId="0" borderId="0" xfId="0" applyFont="1" applyAlignment="1" applyProtection="1">
      <alignment horizontal="center" vertical="center" wrapText="1"/>
      <protection hidden="1"/>
    </xf>
    <xf numFmtId="0" fontId="2" fillId="0" borderId="0" xfId="0" applyFont="1" applyAlignment="1" applyProtection="1">
      <alignment horizontal="left" vertical="center" wrapText="1"/>
      <protection hidden="1"/>
    </xf>
    <xf numFmtId="0" fontId="2" fillId="0" borderId="0" xfId="0" applyFont="1" applyBorder="1" applyAlignment="1" applyProtection="1">
      <alignment vertical="center" wrapText="1"/>
      <protection hidden="1"/>
    </xf>
    <xf numFmtId="0" fontId="2" fillId="0" borderId="0" xfId="0" applyFont="1" applyBorder="1" applyAlignment="1" applyProtection="1">
      <alignment horizontal="left" vertical="center" wrapText="1"/>
      <protection hidden="1"/>
    </xf>
    <xf numFmtId="14" fontId="2" fillId="0" borderId="0" xfId="0" applyNumberFormat="1" applyFont="1" applyAlignment="1" applyProtection="1">
      <alignment horizontal="left" vertical="center" wrapText="1"/>
      <protection hidden="1"/>
    </xf>
    <xf numFmtId="0" fontId="2" fillId="0" borderId="0" xfId="0" applyFont="1" applyAlignment="1" applyProtection="1">
      <protection hidden="1"/>
    </xf>
    <xf numFmtId="0" fontId="2" fillId="0" borderId="0" xfId="0" applyNumberFormat="1" applyFont="1" applyAlignment="1" applyProtection="1">
      <alignment horizontal="center"/>
      <protection hidden="1"/>
    </xf>
    <xf numFmtId="0" fontId="2" fillId="0" borderId="0" xfId="0" applyFont="1" applyAlignment="1" applyProtection="1">
      <alignment horizontal="left" vertical="justify" wrapText="1"/>
      <protection hidden="1"/>
    </xf>
    <xf numFmtId="185" fontId="2" fillId="0" borderId="22" xfId="0" applyNumberFormat="1" applyFont="1" applyBorder="1" applyAlignment="1" applyProtection="1">
      <alignment horizontal="center" vertical="center" wrapText="1"/>
      <protection hidden="1"/>
    </xf>
    <xf numFmtId="0" fontId="2" fillId="0" borderId="17" xfId="0" applyFont="1" applyBorder="1" applyAlignment="1" applyProtection="1">
      <alignment horizontal="center" vertical="center" wrapText="1"/>
      <protection hidden="1"/>
    </xf>
    <xf numFmtId="1" fontId="2" fillId="0" borderId="22" xfId="0" applyNumberFormat="1" applyFont="1" applyBorder="1" applyAlignment="1" applyProtection="1">
      <alignment horizontal="center" vertical="center" wrapText="1"/>
      <protection hidden="1"/>
    </xf>
    <xf numFmtId="0" fontId="2" fillId="0" borderId="16" xfId="0" applyFont="1" applyBorder="1" applyAlignment="1" applyProtection="1">
      <alignment horizontal="center" vertical="center" wrapText="1"/>
      <protection hidden="1"/>
    </xf>
    <xf numFmtId="1" fontId="2" fillId="3" borderId="22" xfId="0" applyNumberFormat="1" applyFont="1" applyFill="1" applyBorder="1" applyAlignment="1" applyProtection="1">
      <alignment horizontal="center" vertical="center" wrapText="1"/>
      <protection hidden="1"/>
    </xf>
    <xf numFmtId="0" fontId="2" fillId="3" borderId="17" xfId="0" applyFont="1" applyFill="1" applyBorder="1" applyAlignment="1" applyProtection="1">
      <alignment horizontal="center" vertical="center" wrapText="1"/>
      <protection hidden="1"/>
    </xf>
    <xf numFmtId="0" fontId="2" fillId="3" borderId="16" xfId="0" applyFont="1" applyFill="1" applyBorder="1" applyAlignment="1" applyProtection="1">
      <alignment horizontal="center" vertical="center" wrapText="1"/>
      <protection hidden="1"/>
    </xf>
    <xf numFmtId="0" fontId="2" fillId="0" borderId="0" xfId="0" applyFont="1" applyAlignment="1" applyProtection="1">
      <alignment horizontal="justify" vertical="center" wrapText="1"/>
      <protection hidden="1"/>
    </xf>
    <xf numFmtId="0" fontId="2" fillId="0" borderId="0" xfId="0" applyFont="1" applyAlignment="1" applyProtection="1">
      <alignment horizontal="justify" vertical="justify" wrapText="1"/>
      <protection hidden="1"/>
    </xf>
    <xf numFmtId="1" fontId="2" fillId="3" borderId="0" xfId="0" quotePrefix="1" applyNumberFormat="1" applyFont="1" applyFill="1" applyBorder="1" applyAlignment="1" applyProtection="1">
      <alignment horizontal="center" vertical="center" wrapText="1"/>
      <protection hidden="1"/>
    </xf>
    <xf numFmtId="166" fontId="2" fillId="0" borderId="0" xfId="0" applyNumberFormat="1" applyFont="1" applyFill="1" applyBorder="1" applyAlignment="1" applyProtection="1">
      <alignment horizontal="center" vertical="center" wrapText="1"/>
      <protection hidden="1"/>
    </xf>
    <xf numFmtId="2" fontId="2" fillId="3" borderId="0" xfId="0" applyNumberFormat="1" applyFont="1" applyFill="1" applyBorder="1" applyAlignment="1" applyProtection="1">
      <alignment horizontal="center" vertical="center" wrapText="1"/>
      <protection hidden="1"/>
    </xf>
    <xf numFmtId="0" fontId="2" fillId="3" borderId="0" xfId="0" applyFont="1" applyFill="1" applyAlignment="1" applyProtection="1">
      <alignment horizontal="justify" vertical="justify" wrapText="1"/>
      <protection hidden="1"/>
    </xf>
    <xf numFmtId="0" fontId="2" fillId="3" borderId="0" xfId="0" applyFont="1" applyFill="1" applyAlignment="1" applyProtection="1">
      <alignment vertical="justify" wrapText="1"/>
      <protection hidden="1"/>
    </xf>
    <xf numFmtId="0" fontId="2" fillId="0" borderId="0" xfId="0" applyFont="1" applyAlignment="1" applyProtection="1">
      <alignment horizontal="justify" vertical="center"/>
      <protection hidden="1"/>
    </xf>
    <xf numFmtId="0" fontId="2" fillId="10" borderId="0" xfId="0" applyFont="1" applyFill="1" applyAlignment="1" applyProtection="1">
      <alignment horizontal="center"/>
      <protection hidden="1"/>
    </xf>
    <xf numFmtId="0" fontId="2" fillId="0" borderId="28" xfId="0" applyFont="1" applyBorder="1" applyAlignment="1" applyProtection="1">
      <protection hidden="1"/>
    </xf>
    <xf numFmtId="0" fontId="3" fillId="0" borderId="0" xfId="0" applyFont="1" applyAlignment="1" applyProtection="1">
      <alignment vertical="justify" wrapText="1"/>
      <protection hidden="1"/>
    </xf>
    <xf numFmtId="0" fontId="39" fillId="0" borderId="0" xfId="0" applyFont="1" applyFill="1" applyAlignment="1" applyProtection="1">
      <alignment vertical="center"/>
      <protection hidden="1"/>
    </xf>
    <xf numFmtId="0" fontId="39" fillId="0" borderId="0" xfId="0" applyNumberFormat="1" applyFont="1" applyAlignment="1" applyProtection="1">
      <alignment vertical="center" wrapText="1"/>
      <protection hidden="1"/>
    </xf>
    <xf numFmtId="2" fontId="41" fillId="24" borderId="2" xfId="2" applyNumberFormat="1" applyFont="1" applyFill="1" applyBorder="1" applyAlignment="1" applyProtection="1">
      <alignment horizontal="center" vertical="center"/>
      <protection locked="0" hidden="1"/>
    </xf>
    <xf numFmtId="1" fontId="41" fillId="24" borderId="2" xfId="2" applyNumberFormat="1" applyFont="1" applyFill="1" applyBorder="1" applyAlignment="1" applyProtection="1">
      <alignment horizontal="center" vertical="center"/>
      <protection locked="0" hidden="1"/>
    </xf>
    <xf numFmtId="2" fontId="39" fillId="8" borderId="22" xfId="0" applyNumberFormat="1" applyFont="1" applyFill="1" applyBorder="1" applyAlignment="1" applyProtection="1">
      <alignment horizontal="center" vertical="center" wrapText="1"/>
      <protection hidden="1"/>
    </xf>
    <xf numFmtId="165" fontId="39" fillId="8" borderId="22" xfId="0" applyNumberFormat="1" applyFont="1" applyFill="1" applyBorder="1" applyAlignment="1" applyProtection="1">
      <alignment horizontal="center" vertical="center" wrapText="1"/>
      <protection hidden="1"/>
    </xf>
    <xf numFmtId="0" fontId="28" fillId="6" borderId="8" xfId="0" applyFont="1" applyFill="1" applyBorder="1" applyAlignment="1" applyProtection="1">
      <alignment horizontal="center" vertical="center"/>
    </xf>
    <xf numFmtId="0" fontId="8" fillId="6" borderId="2" xfId="0" applyFont="1" applyFill="1" applyBorder="1" applyAlignment="1" applyProtection="1">
      <alignment horizontal="center" vertical="center"/>
    </xf>
    <xf numFmtId="0" fontId="12" fillId="6" borderId="46" xfId="0" applyFont="1" applyFill="1" applyBorder="1" applyAlignment="1" applyProtection="1">
      <alignment horizontal="center" vertical="center" wrapText="1"/>
    </xf>
    <xf numFmtId="0" fontId="8" fillId="6" borderId="1" xfId="0" applyFont="1" applyFill="1" applyBorder="1" applyAlignment="1" applyProtection="1">
      <alignment horizontal="center" vertical="center"/>
    </xf>
    <xf numFmtId="0" fontId="8" fillId="7" borderId="1" xfId="0" applyFont="1" applyFill="1" applyBorder="1" applyAlignment="1" applyProtection="1">
      <alignment horizontal="center" vertical="center"/>
    </xf>
    <xf numFmtId="0" fontId="8" fillId="9" borderId="1" xfId="0" applyFont="1" applyFill="1" applyBorder="1" applyAlignment="1" applyProtection="1">
      <alignment horizontal="center" vertical="center"/>
    </xf>
    <xf numFmtId="1" fontId="45" fillId="8" borderId="1" xfId="0" applyNumberFormat="1" applyFont="1" applyFill="1" applyBorder="1" applyAlignment="1" applyProtection="1">
      <alignment horizontal="center" vertical="center"/>
      <protection hidden="1"/>
    </xf>
    <xf numFmtId="0" fontId="12" fillId="6" borderId="7" xfId="0" applyFont="1" applyFill="1" applyBorder="1" applyAlignment="1" applyProtection="1">
      <alignment horizontal="center" vertical="center" wrapText="1"/>
    </xf>
    <xf numFmtId="0" fontId="28" fillId="6" borderId="8" xfId="0" applyFont="1" applyFill="1" applyBorder="1" applyAlignment="1" applyProtection="1">
      <alignment vertical="top" wrapText="1"/>
    </xf>
    <xf numFmtId="165" fontId="28" fillId="6" borderId="8" xfId="0" applyNumberFormat="1" applyFont="1" applyFill="1" applyBorder="1" applyAlignment="1" applyProtection="1">
      <alignment horizontal="center" vertical="center"/>
    </xf>
    <xf numFmtId="1" fontId="45" fillId="8" borderId="8" xfId="0" applyNumberFormat="1" applyFont="1" applyFill="1" applyBorder="1" applyAlignment="1" applyProtection="1">
      <alignment horizontal="center" vertical="center"/>
      <protection hidden="1"/>
    </xf>
    <xf numFmtId="0" fontId="12" fillId="6" borderId="58" xfId="0" applyFont="1" applyFill="1" applyBorder="1" applyAlignment="1" applyProtection="1">
      <alignment horizontal="center" vertical="center" wrapText="1"/>
    </xf>
    <xf numFmtId="0" fontId="8" fillId="6" borderId="20" xfId="0" applyFont="1" applyFill="1" applyBorder="1" applyProtection="1"/>
    <xf numFmtId="2" fontId="8" fillId="7" borderId="20" xfId="0" applyNumberFormat="1" applyFont="1" applyFill="1" applyBorder="1" applyAlignment="1" applyProtection="1">
      <alignment horizontal="center" vertical="center"/>
    </xf>
    <xf numFmtId="0" fontId="8" fillId="7" borderId="20" xfId="0" applyFont="1" applyFill="1" applyBorder="1" applyAlignment="1" applyProtection="1">
      <alignment horizontal="center" vertical="center"/>
    </xf>
    <xf numFmtId="1" fontId="45" fillId="8" borderId="20" xfId="0" applyNumberFormat="1" applyFont="1" applyFill="1" applyBorder="1" applyAlignment="1" applyProtection="1">
      <alignment horizontal="center" vertical="center"/>
      <protection hidden="1"/>
    </xf>
    <xf numFmtId="2" fontId="8" fillId="9" borderId="1" xfId="0" applyNumberFormat="1" applyFont="1" applyFill="1" applyBorder="1" applyAlignment="1" applyProtection="1">
      <alignment horizontal="center" vertical="center"/>
    </xf>
    <xf numFmtId="1" fontId="28" fillId="8" borderId="1" xfId="0" applyNumberFormat="1" applyFont="1" applyFill="1" applyBorder="1" applyAlignment="1" applyProtection="1">
      <alignment horizontal="center" vertical="center"/>
      <protection hidden="1"/>
    </xf>
    <xf numFmtId="0" fontId="28" fillId="6" borderId="8" xfId="0" applyFont="1" applyFill="1" applyBorder="1" applyProtection="1"/>
    <xf numFmtId="2" fontId="28" fillId="6" borderId="8" xfId="0" applyNumberFormat="1" applyFont="1" applyFill="1" applyBorder="1" applyAlignment="1" applyProtection="1">
      <alignment horizontal="center" vertical="center"/>
    </xf>
    <xf numFmtId="1" fontId="45" fillId="8" borderId="8" xfId="0" applyNumberFormat="1" applyFont="1" applyFill="1" applyBorder="1" applyAlignment="1" applyProtection="1">
      <alignment horizontal="center" vertical="center"/>
    </xf>
    <xf numFmtId="0" fontId="8" fillId="6" borderId="20" xfId="0" applyFont="1" applyFill="1" applyBorder="1" applyAlignment="1" applyProtection="1">
      <alignment horizontal="center" vertical="center"/>
    </xf>
    <xf numFmtId="1" fontId="8" fillId="7" borderId="20" xfId="0" applyNumberFormat="1" applyFont="1" applyFill="1" applyBorder="1" applyAlignment="1" applyProtection="1">
      <alignment horizontal="center" vertical="center"/>
    </xf>
    <xf numFmtId="1" fontId="28" fillId="8" borderId="20" xfId="0" applyNumberFormat="1" applyFont="1" applyFill="1" applyBorder="1" applyAlignment="1" applyProtection="1">
      <alignment horizontal="center" vertical="center"/>
      <protection hidden="1"/>
    </xf>
    <xf numFmtId="0" fontId="12" fillId="8" borderId="43" xfId="0" applyFont="1" applyFill="1" applyBorder="1" applyAlignment="1" applyProtection="1">
      <alignment horizontal="center" vertical="center" wrapText="1"/>
    </xf>
    <xf numFmtId="0" fontId="28" fillId="8" borderId="48" xfId="0" applyFont="1" applyFill="1" applyBorder="1" applyProtection="1"/>
    <xf numFmtId="167" fontId="8" fillId="8" borderId="48" xfId="0" applyNumberFormat="1" applyFont="1" applyFill="1" applyBorder="1" applyAlignment="1" applyProtection="1">
      <alignment horizontal="center" vertical="center"/>
    </xf>
    <xf numFmtId="0" fontId="28" fillId="8" borderId="48" xfId="0" applyFont="1" applyFill="1" applyBorder="1" applyAlignment="1" applyProtection="1">
      <alignment horizontal="center" vertical="center"/>
    </xf>
    <xf numFmtId="1" fontId="28" fillId="8" borderId="48" xfId="0" applyNumberFormat="1" applyFont="1" applyFill="1" applyBorder="1" applyAlignment="1" applyProtection="1">
      <alignment horizontal="center" vertical="center"/>
      <protection hidden="1"/>
    </xf>
    <xf numFmtId="0" fontId="8" fillId="8" borderId="55" xfId="0" applyFont="1" applyFill="1" applyBorder="1" applyAlignment="1" applyProtection="1">
      <alignment horizontal="center" vertical="center"/>
    </xf>
    <xf numFmtId="0" fontId="12" fillId="6" borderId="43" xfId="0" applyFont="1" applyFill="1" applyBorder="1" applyAlignment="1" applyProtection="1">
      <alignment horizontal="center" vertical="center" wrapText="1"/>
    </xf>
    <xf numFmtId="0" fontId="28" fillId="6" borderId="48" xfId="0" applyFont="1" applyFill="1" applyBorder="1" applyProtection="1"/>
    <xf numFmtId="167" fontId="28" fillId="6" borderId="48" xfId="0" applyNumberFormat="1" applyFont="1" applyFill="1" applyBorder="1" applyAlignment="1" applyProtection="1">
      <alignment horizontal="center" vertical="center"/>
    </xf>
    <xf numFmtId="1" fontId="45" fillId="8" borderId="55" xfId="0" applyNumberFormat="1" applyFont="1" applyFill="1" applyBorder="1" applyAlignment="1" applyProtection="1">
      <alignment horizontal="center" vertical="center"/>
      <protection hidden="1"/>
    </xf>
    <xf numFmtId="0" fontId="28" fillId="8" borderId="8" xfId="0" applyFont="1" applyFill="1" applyBorder="1" applyAlignment="1" applyProtection="1">
      <alignment horizontal="center" vertical="center"/>
    </xf>
    <xf numFmtId="167" fontId="28" fillId="6" borderId="8" xfId="0" applyNumberFormat="1" applyFont="1" applyFill="1" applyBorder="1" applyAlignment="1" applyProtection="1">
      <alignment horizontal="center" vertical="center"/>
    </xf>
    <xf numFmtId="1" fontId="45" fillId="8" borderId="9" xfId="0" applyNumberFormat="1" applyFont="1" applyFill="1" applyBorder="1" applyAlignment="1" applyProtection="1">
      <alignment horizontal="center" vertical="center"/>
      <protection hidden="1"/>
    </xf>
    <xf numFmtId="2" fontId="28" fillId="8" borderId="2" xfId="0" applyNumberFormat="1" applyFont="1" applyFill="1" applyBorder="1" applyAlignment="1" applyProtection="1">
      <alignment horizontal="center" vertical="center"/>
    </xf>
    <xf numFmtId="165" fontId="28" fillId="8" borderId="2" xfId="0" applyNumberFormat="1" applyFont="1" applyFill="1" applyBorder="1" applyAlignment="1" applyProtection="1">
      <alignment horizontal="center" vertical="center"/>
    </xf>
    <xf numFmtId="1" fontId="1" fillId="14" borderId="32" xfId="2" applyNumberFormat="1" applyFont="1" applyBorder="1" applyAlignment="1" applyProtection="1">
      <alignment horizontal="center" vertical="center"/>
      <protection locked="0" hidden="1"/>
    </xf>
    <xf numFmtId="1" fontId="28" fillId="8" borderId="30" xfId="0" applyNumberFormat="1" applyFont="1" applyFill="1" applyBorder="1" applyAlignment="1" applyProtection="1">
      <alignment horizontal="center" vertical="center"/>
      <protection hidden="1"/>
    </xf>
    <xf numFmtId="1" fontId="54" fillId="8" borderId="47" xfId="0" applyNumberFormat="1" applyFont="1" applyFill="1" applyBorder="1" applyAlignment="1" applyProtection="1">
      <alignment horizontal="center" vertical="center"/>
      <protection hidden="1"/>
    </xf>
    <xf numFmtId="1" fontId="54" fillId="8" borderId="74" xfId="0" applyNumberFormat="1" applyFont="1" applyFill="1" applyBorder="1" applyAlignment="1" applyProtection="1">
      <alignment horizontal="center" vertical="center"/>
      <protection hidden="1"/>
    </xf>
    <xf numFmtId="1" fontId="54" fillId="8" borderId="14" xfId="0" applyNumberFormat="1" applyFont="1" applyFill="1" applyBorder="1" applyAlignment="1" applyProtection="1">
      <alignment horizontal="center" vertical="center"/>
      <protection hidden="1"/>
    </xf>
    <xf numFmtId="0" fontId="47" fillId="15" borderId="22" xfId="0" applyFont="1" applyFill="1" applyBorder="1" applyAlignment="1" applyProtection="1">
      <alignment horizontal="center" wrapText="1"/>
    </xf>
    <xf numFmtId="11" fontId="28" fillId="6" borderId="23" xfId="0" applyNumberFormat="1" applyFont="1" applyFill="1" applyBorder="1" applyAlignment="1" applyProtection="1">
      <alignment horizontal="center" vertical="center"/>
    </xf>
    <xf numFmtId="11" fontId="28" fillId="6" borderId="16" xfId="0" applyNumberFormat="1" applyFont="1" applyFill="1" applyBorder="1" applyAlignment="1" applyProtection="1">
      <alignment horizontal="center" vertical="center"/>
    </xf>
    <xf numFmtId="190" fontId="8" fillId="0" borderId="0" xfId="0" applyNumberFormat="1" applyFont="1" applyProtection="1">
      <protection hidden="1"/>
    </xf>
    <xf numFmtId="11" fontId="28" fillId="8" borderId="8" xfId="0" applyNumberFormat="1" applyFont="1" applyFill="1" applyBorder="1" applyAlignment="1" applyProtection="1">
      <alignment horizontal="center" vertical="center"/>
    </xf>
    <xf numFmtId="165" fontId="8" fillId="7" borderId="20" xfId="0" applyNumberFormat="1" applyFont="1" applyFill="1" applyBorder="1" applyAlignment="1" applyProtection="1">
      <alignment horizontal="center" vertical="center"/>
    </xf>
    <xf numFmtId="167" fontId="28" fillId="8" borderId="48" xfId="0" applyNumberFormat="1" applyFont="1" applyFill="1" applyBorder="1" applyAlignment="1" applyProtection="1">
      <alignment horizontal="center" vertical="center"/>
    </xf>
    <xf numFmtId="1" fontId="45" fillId="8" borderId="67" xfId="0" applyNumberFormat="1" applyFont="1" applyFill="1" applyBorder="1" applyAlignment="1" applyProtection="1">
      <alignment horizontal="center" vertical="center"/>
      <protection hidden="1"/>
    </xf>
    <xf numFmtId="0" fontId="42" fillId="8" borderId="7" xfId="0" applyFont="1" applyFill="1" applyBorder="1" applyAlignment="1" applyProtection="1">
      <alignment horizontal="center" vertical="center" wrapText="1"/>
      <protection hidden="1"/>
    </xf>
    <xf numFmtId="0" fontId="52" fillId="8" borderId="8" xfId="0" applyFont="1" applyFill="1" applyBorder="1" applyAlignment="1" applyProtection="1">
      <alignment horizontal="center" vertical="center" wrapText="1"/>
      <protection hidden="1"/>
    </xf>
    <xf numFmtId="0" fontId="52" fillId="8" borderId="9" xfId="0" applyFont="1" applyFill="1" applyBorder="1" applyAlignment="1" applyProtection="1">
      <alignment horizontal="center" vertical="center" wrapText="1"/>
      <protection hidden="1"/>
    </xf>
    <xf numFmtId="0" fontId="42" fillId="8" borderId="8" xfId="0" applyFont="1" applyFill="1" applyBorder="1" applyAlignment="1" applyProtection="1">
      <alignment horizontal="center" vertical="center" wrapText="1"/>
      <protection hidden="1"/>
    </xf>
    <xf numFmtId="0" fontId="42" fillId="8" borderId="9" xfId="0" applyFont="1" applyFill="1" applyBorder="1" applyAlignment="1" applyProtection="1">
      <alignment horizontal="center" vertical="center" wrapText="1"/>
      <protection hidden="1"/>
    </xf>
    <xf numFmtId="0" fontId="8" fillId="0" borderId="11" xfId="0" applyFont="1" applyFill="1" applyBorder="1" applyAlignment="1" applyProtection="1">
      <alignment horizontal="center" vertical="center" wrapText="1"/>
      <protection hidden="1"/>
    </xf>
    <xf numFmtId="191" fontId="8" fillId="0" borderId="13" xfId="0" quotePrefix="1" applyNumberFormat="1" applyFont="1" applyFill="1" applyBorder="1" applyAlignment="1" applyProtection="1">
      <alignment horizontal="center" vertical="center" wrapText="1"/>
    </xf>
    <xf numFmtId="166" fontId="8" fillId="0" borderId="46" xfId="0" applyNumberFormat="1" applyFont="1" applyBorder="1" applyAlignment="1" applyProtection="1">
      <alignment horizontal="center" vertical="center"/>
      <protection hidden="1"/>
    </xf>
    <xf numFmtId="166" fontId="8" fillId="0" borderId="1" xfId="0" applyNumberFormat="1" applyFont="1" applyBorder="1" applyAlignment="1" applyProtection="1">
      <alignment horizontal="center" vertical="center"/>
      <protection hidden="1"/>
    </xf>
    <xf numFmtId="166" fontId="8" fillId="0" borderId="0" xfId="0" applyNumberFormat="1" applyFont="1" applyAlignment="1" applyProtection="1">
      <alignment horizontal="center" vertical="center"/>
      <protection hidden="1"/>
    </xf>
    <xf numFmtId="2" fontId="8" fillId="3" borderId="39" xfId="0" applyNumberFormat="1" applyFont="1" applyFill="1" applyBorder="1" applyAlignment="1" applyProtection="1">
      <alignment horizontal="center" vertical="center" wrapText="1"/>
    </xf>
    <xf numFmtId="0" fontId="8" fillId="0" borderId="3" xfId="0" applyFont="1" applyFill="1" applyBorder="1" applyAlignment="1" applyProtection="1">
      <alignment horizontal="center" vertical="center" wrapText="1"/>
      <protection hidden="1"/>
    </xf>
    <xf numFmtId="191" fontId="8" fillId="0" borderId="14" xfId="0" quotePrefix="1" applyNumberFormat="1" applyFont="1" applyFill="1" applyBorder="1" applyAlignment="1" applyProtection="1">
      <alignment horizontal="center" vertical="center" wrapText="1"/>
    </xf>
    <xf numFmtId="166" fontId="8" fillId="0" borderId="3" xfId="0" applyNumberFormat="1" applyFont="1" applyBorder="1" applyAlignment="1" applyProtection="1">
      <alignment horizontal="center" vertical="center"/>
      <protection hidden="1"/>
    </xf>
    <xf numFmtId="166" fontId="8" fillId="0" borderId="2" xfId="0" applyNumberFormat="1" applyFont="1" applyBorder="1" applyAlignment="1" applyProtection="1">
      <alignment horizontal="center" vertical="center"/>
      <protection hidden="1"/>
    </xf>
    <xf numFmtId="166" fontId="8" fillId="0" borderId="10" xfId="0" applyNumberFormat="1" applyFont="1" applyBorder="1" applyAlignment="1" applyProtection="1">
      <alignment horizontal="center" vertical="center"/>
      <protection hidden="1"/>
    </xf>
    <xf numFmtId="2" fontId="8" fillId="3" borderId="41" xfId="0" applyNumberFormat="1" applyFont="1" applyFill="1" applyBorder="1" applyAlignment="1" applyProtection="1">
      <alignment horizontal="center" vertical="center" wrapText="1"/>
    </xf>
    <xf numFmtId="182" fontId="8" fillId="0" borderId="14" xfId="0" quotePrefix="1" applyNumberFormat="1" applyFont="1" applyFill="1" applyBorder="1" applyAlignment="1" applyProtection="1">
      <alignment horizontal="center" vertical="center" wrapText="1"/>
    </xf>
    <xf numFmtId="0" fontId="8" fillId="0" borderId="12" xfId="0" applyFont="1" applyFill="1" applyBorder="1" applyAlignment="1" applyProtection="1">
      <alignment horizontal="center" vertical="center" wrapText="1"/>
      <protection hidden="1"/>
    </xf>
    <xf numFmtId="182" fontId="8" fillId="0" borderId="4" xfId="0" quotePrefix="1" applyNumberFormat="1" applyFont="1" applyFill="1" applyBorder="1" applyAlignment="1" applyProtection="1">
      <alignment horizontal="center" vertical="center" wrapText="1"/>
    </xf>
    <xf numFmtId="166" fontId="8" fillId="0" borderId="12" xfId="0" applyNumberFormat="1" applyFont="1" applyBorder="1" applyAlignment="1" applyProtection="1">
      <alignment horizontal="center" vertical="center"/>
      <protection hidden="1"/>
    </xf>
    <xf numFmtId="166" fontId="8" fillId="0" borderId="5" xfId="0" applyNumberFormat="1" applyFont="1" applyBorder="1" applyAlignment="1" applyProtection="1">
      <alignment horizontal="center" vertical="center"/>
      <protection hidden="1"/>
    </xf>
    <xf numFmtId="166" fontId="8" fillId="0" borderId="6" xfId="0" applyNumberFormat="1" applyFont="1" applyBorder="1" applyAlignment="1" applyProtection="1">
      <alignment horizontal="center" vertical="center"/>
      <protection hidden="1"/>
    </xf>
    <xf numFmtId="2" fontId="8" fillId="3" borderId="42" xfId="0" applyNumberFormat="1" applyFont="1" applyFill="1" applyBorder="1" applyAlignment="1" applyProtection="1">
      <alignment horizontal="center" vertical="center" wrapText="1"/>
    </xf>
    <xf numFmtId="0" fontId="28" fillId="8" borderId="15" xfId="0" applyFont="1" applyFill="1" applyBorder="1" applyAlignment="1" applyProtection="1">
      <alignment horizontal="center" vertical="center" wrapText="1"/>
    </xf>
    <xf numFmtId="0" fontId="28" fillId="8" borderId="16" xfId="0" applyFont="1" applyFill="1" applyBorder="1" applyAlignment="1" applyProtection="1">
      <alignment horizontal="center" vertical="center" wrapText="1"/>
    </xf>
    <xf numFmtId="2" fontId="28" fillId="8" borderId="22" xfId="0" applyNumberFormat="1" applyFont="1" applyFill="1" applyBorder="1" applyAlignment="1" applyProtection="1">
      <alignment horizontal="center" vertical="center" wrapText="1"/>
      <protection hidden="1"/>
    </xf>
    <xf numFmtId="166" fontId="45" fillId="8" borderId="15" xfId="0" applyNumberFormat="1" applyFont="1" applyFill="1" applyBorder="1" applyAlignment="1" applyProtection="1">
      <alignment horizontal="center" vertical="center"/>
      <protection hidden="1"/>
    </xf>
    <xf numFmtId="2" fontId="45" fillId="8" borderId="22" xfId="0" applyNumberFormat="1" applyFont="1" applyFill="1" applyBorder="1" applyAlignment="1" applyProtection="1">
      <alignment horizontal="center" vertical="center"/>
    </xf>
    <xf numFmtId="9" fontId="28" fillId="8" borderId="16" xfId="7" applyFont="1" applyFill="1" applyBorder="1" applyAlignment="1" applyProtection="1">
      <alignment horizontal="center" vertical="center"/>
    </xf>
    <xf numFmtId="0" fontId="8" fillId="0" borderId="22" xfId="0" applyFont="1" applyFill="1" applyBorder="1" applyAlignment="1" applyProtection="1">
      <alignment horizontal="center" vertical="center" wrapText="1"/>
      <protection hidden="1"/>
    </xf>
    <xf numFmtId="1" fontId="8" fillId="0" borderId="22" xfId="0" applyNumberFormat="1" applyFont="1" applyFill="1" applyBorder="1" applyAlignment="1" applyProtection="1">
      <alignment horizontal="center" vertical="center" wrapText="1"/>
    </xf>
    <xf numFmtId="1" fontId="8" fillId="3" borderId="22" xfId="0" applyNumberFormat="1" applyFont="1" applyFill="1" applyBorder="1" applyAlignment="1" applyProtection="1">
      <alignment horizontal="center" vertical="center" wrapText="1"/>
    </xf>
    <xf numFmtId="183" fontId="8" fillId="0" borderId="22" xfId="0" quotePrefix="1" applyNumberFormat="1" applyFont="1" applyFill="1" applyBorder="1" applyAlignment="1" applyProtection="1">
      <alignment horizontal="center" vertical="center" wrapText="1"/>
    </xf>
    <xf numFmtId="166" fontId="8" fillId="0" borderId="22" xfId="0" applyNumberFormat="1" applyFont="1" applyFill="1" applyBorder="1" applyAlignment="1" applyProtection="1">
      <alignment horizontal="center" vertical="center" wrapText="1"/>
    </xf>
    <xf numFmtId="166" fontId="8" fillId="0" borderId="22" xfId="0" applyNumberFormat="1" applyFont="1" applyBorder="1" applyAlignment="1" applyProtection="1">
      <alignment horizontal="center" vertical="center"/>
      <protection hidden="1"/>
    </xf>
    <xf numFmtId="167" fontId="8" fillId="3" borderId="22" xfId="0" applyNumberFormat="1" applyFont="1" applyFill="1" applyBorder="1" applyAlignment="1" applyProtection="1">
      <alignment horizontal="center" vertical="center" wrapText="1"/>
    </xf>
    <xf numFmtId="171" fontId="8" fillId="0" borderId="22" xfId="0" quotePrefix="1" applyNumberFormat="1" applyFont="1" applyFill="1" applyBorder="1" applyAlignment="1" applyProtection="1">
      <alignment horizontal="center" vertical="center" wrapText="1"/>
    </xf>
    <xf numFmtId="9" fontId="8" fillId="8" borderId="39" xfId="7" applyNumberFormat="1" applyFont="1" applyFill="1" applyBorder="1" applyAlignment="1" applyProtection="1">
      <alignment horizontal="center" vertical="center"/>
    </xf>
    <xf numFmtId="9" fontId="8" fillId="8" borderId="68" xfId="7" applyNumberFormat="1" applyFont="1" applyFill="1" applyBorder="1" applyAlignment="1" applyProtection="1">
      <alignment horizontal="center" vertical="center"/>
    </xf>
    <xf numFmtId="9" fontId="8" fillId="8" borderId="66" xfId="7" applyNumberFormat="1" applyFont="1" applyFill="1" applyBorder="1" applyAlignment="1" applyProtection="1">
      <alignment horizontal="center" vertical="center"/>
    </xf>
    <xf numFmtId="9" fontId="8" fillId="8" borderId="22" xfId="7" applyFont="1" applyFill="1" applyBorder="1" applyAlignment="1" applyProtection="1">
      <alignment horizontal="center" vertical="center"/>
      <protection hidden="1"/>
    </xf>
    <xf numFmtId="9" fontId="28" fillId="8" borderId="39" xfId="7" applyNumberFormat="1" applyFont="1" applyFill="1" applyBorder="1" applyAlignment="1" applyProtection="1">
      <alignment horizontal="center" vertical="center"/>
    </xf>
    <xf numFmtId="9" fontId="28" fillId="8" borderId="68" xfId="7" applyNumberFormat="1" applyFont="1" applyFill="1" applyBorder="1" applyAlignment="1" applyProtection="1">
      <alignment horizontal="center" vertical="center"/>
    </xf>
    <xf numFmtId="9" fontId="28" fillId="8" borderId="66" xfId="7" applyNumberFormat="1" applyFont="1" applyFill="1" applyBorder="1" applyAlignment="1" applyProtection="1">
      <alignment horizontal="center" vertical="center"/>
    </xf>
    <xf numFmtId="9" fontId="28" fillId="8" borderId="22" xfId="7" applyFont="1" applyFill="1" applyBorder="1" applyAlignment="1" applyProtection="1">
      <alignment horizontal="center" vertical="center"/>
      <protection hidden="1"/>
    </xf>
    <xf numFmtId="168" fontId="9" fillId="9" borderId="2" xfId="0" applyNumberFormat="1" applyFont="1" applyFill="1" applyBorder="1" applyAlignment="1" applyProtection="1">
      <alignment horizontal="center" vertical="center"/>
    </xf>
    <xf numFmtId="0" fontId="28" fillId="8" borderId="55" xfId="0" applyFont="1" applyFill="1" applyBorder="1" applyAlignment="1" applyProtection="1">
      <alignment horizontal="center" vertical="center"/>
    </xf>
    <xf numFmtId="2" fontId="39" fillId="0" borderId="0" xfId="0" applyNumberFormat="1" applyFont="1" applyAlignment="1" applyProtection="1">
      <alignment horizontal="center" vertical="center"/>
      <protection hidden="1"/>
    </xf>
    <xf numFmtId="2" fontId="19" fillId="3" borderId="0" xfId="0" applyNumberFormat="1" applyFont="1" applyFill="1" applyBorder="1" applyAlignment="1" applyProtection="1">
      <alignment horizontal="center" vertical="center"/>
    </xf>
    <xf numFmtId="193" fontId="19" fillId="0" borderId="0" xfId="0" applyNumberFormat="1" applyFont="1" applyProtection="1"/>
    <xf numFmtId="165" fontId="75" fillId="3" borderId="0" xfId="0" applyNumberFormat="1" applyFont="1" applyFill="1" applyBorder="1" applyAlignment="1" applyProtection="1">
      <alignment horizontal="center" vertical="center"/>
    </xf>
    <xf numFmtId="165" fontId="8" fillId="8" borderId="48" xfId="0" applyNumberFormat="1" applyFont="1" applyFill="1" applyBorder="1" applyAlignment="1" applyProtection="1">
      <alignment horizontal="center" vertical="center"/>
    </xf>
    <xf numFmtId="0" fontId="33" fillId="0" borderId="0" xfId="0" applyFont="1" applyAlignment="1" applyProtection="1">
      <alignment horizontal="center"/>
    </xf>
    <xf numFmtId="0" fontId="33" fillId="3" borderId="0" xfId="0" applyFont="1" applyFill="1" applyBorder="1" applyAlignment="1" applyProtection="1">
      <alignment horizontal="center"/>
    </xf>
    <xf numFmtId="0" fontId="33" fillId="0" borderId="0" xfId="0" applyFont="1" applyBorder="1" applyAlignment="1" applyProtection="1">
      <alignment horizontal="center"/>
    </xf>
    <xf numFmtId="2" fontId="33" fillId="0" borderId="0" xfId="0" applyNumberFormat="1" applyFont="1" applyAlignment="1" applyProtection="1">
      <alignment horizontal="center"/>
      <protection hidden="1"/>
    </xf>
    <xf numFmtId="168" fontId="33" fillId="0" borderId="0" xfId="0" applyNumberFormat="1" applyFont="1" applyBorder="1" applyAlignment="1" applyProtection="1">
      <alignment horizontal="center"/>
    </xf>
    <xf numFmtId="168" fontId="33" fillId="0" borderId="0" xfId="0" applyNumberFormat="1" applyFont="1" applyAlignment="1" applyProtection="1">
      <alignment horizontal="center"/>
    </xf>
    <xf numFmtId="168" fontId="33" fillId="0" borderId="0" xfId="0" applyNumberFormat="1" applyFont="1" applyAlignment="1" applyProtection="1">
      <alignment horizontal="center"/>
      <protection hidden="1"/>
    </xf>
    <xf numFmtId="165" fontId="39" fillId="8" borderId="22" xfId="0" applyNumberFormat="1" applyFont="1" applyFill="1" applyBorder="1" applyAlignment="1" applyProtection="1">
      <alignment horizontal="center" vertical="center"/>
    </xf>
    <xf numFmtId="165" fontId="33" fillId="3" borderId="0" xfId="0" applyNumberFormat="1" applyFont="1" applyFill="1" applyBorder="1" applyAlignment="1" applyProtection="1">
      <alignment horizontal="center"/>
    </xf>
    <xf numFmtId="165" fontId="33" fillId="4" borderId="11" xfId="0" applyNumberFormat="1" applyFont="1" applyFill="1" applyBorder="1" applyAlignment="1" applyProtection="1">
      <alignment horizontal="center" vertical="center"/>
      <protection locked="0" hidden="1"/>
    </xf>
    <xf numFmtId="165" fontId="33" fillId="4" borderId="46" xfId="0" applyNumberFormat="1" applyFont="1" applyFill="1" applyBorder="1" applyAlignment="1" applyProtection="1">
      <alignment horizontal="center" vertical="center"/>
      <protection locked="0" hidden="1"/>
    </xf>
    <xf numFmtId="165" fontId="33" fillId="4" borderId="43" xfId="0" applyNumberFormat="1" applyFont="1" applyFill="1" applyBorder="1" applyAlignment="1" applyProtection="1">
      <alignment horizontal="center" vertical="center"/>
      <protection locked="0" hidden="1"/>
    </xf>
    <xf numFmtId="0" fontId="39" fillId="0" borderId="0" xfId="0" applyFont="1" applyAlignment="1" applyProtection="1">
      <alignment horizontal="left" vertical="center"/>
      <protection hidden="1"/>
    </xf>
    <xf numFmtId="0" fontId="39" fillId="0" borderId="0" xfId="0" applyFont="1" applyBorder="1" applyAlignment="1" applyProtection="1">
      <alignment horizontal="center" vertical="center" wrapText="1"/>
      <protection hidden="1"/>
    </xf>
    <xf numFmtId="0" fontId="28" fillId="0" borderId="16" xfId="0" applyFont="1" applyFill="1" applyBorder="1" applyAlignment="1" applyProtection="1">
      <alignment horizontal="center" vertical="center" wrapText="1"/>
      <protection hidden="1"/>
    </xf>
    <xf numFmtId="0" fontId="28" fillId="0" borderId="38" xfId="0" applyFont="1" applyFill="1" applyBorder="1" applyAlignment="1" applyProtection="1">
      <alignment horizontal="center" vertical="center" wrapText="1"/>
      <protection hidden="1"/>
    </xf>
    <xf numFmtId="0" fontId="28" fillId="0" borderId="22" xfId="0" applyFont="1" applyBorder="1" applyAlignment="1" applyProtection="1">
      <alignment horizontal="center" vertical="center" wrapText="1"/>
      <protection hidden="1"/>
    </xf>
    <xf numFmtId="0" fontId="39" fillId="0" borderId="0" xfId="0" applyFont="1" applyBorder="1" applyAlignment="1" applyProtection="1">
      <alignment horizontal="left" vertical="center" wrapText="1"/>
      <protection hidden="1"/>
    </xf>
    <xf numFmtId="49" fontId="39" fillId="0" borderId="0" xfId="0" applyNumberFormat="1" applyFont="1" applyAlignment="1" applyProtection="1">
      <alignment horizontal="right"/>
      <protection hidden="1"/>
    </xf>
    <xf numFmtId="0" fontId="8" fillId="3" borderId="22" xfId="0" applyFont="1" applyFill="1" applyBorder="1" applyAlignment="1" applyProtection="1">
      <alignment horizontal="center" vertical="center" wrapText="1"/>
    </xf>
    <xf numFmtId="0" fontId="76" fillId="15" borderId="22" xfId="0" applyFont="1" applyFill="1" applyBorder="1" applyAlignment="1" applyProtection="1">
      <alignment horizontal="center" wrapText="1"/>
    </xf>
    <xf numFmtId="0" fontId="76" fillId="6" borderId="43" xfId="0" applyFont="1" applyFill="1" applyBorder="1" applyAlignment="1" applyProtection="1">
      <alignment horizontal="center" vertical="center" wrapText="1"/>
    </xf>
    <xf numFmtId="0" fontId="77" fillId="6" borderId="48" xfId="0" applyFont="1" applyFill="1" applyBorder="1" applyProtection="1"/>
    <xf numFmtId="167" fontId="77" fillId="8" borderId="48" xfId="0" applyNumberFormat="1" applyFont="1" applyFill="1" applyBorder="1" applyAlignment="1" applyProtection="1">
      <alignment horizontal="center" vertical="center"/>
    </xf>
    <xf numFmtId="0" fontId="77" fillId="8" borderId="48" xfId="0" applyFont="1" applyFill="1" applyBorder="1" applyAlignment="1" applyProtection="1">
      <alignment horizontal="center" vertical="center"/>
    </xf>
    <xf numFmtId="1" fontId="77" fillId="8" borderId="48" xfId="0" applyNumberFormat="1" applyFont="1" applyFill="1" applyBorder="1" applyAlignment="1" applyProtection="1">
      <alignment horizontal="center" vertical="center"/>
      <protection hidden="1"/>
    </xf>
    <xf numFmtId="1" fontId="77" fillId="8" borderId="67" xfId="0" applyNumberFormat="1" applyFont="1" applyFill="1" applyBorder="1" applyAlignment="1" applyProtection="1">
      <alignment horizontal="center" vertical="center"/>
      <protection hidden="1"/>
    </xf>
    <xf numFmtId="0" fontId="77" fillId="8" borderId="15" xfId="0" applyFont="1" applyFill="1" applyBorder="1" applyAlignment="1" applyProtection="1">
      <alignment horizontal="center" vertical="center" wrapText="1"/>
    </xf>
    <xf numFmtId="2" fontId="77" fillId="8" borderId="22" xfId="0" applyNumberFormat="1" applyFont="1" applyFill="1" applyBorder="1" applyAlignment="1" applyProtection="1">
      <alignment horizontal="center" vertical="center" wrapText="1"/>
      <protection hidden="1"/>
    </xf>
    <xf numFmtId="166" fontId="77" fillId="8" borderId="15" xfId="0" applyNumberFormat="1" applyFont="1" applyFill="1" applyBorder="1" applyAlignment="1" applyProtection="1">
      <alignment horizontal="center" vertical="center"/>
      <protection hidden="1"/>
    </xf>
    <xf numFmtId="2" fontId="77" fillId="8" borderId="22" xfId="0" applyNumberFormat="1" applyFont="1" applyFill="1" applyBorder="1" applyAlignment="1" applyProtection="1">
      <alignment horizontal="center" vertical="center"/>
    </xf>
    <xf numFmtId="164" fontId="9" fillId="3" borderId="0" xfId="0" applyNumberFormat="1" applyFont="1" applyFill="1" applyBorder="1" applyProtection="1"/>
    <xf numFmtId="20" fontId="78" fillId="0" borderId="8" xfId="0" applyNumberFormat="1" applyFont="1" applyBorder="1" applyAlignment="1">
      <alignment horizontal="center" vertical="center"/>
    </xf>
    <xf numFmtId="0" fontId="39" fillId="0" borderId="22" xfId="0" applyFont="1" applyBorder="1" applyAlignment="1">
      <alignment vertical="center"/>
    </xf>
    <xf numFmtId="0" fontId="77" fillId="3" borderId="22" xfId="0" applyFont="1" applyFill="1" applyBorder="1" applyAlignment="1" applyProtection="1">
      <alignment horizontal="center" vertical="center"/>
      <protection hidden="1"/>
    </xf>
    <xf numFmtId="1" fontId="8" fillId="0" borderId="33" xfId="0" applyNumberFormat="1" applyFont="1" applyFill="1" applyBorder="1" applyAlignment="1" applyProtection="1">
      <alignment horizontal="center" vertical="center" wrapText="1"/>
    </xf>
    <xf numFmtId="1" fontId="8" fillId="0" borderId="10" xfId="0" applyNumberFormat="1" applyFont="1" applyFill="1" applyBorder="1" applyAlignment="1" applyProtection="1">
      <alignment horizontal="center" vertical="center" wrapText="1"/>
    </xf>
    <xf numFmtId="1" fontId="8" fillId="0" borderId="6" xfId="0" applyNumberFormat="1" applyFont="1" applyFill="1" applyBorder="1" applyAlignment="1" applyProtection="1">
      <alignment horizontal="center" vertical="center" wrapText="1"/>
    </xf>
    <xf numFmtId="191" fontId="8" fillId="3" borderId="40" xfId="0" quotePrefix="1" applyNumberFormat="1" applyFont="1" applyFill="1" applyBorder="1" applyAlignment="1" applyProtection="1">
      <alignment horizontal="center" vertical="center" wrapText="1"/>
    </xf>
    <xf numFmtId="191" fontId="8" fillId="3" borderId="19" xfId="0" quotePrefix="1" applyNumberFormat="1" applyFont="1" applyFill="1" applyBorder="1" applyAlignment="1" applyProtection="1">
      <alignment horizontal="center" vertical="center" wrapText="1"/>
    </xf>
    <xf numFmtId="191" fontId="8" fillId="3" borderId="37" xfId="0" quotePrefix="1" applyNumberFormat="1" applyFont="1" applyFill="1" applyBorder="1" applyAlignment="1" applyProtection="1">
      <alignment horizontal="center" vertical="center" wrapText="1"/>
    </xf>
    <xf numFmtId="1" fontId="8" fillId="3" borderId="11" xfId="0" applyNumberFormat="1" applyFont="1" applyFill="1" applyBorder="1" applyAlignment="1" applyProtection="1">
      <alignment horizontal="center" vertical="center" wrapText="1"/>
    </xf>
    <xf numFmtId="191" fontId="8" fillId="0" borderId="33" xfId="0" quotePrefix="1" applyNumberFormat="1" applyFont="1" applyFill="1" applyBorder="1" applyAlignment="1" applyProtection="1">
      <alignment horizontal="center" vertical="center" wrapText="1"/>
    </xf>
    <xf numFmtId="1" fontId="8" fillId="3" borderId="3" xfId="0" applyNumberFormat="1" applyFont="1" applyFill="1" applyBorder="1" applyAlignment="1" applyProtection="1">
      <alignment horizontal="center" vertical="center" wrapText="1"/>
    </xf>
    <xf numFmtId="191" fontId="8" fillId="0" borderId="10" xfId="0" quotePrefix="1" applyNumberFormat="1" applyFont="1" applyFill="1" applyBorder="1" applyAlignment="1" applyProtection="1">
      <alignment horizontal="center" vertical="center" wrapText="1"/>
    </xf>
    <xf numFmtId="1" fontId="8" fillId="3" borderId="12" xfId="0" applyNumberFormat="1" applyFont="1" applyFill="1" applyBorder="1" applyAlignment="1" applyProtection="1">
      <alignment horizontal="center" vertical="center" wrapText="1"/>
    </xf>
    <xf numFmtId="191" fontId="8" fillId="0" borderId="6" xfId="0" quotePrefix="1" applyNumberFormat="1" applyFont="1" applyFill="1" applyBorder="1" applyAlignment="1" applyProtection="1">
      <alignment horizontal="center" vertical="center" wrapText="1"/>
    </xf>
    <xf numFmtId="0" fontId="46" fillId="0" borderId="0" xfId="0" applyFont="1" applyAlignment="1" applyProtection="1">
      <alignment horizontal="center" vertical="center" wrapText="1"/>
      <protection locked="0" hidden="1"/>
    </xf>
    <xf numFmtId="0" fontId="28" fillId="3" borderId="22" xfId="0" applyFont="1" applyFill="1" applyBorder="1" applyAlignment="1" applyProtection="1">
      <alignment horizontal="center" vertical="center"/>
      <protection hidden="1"/>
    </xf>
    <xf numFmtId="164" fontId="3" fillId="0" borderId="0" xfId="0" applyNumberFormat="1" applyFont="1" applyAlignment="1" applyProtection="1">
      <alignment vertical="center"/>
      <protection hidden="1"/>
    </xf>
    <xf numFmtId="0" fontId="27" fillId="0" borderId="0" xfId="0" applyFont="1" applyAlignment="1" applyProtection="1">
      <alignment horizontal="justify" vertical="center" wrapText="1"/>
      <protection hidden="1"/>
    </xf>
    <xf numFmtId="0" fontId="1" fillId="0" borderId="0" xfId="0" applyFont="1" applyProtection="1">
      <protection hidden="1"/>
    </xf>
    <xf numFmtId="0" fontId="1" fillId="0" borderId="0" xfId="0" applyFont="1" applyAlignment="1" applyProtection="1">
      <alignment horizontal="center"/>
      <protection hidden="1"/>
    </xf>
    <xf numFmtId="0" fontId="1" fillId="0" borderId="0" xfId="0" applyFont="1" applyAlignment="1" applyProtection="1">
      <alignment horizontal="center" vertical="center" wrapText="1"/>
      <protection hidden="1"/>
    </xf>
    <xf numFmtId="0" fontId="1" fillId="0" borderId="0" xfId="0" applyFont="1" applyAlignment="1" applyProtection="1">
      <alignment horizontal="left" vertical="center" wrapText="1"/>
      <protection hidden="1"/>
    </xf>
    <xf numFmtId="0" fontId="1" fillId="0" borderId="0" xfId="0" applyFont="1" applyBorder="1" applyAlignment="1" applyProtection="1">
      <alignment vertical="center" wrapText="1"/>
      <protection hidden="1"/>
    </xf>
    <xf numFmtId="0" fontId="1" fillId="0" borderId="0" xfId="0" applyFont="1" applyBorder="1" applyAlignment="1" applyProtection="1">
      <alignment horizontal="left" vertical="center" wrapText="1"/>
      <protection hidden="1"/>
    </xf>
    <xf numFmtId="14" fontId="1" fillId="0" borderId="0" xfId="0" applyNumberFormat="1" applyFont="1" applyAlignment="1" applyProtection="1">
      <alignment horizontal="left" vertical="center" wrapText="1"/>
      <protection hidden="1"/>
    </xf>
    <xf numFmtId="0" fontId="1" fillId="0" borderId="0" xfId="0" applyFont="1" applyAlignment="1" applyProtection="1">
      <protection hidden="1"/>
    </xf>
    <xf numFmtId="0" fontId="1" fillId="0" borderId="0" xfId="0" applyNumberFormat="1" applyFont="1" applyAlignment="1" applyProtection="1">
      <alignment horizontal="center"/>
      <protection hidden="1"/>
    </xf>
    <xf numFmtId="0" fontId="1" fillId="0" borderId="0" xfId="0" applyFont="1" applyAlignment="1" applyProtection="1">
      <alignment horizontal="left" vertical="justify" wrapText="1"/>
      <protection hidden="1"/>
    </xf>
    <xf numFmtId="185" fontId="1" fillId="0" borderId="22" xfId="0" applyNumberFormat="1" applyFont="1" applyBorder="1" applyAlignment="1" applyProtection="1">
      <alignment horizontal="center" vertical="center" wrapText="1"/>
      <protection hidden="1"/>
    </xf>
    <xf numFmtId="0" fontId="1" fillId="0" borderId="17" xfId="0" applyFont="1" applyBorder="1" applyAlignment="1" applyProtection="1">
      <alignment horizontal="center" vertical="center" wrapText="1"/>
      <protection hidden="1"/>
    </xf>
    <xf numFmtId="1" fontId="1" fillId="0" borderId="22" xfId="0" applyNumberFormat="1" applyFont="1" applyBorder="1" applyAlignment="1" applyProtection="1">
      <alignment horizontal="center" vertical="center" wrapText="1"/>
      <protection hidden="1"/>
    </xf>
    <xf numFmtId="0" fontId="1" fillId="0" borderId="16" xfId="0" applyFont="1" applyBorder="1" applyAlignment="1" applyProtection="1">
      <alignment horizontal="center" vertical="center" wrapText="1"/>
      <protection hidden="1"/>
    </xf>
    <xf numFmtId="1" fontId="1" fillId="3" borderId="22" xfId="0" applyNumberFormat="1" applyFont="1" applyFill="1" applyBorder="1" applyAlignment="1" applyProtection="1">
      <alignment horizontal="center" vertical="center" wrapText="1"/>
      <protection hidden="1"/>
    </xf>
    <xf numFmtId="0" fontId="1" fillId="3" borderId="17" xfId="0" applyFont="1" applyFill="1" applyBorder="1" applyAlignment="1" applyProtection="1">
      <alignment horizontal="center" vertical="center" wrapText="1"/>
      <protection hidden="1"/>
    </xf>
    <xf numFmtId="0" fontId="1" fillId="3" borderId="16" xfId="0" applyFont="1" applyFill="1" applyBorder="1" applyAlignment="1" applyProtection="1">
      <alignment horizontal="center" vertical="center" wrapText="1"/>
      <protection hidden="1"/>
    </xf>
    <xf numFmtId="0" fontId="1" fillId="0" borderId="0" xfId="0" applyFont="1" applyAlignment="1" applyProtection="1">
      <alignment vertical="center" wrapText="1"/>
      <protection hidden="1"/>
    </xf>
    <xf numFmtId="0" fontId="1" fillId="0" borderId="0" xfId="0" applyFont="1" applyAlignment="1" applyProtection="1">
      <alignment horizontal="justify" vertical="center" wrapText="1"/>
      <protection hidden="1"/>
    </xf>
    <xf numFmtId="0" fontId="1" fillId="0" borderId="0" xfId="0" applyFont="1" applyAlignment="1" applyProtection="1">
      <alignment horizontal="justify" vertical="justify" wrapText="1"/>
      <protection hidden="1"/>
    </xf>
    <xf numFmtId="0" fontId="1" fillId="0" borderId="11" xfId="0" applyFont="1" applyFill="1" applyBorder="1" applyAlignment="1" applyProtection="1">
      <alignment horizontal="center" vertical="center" wrapText="1"/>
      <protection hidden="1"/>
    </xf>
    <xf numFmtId="1" fontId="1" fillId="0" borderId="32" xfId="0" applyNumberFormat="1" applyFont="1" applyFill="1" applyBorder="1" applyAlignment="1" applyProtection="1">
      <alignment horizontal="center" vertical="center" wrapText="1"/>
    </xf>
    <xf numFmtId="1" fontId="1" fillId="3" borderId="32" xfId="0" applyNumberFormat="1" applyFont="1" applyFill="1" applyBorder="1" applyAlignment="1" applyProtection="1">
      <alignment horizontal="center" vertical="center" wrapText="1"/>
    </xf>
    <xf numFmtId="191" fontId="1" fillId="0" borderId="32" xfId="0" quotePrefix="1" applyNumberFormat="1" applyFont="1" applyFill="1" applyBorder="1" applyAlignment="1" applyProtection="1">
      <alignment horizontal="center" vertical="center" wrapText="1"/>
    </xf>
    <xf numFmtId="191" fontId="1" fillId="3" borderId="32" xfId="0" quotePrefix="1" applyNumberFormat="1" applyFont="1" applyFill="1" applyBorder="1" applyAlignment="1" applyProtection="1">
      <alignment horizontal="center" vertical="center" wrapText="1"/>
    </xf>
    <xf numFmtId="182" fontId="1" fillId="0" borderId="13" xfId="0" quotePrefix="1" applyNumberFormat="1" applyFont="1" applyFill="1" applyBorder="1" applyAlignment="1" applyProtection="1">
      <alignment horizontal="center" vertical="center" wrapText="1"/>
    </xf>
    <xf numFmtId="166" fontId="1" fillId="0" borderId="11" xfId="0" applyNumberFormat="1" applyFont="1" applyBorder="1" applyAlignment="1" applyProtection="1">
      <alignment horizontal="center" vertical="center"/>
      <protection hidden="1"/>
    </xf>
    <xf numFmtId="166" fontId="1" fillId="0" borderId="32" xfId="0" applyNumberFormat="1" applyFont="1" applyBorder="1" applyAlignment="1" applyProtection="1">
      <alignment horizontal="center" vertical="center"/>
      <protection hidden="1"/>
    </xf>
    <xf numFmtId="166" fontId="1" fillId="0" borderId="33" xfId="0" applyNumberFormat="1" applyFont="1" applyBorder="1" applyAlignment="1" applyProtection="1">
      <alignment horizontal="center" vertical="center"/>
      <protection hidden="1"/>
    </xf>
    <xf numFmtId="2" fontId="1" fillId="3" borderId="39" xfId="0" applyNumberFormat="1" applyFont="1" applyFill="1" applyBorder="1" applyAlignment="1" applyProtection="1">
      <alignment horizontal="center" vertical="center" wrapText="1"/>
    </xf>
    <xf numFmtId="0" fontId="1" fillId="0" borderId="3" xfId="0" applyFont="1" applyFill="1" applyBorder="1" applyAlignment="1" applyProtection="1">
      <alignment horizontal="center" vertical="center" wrapText="1"/>
      <protection hidden="1"/>
    </xf>
    <xf numFmtId="1" fontId="1" fillId="0" borderId="2" xfId="0" applyNumberFormat="1" applyFont="1" applyFill="1" applyBorder="1" applyAlignment="1" applyProtection="1">
      <alignment horizontal="center" vertical="center" wrapText="1"/>
    </xf>
    <xf numFmtId="1" fontId="1" fillId="3" borderId="2" xfId="0" applyNumberFormat="1" applyFont="1" applyFill="1" applyBorder="1" applyAlignment="1" applyProtection="1">
      <alignment horizontal="center" vertical="center" wrapText="1"/>
    </xf>
    <xf numFmtId="191" fontId="1" fillId="0" borderId="2" xfId="0" quotePrefix="1" applyNumberFormat="1" applyFont="1" applyFill="1" applyBorder="1" applyAlignment="1" applyProtection="1">
      <alignment horizontal="center" vertical="center" wrapText="1"/>
    </xf>
    <xf numFmtId="191" fontId="1" fillId="3" borderId="2" xfId="0" quotePrefix="1" applyNumberFormat="1" applyFont="1" applyFill="1" applyBorder="1" applyAlignment="1" applyProtection="1">
      <alignment horizontal="center" vertical="center" wrapText="1"/>
    </xf>
    <xf numFmtId="182" fontId="1" fillId="0" borderId="14" xfId="0" quotePrefix="1" applyNumberFormat="1" applyFont="1" applyFill="1" applyBorder="1" applyAlignment="1" applyProtection="1">
      <alignment horizontal="center" vertical="center" wrapText="1"/>
    </xf>
    <xf numFmtId="166" fontId="1" fillId="0" borderId="3" xfId="0" applyNumberFormat="1" applyFont="1" applyBorder="1" applyAlignment="1" applyProtection="1">
      <alignment horizontal="center" vertical="center"/>
      <protection hidden="1"/>
    </xf>
    <xf numFmtId="166" fontId="1" fillId="0" borderId="2" xfId="0" applyNumberFormat="1" applyFont="1" applyBorder="1" applyAlignment="1" applyProtection="1">
      <alignment horizontal="center" vertical="center"/>
      <protection hidden="1"/>
    </xf>
    <xf numFmtId="166" fontId="1" fillId="0" borderId="10" xfId="0" applyNumberFormat="1" applyFont="1" applyBorder="1" applyAlignment="1" applyProtection="1">
      <alignment horizontal="center" vertical="center"/>
      <protection hidden="1"/>
    </xf>
    <xf numFmtId="2" fontId="1" fillId="3" borderId="41" xfId="0" applyNumberFormat="1" applyFont="1" applyFill="1" applyBorder="1" applyAlignment="1" applyProtection="1">
      <alignment horizontal="center" vertical="center" wrapText="1"/>
    </xf>
    <xf numFmtId="0" fontId="1" fillId="9" borderId="0" xfId="0" applyFont="1" applyFill="1" applyProtection="1">
      <protection hidden="1"/>
    </xf>
    <xf numFmtId="182" fontId="1" fillId="0" borderId="2" xfId="0" quotePrefix="1" applyNumberFormat="1" applyFont="1" applyFill="1" applyBorder="1" applyAlignment="1" applyProtection="1">
      <alignment horizontal="center" vertical="center" wrapText="1"/>
    </xf>
    <xf numFmtId="182" fontId="1" fillId="3" borderId="2" xfId="0" quotePrefix="1" applyNumberFormat="1" applyFont="1" applyFill="1" applyBorder="1" applyAlignment="1" applyProtection="1">
      <alignment horizontal="center" vertical="center" wrapText="1"/>
    </xf>
    <xf numFmtId="181" fontId="1" fillId="0" borderId="14" xfId="0" quotePrefix="1" applyNumberFormat="1" applyFont="1" applyFill="1" applyBorder="1" applyAlignment="1" applyProtection="1">
      <alignment horizontal="center" vertical="center" wrapText="1"/>
    </xf>
    <xf numFmtId="181" fontId="1" fillId="0" borderId="2" xfId="0" quotePrefix="1" applyNumberFormat="1" applyFont="1" applyFill="1" applyBorder="1" applyAlignment="1" applyProtection="1">
      <alignment horizontal="center" vertical="center" wrapText="1"/>
    </xf>
    <xf numFmtId="181" fontId="1" fillId="3" borderId="2" xfId="0" quotePrefix="1" applyNumberFormat="1" applyFont="1" applyFill="1" applyBorder="1" applyAlignment="1" applyProtection="1">
      <alignment horizontal="center" vertical="center" wrapText="1"/>
    </xf>
    <xf numFmtId="183" fontId="1" fillId="0" borderId="2" xfId="0" quotePrefix="1" applyNumberFormat="1" applyFont="1" applyFill="1" applyBorder="1" applyAlignment="1" applyProtection="1">
      <alignment horizontal="center" vertical="center" wrapText="1"/>
    </xf>
    <xf numFmtId="183" fontId="1" fillId="3" borderId="2" xfId="0" quotePrefix="1" applyNumberFormat="1" applyFont="1" applyFill="1" applyBorder="1" applyAlignment="1" applyProtection="1">
      <alignment horizontal="center" vertical="center" wrapText="1"/>
    </xf>
    <xf numFmtId="183" fontId="1" fillId="0" borderId="14" xfId="0" quotePrefix="1" applyNumberFormat="1" applyFont="1" applyFill="1" applyBorder="1" applyAlignment="1" applyProtection="1">
      <alignment horizontal="center" vertical="center" wrapText="1"/>
    </xf>
    <xf numFmtId="1" fontId="1" fillId="0" borderId="2" xfId="0" applyNumberFormat="1" applyFont="1" applyFill="1" applyBorder="1" applyAlignment="1" applyProtection="1">
      <alignment horizontal="center" vertical="center" wrapText="1"/>
      <protection hidden="1"/>
    </xf>
    <xf numFmtId="1" fontId="1" fillId="3" borderId="2" xfId="0" applyNumberFormat="1" applyFont="1" applyFill="1" applyBorder="1" applyAlignment="1" applyProtection="1">
      <alignment horizontal="center" vertical="center" wrapText="1"/>
      <protection hidden="1"/>
    </xf>
    <xf numFmtId="181" fontId="1" fillId="0" borderId="2" xfId="0" quotePrefix="1" applyNumberFormat="1" applyFont="1" applyFill="1" applyBorder="1" applyAlignment="1" applyProtection="1">
      <alignment horizontal="center" vertical="center" wrapText="1"/>
      <protection hidden="1"/>
    </xf>
    <xf numFmtId="181" fontId="1" fillId="3" borderId="2" xfId="0" quotePrefix="1" applyNumberFormat="1" applyFont="1" applyFill="1" applyBorder="1" applyAlignment="1" applyProtection="1">
      <alignment horizontal="center" vertical="center" wrapText="1"/>
      <protection hidden="1"/>
    </xf>
    <xf numFmtId="181" fontId="1" fillId="0" borderId="14" xfId="0" quotePrefix="1" applyNumberFormat="1" applyFont="1" applyFill="1" applyBorder="1" applyAlignment="1" applyProtection="1">
      <alignment horizontal="center" vertical="center" wrapText="1"/>
      <protection hidden="1"/>
    </xf>
    <xf numFmtId="183" fontId="1" fillId="0" borderId="2" xfId="0" quotePrefix="1" applyNumberFormat="1" applyFont="1" applyFill="1" applyBorder="1" applyAlignment="1" applyProtection="1">
      <alignment horizontal="center" vertical="center" wrapText="1"/>
      <protection hidden="1"/>
    </xf>
    <xf numFmtId="183" fontId="1" fillId="3" borderId="2" xfId="0" quotePrefix="1" applyNumberFormat="1" applyFont="1" applyFill="1" applyBorder="1" applyAlignment="1" applyProtection="1">
      <alignment horizontal="center" vertical="center" wrapText="1"/>
      <protection hidden="1"/>
    </xf>
    <xf numFmtId="183" fontId="1" fillId="0" borderId="14" xfId="0" quotePrefix="1" applyNumberFormat="1" applyFont="1" applyFill="1" applyBorder="1" applyAlignment="1" applyProtection="1">
      <alignment horizontal="center" vertical="center" wrapText="1"/>
      <protection hidden="1"/>
    </xf>
    <xf numFmtId="0" fontId="1" fillId="0" borderId="12" xfId="0" applyFont="1" applyFill="1" applyBorder="1" applyAlignment="1" applyProtection="1">
      <alignment horizontal="center" vertical="center" wrapText="1"/>
      <protection hidden="1"/>
    </xf>
    <xf numFmtId="1" fontId="1" fillId="0" borderId="5" xfId="0" applyNumberFormat="1" applyFont="1" applyFill="1" applyBorder="1" applyAlignment="1" applyProtection="1">
      <alignment horizontal="center" vertical="center" wrapText="1"/>
      <protection hidden="1"/>
    </xf>
    <xf numFmtId="1" fontId="1" fillId="3" borderId="5" xfId="0" applyNumberFormat="1" applyFont="1" applyFill="1" applyBorder="1" applyAlignment="1" applyProtection="1">
      <alignment horizontal="center" vertical="center" wrapText="1"/>
      <protection hidden="1"/>
    </xf>
    <xf numFmtId="183" fontId="1" fillId="0" borderId="5" xfId="0" quotePrefix="1" applyNumberFormat="1" applyFont="1" applyFill="1" applyBorder="1" applyAlignment="1" applyProtection="1">
      <alignment horizontal="center" vertical="center" wrapText="1"/>
      <protection hidden="1"/>
    </xf>
    <xf numFmtId="183" fontId="1" fillId="3" borderId="5" xfId="0" quotePrefix="1" applyNumberFormat="1" applyFont="1" applyFill="1" applyBorder="1" applyAlignment="1" applyProtection="1">
      <alignment horizontal="center" vertical="center" wrapText="1"/>
      <protection hidden="1"/>
    </xf>
    <xf numFmtId="188" fontId="1" fillId="3" borderId="4" xfId="0" quotePrefix="1" applyNumberFormat="1" applyFont="1" applyFill="1" applyBorder="1" applyAlignment="1" applyProtection="1">
      <alignment horizontal="center" vertical="center" wrapText="1"/>
      <protection hidden="1"/>
    </xf>
    <xf numFmtId="166" fontId="1" fillId="0" borderId="12" xfId="0" applyNumberFormat="1" applyFont="1" applyBorder="1" applyAlignment="1" applyProtection="1">
      <alignment horizontal="center" vertical="center"/>
      <protection hidden="1"/>
    </xf>
    <xf numFmtId="166" fontId="1" fillId="0" borderId="5" xfId="0" applyNumberFormat="1" applyFont="1" applyBorder="1" applyAlignment="1" applyProtection="1">
      <alignment horizontal="center" vertical="center"/>
      <protection hidden="1"/>
    </xf>
    <xf numFmtId="166" fontId="1" fillId="0" borderId="6" xfId="0" applyNumberFormat="1" applyFont="1" applyBorder="1" applyAlignment="1" applyProtection="1">
      <alignment horizontal="center" vertical="center"/>
      <protection hidden="1"/>
    </xf>
    <xf numFmtId="2" fontId="1" fillId="3" borderId="42" xfId="0" applyNumberFormat="1" applyFont="1" applyFill="1" applyBorder="1" applyAlignment="1" applyProtection="1">
      <alignment horizontal="center" vertical="center" wrapText="1"/>
    </xf>
    <xf numFmtId="1" fontId="1" fillId="3" borderId="0" xfId="0" quotePrefix="1" applyNumberFormat="1" applyFont="1" applyFill="1" applyBorder="1" applyAlignment="1" applyProtection="1">
      <alignment horizontal="center" vertical="center" wrapText="1"/>
      <protection hidden="1"/>
    </xf>
    <xf numFmtId="166" fontId="1" fillId="0" borderId="0" xfId="0" applyNumberFormat="1" applyFont="1" applyFill="1" applyBorder="1" applyAlignment="1" applyProtection="1">
      <alignment horizontal="center" vertical="center" wrapText="1"/>
      <protection hidden="1"/>
    </xf>
    <xf numFmtId="2" fontId="1" fillId="3" borderId="0" xfId="0" applyNumberFormat="1" applyFont="1" applyFill="1" applyBorder="1" applyAlignment="1" applyProtection="1">
      <alignment horizontal="center" vertical="center" wrapText="1"/>
      <protection hidden="1"/>
    </xf>
    <xf numFmtId="0" fontId="1" fillId="3" borderId="0" xfId="0" applyFont="1" applyFill="1" applyAlignment="1" applyProtection="1">
      <alignment horizontal="justify" vertical="justify" wrapText="1"/>
      <protection hidden="1"/>
    </xf>
    <xf numFmtId="0" fontId="1" fillId="3" borderId="0" xfId="0" applyFont="1" applyFill="1" applyAlignment="1" applyProtection="1">
      <alignment vertical="justify" wrapText="1"/>
      <protection hidden="1"/>
    </xf>
    <xf numFmtId="0" fontId="1" fillId="0" borderId="0" xfId="0" applyFont="1" applyAlignment="1" applyProtection="1">
      <alignment horizontal="justify" vertical="center"/>
      <protection hidden="1"/>
    </xf>
    <xf numFmtId="0" fontId="1" fillId="10" borderId="0" xfId="0" applyFont="1" applyFill="1" applyAlignment="1" applyProtection="1">
      <alignment horizontal="center"/>
      <protection hidden="1"/>
    </xf>
    <xf numFmtId="164" fontId="1" fillId="0" borderId="0" xfId="0" applyNumberFormat="1" applyFont="1" applyAlignment="1" applyProtection="1">
      <alignment vertical="center" wrapText="1"/>
      <protection hidden="1"/>
    </xf>
    <xf numFmtId="0" fontId="1" fillId="0" borderId="0" xfId="0" applyFont="1" applyFill="1" applyAlignment="1" applyProtection="1">
      <alignment vertical="center" wrapText="1"/>
      <protection hidden="1"/>
    </xf>
    <xf numFmtId="2" fontId="1" fillId="0" borderId="0" xfId="0" applyNumberFormat="1" applyFont="1" applyProtection="1">
      <protection hidden="1"/>
    </xf>
    <xf numFmtId="0" fontId="1" fillId="0" borderId="0" xfId="0" applyFont="1" applyBorder="1" applyAlignment="1" applyProtection="1">
      <alignment vertical="center" wrapText="1"/>
      <protection locked="0" hidden="1"/>
    </xf>
    <xf numFmtId="0" fontId="2" fillId="0" borderId="0" xfId="0" applyFont="1" applyAlignment="1" applyProtection="1">
      <alignment vertical="center" wrapText="1"/>
      <protection hidden="1"/>
    </xf>
    <xf numFmtId="0" fontId="12" fillId="6" borderId="3" xfId="0" applyFont="1" applyFill="1" applyBorder="1" applyAlignment="1" applyProtection="1">
      <alignment horizontal="left" vertical="center" wrapText="1"/>
    </xf>
    <xf numFmtId="0" fontId="12" fillId="6" borderId="2" xfId="0" applyFont="1" applyFill="1" applyBorder="1" applyAlignment="1" applyProtection="1">
      <alignment horizontal="left" vertical="center" wrapText="1"/>
    </xf>
    <xf numFmtId="0" fontId="10" fillId="5" borderId="15" xfId="0" applyFont="1" applyFill="1" applyBorder="1" applyAlignment="1" applyProtection="1">
      <alignment horizontal="center" vertical="center" wrapText="1"/>
    </xf>
    <xf numFmtId="0" fontId="10" fillId="5" borderId="17" xfId="0" applyFont="1" applyFill="1" applyBorder="1" applyAlignment="1" applyProtection="1">
      <alignment horizontal="center" vertical="center" wrapText="1"/>
    </xf>
    <xf numFmtId="0" fontId="10" fillId="5" borderId="16" xfId="0" applyFont="1" applyFill="1" applyBorder="1" applyAlignment="1" applyProtection="1">
      <alignment horizontal="center" vertical="center" wrapText="1"/>
    </xf>
    <xf numFmtId="0" fontId="8" fillId="3" borderId="7" xfId="0" applyFont="1" applyFill="1" applyBorder="1" applyAlignment="1" applyProtection="1">
      <alignment horizontal="center"/>
    </xf>
    <xf numFmtId="0" fontId="8" fillId="3" borderId="30" xfId="0" applyFont="1" applyFill="1" applyBorder="1" applyAlignment="1" applyProtection="1">
      <alignment horizontal="center"/>
    </xf>
    <xf numFmtId="0" fontId="49" fillId="0" borderId="15" xfId="0" applyFont="1" applyFill="1" applyBorder="1" applyAlignment="1" applyProtection="1">
      <alignment horizontal="center" vertical="center"/>
    </xf>
    <xf numFmtId="0" fontId="49" fillId="0" borderId="17" xfId="0" applyFont="1" applyFill="1" applyBorder="1" applyAlignment="1" applyProtection="1">
      <alignment horizontal="center" vertical="center"/>
    </xf>
    <xf numFmtId="0" fontId="49" fillId="0" borderId="16" xfId="0" applyFont="1" applyFill="1" applyBorder="1" applyAlignment="1" applyProtection="1">
      <alignment horizontal="center" vertical="center"/>
    </xf>
    <xf numFmtId="0" fontId="8" fillId="14" borderId="25" xfId="2" applyNumberFormat="1" applyBorder="1" applyAlignment="1" applyProtection="1">
      <alignment horizontal="center" vertical="center"/>
      <protection locked="0" hidden="1"/>
    </xf>
    <xf numFmtId="0" fontId="8" fillId="14" borderId="24" xfId="2" applyNumberFormat="1" applyBorder="1" applyAlignment="1" applyProtection="1">
      <alignment horizontal="center" vertical="center"/>
      <protection locked="0" hidden="1"/>
    </xf>
    <xf numFmtId="0" fontId="8" fillId="14" borderId="54" xfId="2" applyNumberFormat="1" applyBorder="1" applyAlignment="1" applyProtection="1">
      <alignment horizontal="center" vertical="center"/>
      <protection locked="0" hidden="1"/>
    </xf>
    <xf numFmtId="0" fontId="8" fillId="14" borderId="23" xfId="2" applyNumberFormat="1" applyBorder="1" applyAlignment="1" applyProtection="1">
      <alignment horizontal="center" vertical="center"/>
      <protection locked="0" hidden="1"/>
    </xf>
    <xf numFmtId="0" fontId="10" fillId="5" borderId="51" xfId="0" applyFont="1" applyFill="1" applyBorder="1" applyAlignment="1" applyProtection="1">
      <alignment horizontal="center" vertical="center"/>
    </xf>
    <xf numFmtId="0" fontId="10" fillId="5" borderId="49" xfId="0" applyFont="1" applyFill="1" applyBorder="1" applyAlignment="1" applyProtection="1">
      <alignment horizontal="center" vertical="center"/>
    </xf>
    <xf numFmtId="0" fontId="10" fillId="5" borderId="52" xfId="0" applyFont="1" applyFill="1" applyBorder="1" applyAlignment="1" applyProtection="1">
      <alignment horizontal="center" vertical="center"/>
    </xf>
    <xf numFmtId="0" fontId="76" fillId="6" borderId="3" xfId="0" applyFont="1" applyFill="1" applyBorder="1" applyAlignment="1" applyProtection="1">
      <alignment horizontal="left" vertical="center" wrapText="1"/>
    </xf>
    <xf numFmtId="0" fontId="76" fillId="6" borderId="2" xfId="0" applyFont="1" applyFill="1" applyBorder="1" applyAlignment="1" applyProtection="1">
      <alignment horizontal="left" vertical="center" wrapText="1"/>
    </xf>
    <xf numFmtId="0" fontId="12" fillId="6" borderId="12" xfId="0" applyFont="1" applyFill="1" applyBorder="1" applyAlignment="1" applyProtection="1">
      <alignment horizontal="left" vertical="center" wrapText="1"/>
    </xf>
    <xf numFmtId="0" fontId="12" fillId="6" borderId="5" xfId="0" applyFont="1" applyFill="1" applyBorder="1" applyAlignment="1" applyProtection="1">
      <alignment horizontal="left" vertical="center" wrapText="1"/>
    </xf>
    <xf numFmtId="0" fontId="28" fillId="6" borderId="7" xfId="0" applyFont="1" applyFill="1" applyBorder="1" applyAlignment="1" applyProtection="1">
      <alignment horizontal="center" vertical="center"/>
    </xf>
    <xf numFmtId="0" fontId="28" fillId="6" borderId="8" xfId="0" applyFont="1" applyFill="1" applyBorder="1" applyAlignment="1" applyProtection="1">
      <alignment horizontal="center" vertical="center"/>
    </xf>
    <xf numFmtId="164" fontId="13" fillId="11" borderId="17" xfId="0" applyNumberFormat="1" applyFont="1" applyFill="1" applyBorder="1" applyAlignment="1" applyProtection="1">
      <alignment horizontal="center" vertical="center"/>
      <protection hidden="1"/>
    </xf>
    <xf numFmtId="0" fontId="13" fillId="11" borderId="16" xfId="0" applyFont="1" applyFill="1" applyBorder="1" applyAlignment="1" applyProtection="1">
      <alignment horizontal="center" vertical="center"/>
      <protection hidden="1"/>
    </xf>
    <xf numFmtId="0" fontId="12" fillId="8" borderId="3" xfId="0" applyFont="1" applyFill="1" applyBorder="1" applyAlignment="1" applyProtection="1">
      <alignment horizontal="left" vertical="center" wrapText="1"/>
    </xf>
    <xf numFmtId="0" fontId="12" fillId="8" borderId="2" xfId="0" applyFont="1" applyFill="1" applyBorder="1" applyAlignment="1" applyProtection="1">
      <alignment horizontal="left" vertical="center" wrapText="1"/>
    </xf>
    <xf numFmtId="0" fontId="12" fillId="8" borderId="12" xfId="0" applyFont="1" applyFill="1" applyBorder="1" applyAlignment="1" applyProtection="1">
      <alignment horizontal="center" vertical="center" wrapText="1"/>
    </xf>
    <xf numFmtId="0" fontId="12" fillId="8" borderId="5" xfId="0" applyFont="1" applyFill="1" applyBorder="1" applyAlignment="1" applyProtection="1">
      <alignment horizontal="center" vertical="center" wrapText="1"/>
    </xf>
    <xf numFmtId="0" fontId="9" fillId="9" borderId="4" xfId="0" applyFont="1" applyFill="1" applyBorder="1" applyAlignment="1" applyProtection="1">
      <alignment horizontal="center" vertical="center"/>
    </xf>
    <xf numFmtId="0" fontId="9" fillId="9" borderId="35" xfId="0" applyFont="1" applyFill="1" applyBorder="1" applyAlignment="1" applyProtection="1">
      <alignment horizontal="center" vertical="center"/>
    </xf>
    <xf numFmtId="0" fontId="10" fillId="5" borderId="25" xfId="0" applyFont="1" applyFill="1" applyBorder="1" applyAlignment="1" applyProtection="1">
      <alignment horizontal="center" vertical="center"/>
    </xf>
    <xf numFmtId="0" fontId="10" fillId="5" borderId="26" xfId="0" applyFont="1" applyFill="1" applyBorder="1" applyAlignment="1" applyProtection="1">
      <alignment horizontal="center" vertical="center"/>
    </xf>
    <xf numFmtId="0" fontId="10" fillId="5" borderId="24" xfId="0" applyFont="1" applyFill="1" applyBorder="1" applyAlignment="1" applyProtection="1">
      <alignment horizontal="center" vertical="center"/>
    </xf>
    <xf numFmtId="164" fontId="12" fillId="13" borderId="54" xfId="0" applyNumberFormat="1" applyFont="1" applyFill="1" applyBorder="1" applyAlignment="1" applyProtection="1">
      <alignment horizontal="center" vertical="center" wrapText="1"/>
    </xf>
    <xf numFmtId="164" fontId="12" fillId="13" borderId="65" xfId="0" applyNumberFormat="1" applyFont="1" applyFill="1" applyBorder="1" applyAlignment="1" applyProtection="1">
      <alignment horizontal="center" vertical="center" wrapText="1"/>
    </xf>
    <xf numFmtId="2" fontId="8" fillId="14" borderId="38" xfId="2" applyBorder="1" applyAlignment="1" applyProtection="1">
      <alignment horizontal="center" vertical="center"/>
      <protection locked="0" hidden="1"/>
    </xf>
    <xf numFmtId="2" fontId="8" fillId="14" borderId="66" xfId="2" applyBorder="1" applyAlignment="1" applyProtection="1">
      <alignment horizontal="center" vertical="center"/>
      <protection locked="0" hidden="1"/>
    </xf>
    <xf numFmtId="0" fontId="17" fillId="5" borderId="43" xfId="0" applyFont="1" applyFill="1" applyBorder="1" applyAlignment="1" applyProtection="1">
      <alignment horizontal="center" vertical="center" wrapText="1"/>
    </xf>
    <xf numFmtId="0" fontId="17" fillId="5" borderId="48" xfId="0" applyFont="1" applyFill="1" applyBorder="1" applyAlignment="1" applyProtection="1">
      <alignment horizontal="center" vertical="center" wrapText="1"/>
    </xf>
    <xf numFmtId="0" fontId="12" fillId="6" borderId="65" xfId="0" applyFont="1" applyFill="1" applyBorder="1" applyAlignment="1" applyProtection="1">
      <alignment horizontal="center" vertical="center" wrapText="1"/>
    </xf>
    <xf numFmtId="0" fontId="12" fillId="6" borderId="48" xfId="0" applyFont="1" applyFill="1" applyBorder="1" applyAlignment="1" applyProtection="1">
      <alignment horizontal="center" vertical="center" wrapText="1"/>
    </xf>
    <xf numFmtId="0" fontId="22" fillId="5" borderId="15" xfId="0" applyFont="1" applyFill="1" applyBorder="1" applyAlignment="1" applyProtection="1">
      <alignment horizontal="center" vertical="center"/>
    </xf>
    <xf numFmtId="0" fontId="22" fillId="5" borderId="17" xfId="0" applyFont="1" applyFill="1" applyBorder="1" applyAlignment="1" applyProtection="1">
      <alignment horizontal="center" vertical="center"/>
    </xf>
    <xf numFmtId="0" fontId="22" fillId="5" borderId="16" xfId="0" applyFont="1" applyFill="1" applyBorder="1" applyAlignment="1" applyProtection="1">
      <alignment horizontal="center" vertical="center"/>
    </xf>
    <xf numFmtId="0" fontId="28" fillId="6" borderId="30" xfId="0" applyFont="1" applyFill="1" applyBorder="1" applyAlignment="1" applyProtection="1">
      <alignment horizontal="right" vertical="center" wrapText="1"/>
    </xf>
    <xf numFmtId="0" fontId="28" fillId="6" borderId="31" xfId="0" applyFont="1" applyFill="1" applyBorder="1" applyAlignment="1" applyProtection="1">
      <alignment horizontal="right" vertical="center" wrapText="1"/>
    </xf>
    <xf numFmtId="166" fontId="28" fillId="6" borderId="30" xfId="0" applyNumberFormat="1" applyFont="1" applyFill="1" applyBorder="1" applyAlignment="1" applyProtection="1">
      <alignment horizontal="right" vertical="center" wrapText="1"/>
    </xf>
    <xf numFmtId="166" fontId="28" fillId="6" borderId="31" xfId="0" applyNumberFormat="1" applyFont="1" applyFill="1" applyBorder="1" applyAlignment="1" applyProtection="1">
      <alignment horizontal="right" vertical="center" wrapText="1"/>
    </xf>
    <xf numFmtId="0" fontId="10" fillId="15" borderId="25" xfId="0" applyFont="1" applyFill="1" applyBorder="1" applyAlignment="1" applyProtection="1">
      <alignment horizontal="center" vertical="center"/>
    </xf>
    <xf numFmtId="0" fontId="10" fillId="15" borderId="26" xfId="0" applyFont="1" applyFill="1" applyBorder="1" applyAlignment="1" applyProtection="1">
      <alignment horizontal="center" vertical="center"/>
    </xf>
    <xf numFmtId="0" fontId="10" fillId="15" borderId="63" xfId="0" applyFont="1" applyFill="1" applyBorder="1" applyAlignment="1" applyProtection="1">
      <alignment horizontal="center" vertical="center"/>
    </xf>
    <xf numFmtId="0" fontId="17" fillId="15" borderId="15" xfId="0" applyFont="1" applyFill="1" applyBorder="1" applyAlignment="1" applyProtection="1">
      <alignment horizontal="center" vertical="center" wrapText="1"/>
    </xf>
    <xf numFmtId="0" fontId="17" fillId="15" borderId="17" xfId="0" applyFont="1" applyFill="1" applyBorder="1" applyAlignment="1" applyProtection="1">
      <alignment horizontal="center" vertical="center" wrapText="1"/>
    </xf>
    <xf numFmtId="0" fontId="28" fillId="8" borderId="15" xfId="0" applyFont="1" applyFill="1" applyBorder="1" applyAlignment="1" applyProtection="1">
      <alignment horizontal="center" vertical="center" wrapText="1"/>
    </xf>
    <xf numFmtId="0" fontId="28" fillId="8" borderId="16" xfId="0" applyFont="1" applyFill="1" applyBorder="1" applyAlignment="1" applyProtection="1">
      <alignment horizontal="center" vertical="center" wrapText="1"/>
    </xf>
    <xf numFmtId="0" fontId="10" fillId="5" borderId="12" xfId="0" applyFont="1" applyFill="1" applyBorder="1" applyAlignment="1" applyProtection="1">
      <alignment horizontal="left" vertical="center" wrapText="1"/>
    </xf>
    <xf numFmtId="0" fontId="10" fillId="5" borderId="5" xfId="0" applyFont="1" applyFill="1" applyBorder="1" applyAlignment="1" applyProtection="1">
      <alignment horizontal="left" vertical="center" wrapText="1"/>
    </xf>
    <xf numFmtId="0" fontId="28" fillId="6" borderId="11" xfId="0" applyFont="1" applyFill="1" applyBorder="1" applyAlignment="1" applyProtection="1">
      <alignment horizontal="center" vertical="center"/>
    </xf>
    <xf numFmtId="0" fontId="28" fillId="6" borderId="3" xfId="0" applyFont="1" applyFill="1" applyBorder="1" applyAlignment="1" applyProtection="1">
      <alignment horizontal="center" vertical="center"/>
    </xf>
    <xf numFmtId="0" fontId="28" fillId="6" borderId="12" xfId="0" applyFont="1" applyFill="1" applyBorder="1" applyAlignment="1" applyProtection="1">
      <alignment horizontal="center" vertical="center"/>
    </xf>
    <xf numFmtId="0" fontId="22" fillId="15" borderId="15" xfId="0" applyFont="1" applyFill="1" applyBorder="1" applyAlignment="1" applyProtection="1">
      <alignment horizontal="center" vertical="center"/>
    </xf>
    <xf numFmtId="0" fontId="22" fillId="15" borderId="17" xfId="0" applyFont="1" applyFill="1" applyBorder="1" applyAlignment="1" applyProtection="1">
      <alignment horizontal="center" vertical="center"/>
    </xf>
    <xf numFmtId="0" fontId="22" fillId="15" borderId="16" xfId="0" applyFont="1" applyFill="1" applyBorder="1" applyAlignment="1" applyProtection="1">
      <alignment horizontal="center" vertical="center"/>
    </xf>
    <xf numFmtId="0" fontId="10" fillId="15" borderId="15" xfId="0" applyFont="1" applyFill="1" applyBorder="1" applyAlignment="1" applyProtection="1">
      <alignment horizontal="center" vertical="center"/>
    </xf>
    <xf numFmtId="0" fontId="10" fillId="15" borderId="17" xfId="0" applyFont="1" applyFill="1" applyBorder="1" applyAlignment="1" applyProtection="1">
      <alignment horizontal="center" vertical="center"/>
    </xf>
    <xf numFmtId="0" fontId="10" fillId="15" borderId="16" xfId="0" applyFont="1" applyFill="1" applyBorder="1" applyAlignment="1" applyProtection="1">
      <alignment horizontal="center" vertical="center"/>
    </xf>
    <xf numFmtId="0" fontId="27" fillId="15" borderId="15" xfId="0" applyFont="1" applyFill="1" applyBorder="1" applyAlignment="1" applyProtection="1">
      <alignment horizontal="center" vertical="center"/>
    </xf>
    <xf numFmtId="0" fontId="27" fillId="15" borderId="17" xfId="0" applyFont="1" applyFill="1" applyBorder="1" applyAlignment="1" applyProtection="1">
      <alignment horizontal="center" vertical="center"/>
    </xf>
    <xf numFmtId="0" fontId="27" fillId="15" borderId="16" xfId="0" applyFont="1" applyFill="1" applyBorder="1" applyAlignment="1" applyProtection="1">
      <alignment horizontal="center" vertical="center"/>
    </xf>
    <xf numFmtId="0" fontId="8" fillId="11" borderId="25" xfId="0" applyFont="1" applyFill="1" applyBorder="1" applyAlignment="1" applyProtection="1">
      <alignment horizontal="center" vertical="center" wrapText="1"/>
      <protection locked="0"/>
    </xf>
    <xf numFmtId="0" fontId="8" fillId="11" borderId="26" xfId="0" applyFont="1" applyFill="1" applyBorder="1" applyAlignment="1" applyProtection="1">
      <alignment horizontal="center" vertical="center" wrapText="1"/>
      <protection locked="0"/>
    </xf>
    <xf numFmtId="0" fontId="8" fillId="11" borderId="24" xfId="0" applyFont="1" applyFill="1" applyBorder="1" applyAlignment="1" applyProtection="1">
      <alignment horizontal="center" vertical="center" wrapText="1"/>
      <protection locked="0"/>
    </xf>
    <xf numFmtId="0" fontId="8" fillId="11" borderId="21" xfId="0" applyFont="1" applyFill="1" applyBorder="1" applyAlignment="1" applyProtection="1">
      <alignment horizontal="center" vertical="center" wrapText="1"/>
      <protection locked="0"/>
    </xf>
    <xf numFmtId="0" fontId="8" fillId="11" borderId="0" xfId="0" applyFont="1" applyFill="1" applyBorder="1" applyAlignment="1" applyProtection="1">
      <alignment horizontal="center" vertical="center" wrapText="1"/>
      <protection locked="0"/>
    </xf>
    <xf numFmtId="0" fontId="8" fillId="11" borderId="29" xfId="0" applyFont="1" applyFill="1" applyBorder="1" applyAlignment="1" applyProtection="1">
      <alignment horizontal="center" vertical="center" wrapText="1"/>
      <protection locked="0"/>
    </xf>
    <xf numFmtId="0" fontId="8" fillId="11" borderId="54" xfId="0" applyFont="1" applyFill="1" applyBorder="1" applyAlignment="1" applyProtection="1">
      <alignment horizontal="center" vertical="center" wrapText="1"/>
      <protection locked="0"/>
    </xf>
    <xf numFmtId="0" fontId="8" fillId="11" borderId="28" xfId="0" applyFont="1" applyFill="1" applyBorder="1" applyAlignment="1" applyProtection="1">
      <alignment horizontal="center" vertical="center" wrapText="1"/>
      <protection locked="0"/>
    </xf>
    <xf numFmtId="0" fontId="8" fillId="11" borderId="23" xfId="0" applyFont="1" applyFill="1" applyBorder="1" applyAlignment="1" applyProtection="1">
      <alignment horizontal="center" vertical="center" wrapText="1"/>
      <protection locked="0"/>
    </xf>
    <xf numFmtId="0" fontId="10" fillId="5" borderId="15" xfId="0" applyFont="1" applyFill="1" applyBorder="1" applyAlignment="1" applyProtection="1">
      <alignment horizontal="center" vertical="center"/>
    </xf>
    <xf numFmtId="0" fontId="10" fillId="5" borderId="17" xfId="0" applyFont="1" applyFill="1" applyBorder="1" applyAlignment="1" applyProtection="1">
      <alignment horizontal="center" vertical="center"/>
    </xf>
    <xf numFmtId="0" fontId="10" fillId="5" borderId="16" xfId="0" applyFont="1" applyFill="1" applyBorder="1" applyAlignment="1" applyProtection="1">
      <alignment horizontal="center" vertical="center"/>
    </xf>
    <xf numFmtId="0" fontId="28" fillId="6" borderId="25" xfId="0" applyFont="1" applyFill="1" applyBorder="1" applyAlignment="1" applyProtection="1">
      <alignment horizontal="center" vertical="center" wrapText="1"/>
    </xf>
    <xf numFmtId="0" fontId="28" fillId="6" borderId="24" xfId="0" applyFont="1" applyFill="1" applyBorder="1" applyAlignment="1" applyProtection="1">
      <alignment horizontal="center" vertical="center" wrapText="1"/>
    </xf>
    <xf numFmtId="0" fontId="28" fillId="6" borderId="54" xfId="0" applyFont="1" applyFill="1" applyBorder="1" applyAlignment="1" applyProtection="1">
      <alignment horizontal="center" vertical="center" wrapText="1"/>
    </xf>
    <xf numFmtId="0" fontId="28" fillId="6" borderId="23" xfId="0" applyFont="1" applyFill="1" applyBorder="1" applyAlignment="1" applyProtection="1">
      <alignment horizontal="center" vertical="center" wrapText="1"/>
    </xf>
    <xf numFmtId="0" fontId="28" fillId="6" borderId="7" xfId="0" applyFont="1" applyFill="1" applyBorder="1" applyAlignment="1" applyProtection="1">
      <alignment horizontal="center" vertical="center" wrapText="1"/>
    </xf>
    <xf numFmtId="0" fontId="28" fillId="6" borderId="8" xfId="0" applyFont="1" applyFill="1" applyBorder="1" applyAlignment="1" applyProtection="1">
      <alignment horizontal="center" vertical="center" wrapText="1"/>
    </xf>
    <xf numFmtId="0" fontId="28" fillId="6" borderId="9" xfId="0" applyFont="1" applyFill="1" applyBorder="1" applyAlignment="1" applyProtection="1">
      <alignment horizontal="center" vertical="center" wrapText="1"/>
    </xf>
    <xf numFmtId="0" fontId="10" fillId="5" borderId="11" xfId="0" applyFont="1" applyFill="1" applyBorder="1" applyAlignment="1" applyProtection="1">
      <alignment horizontal="left" vertical="center" wrapText="1"/>
    </xf>
    <xf numFmtId="0" fontId="10" fillId="5" borderId="32" xfId="0" applyFont="1" applyFill="1" applyBorder="1" applyAlignment="1" applyProtection="1">
      <alignment horizontal="left" vertical="center" wrapText="1"/>
    </xf>
    <xf numFmtId="0" fontId="28" fillId="8" borderId="54" xfId="0" applyFont="1" applyFill="1" applyBorder="1" applyAlignment="1" applyProtection="1">
      <alignment horizontal="center" vertical="center" wrapText="1"/>
    </xf>
    <xf numFmtId="0" fontId="28" fillId="8" borderId="23" xfId="0" applyFont="1" applyFill="1" applyBorder="1" applyAlignment="1" applyProtection="1">
      <alignment horizontal="center" vertical="center" wrapText="1"/>
    </xf>
    <xf numFmtId="0" fontId="8" fillId="6" borderId="1" xfId="0" applyFont="1" applyFill="1" applyBorder="1" applyAlignment="1" applyProtection="1">
      <alignment horizontal="center" wrapText="1"/>
    </xf>
    <xf numFmtId="0" fontId="28" fillId="6" borderId="1" xfId="0" applyFont="1" applyFill="1" applyBorder="1" applyAlignment="1" applyProtection="1">
      <alignment horizontal="center" wrapText="1"/>
    </xf>
    <xf numFmtId="0" fontId="28" fillId="6" borderId="50" xfId="0" applyFont="1" applyFill="1" applyBorder="1" applyAlignment="1" applyProtection="1">
      <alignment horizontal="center" wrapText="1"/>
    </xf>
    <xf numFmtId="0" fontId="22" fillId="5" borderId="21" xfId="0" applyFont="1" applyFill="1" applyBorder="1" applyAlignment="1" applyProtection="1">
      <alignment horizontal="center" vertical="center"/>
    </xf>
    <xf numFmtId="0" fontId="22" fillId="5" borderId="0" xfId="0" applyFont="1" applyFill="1" applyBorder="1" applyAlignment="1" applyProtection="1">
      <alignment horizontal="center" vertical="center"/>
    </xf>
    <xf numFmtId="0" fontId="47" fillId="5" borderId="15" xfId="0" applyFont="1" applyFill="1" applyBorder="1" applyAlignment="1" applyProtection="1">
      <alignment horizontal="center" vertical="center"/>
    </xf>
    <xf numFmtId="0" fontId="47" fillId="5" borderId="31" xfId="0" applyFont="1" applyFill="1" applyBorder="1" applyAlignment="1" applyProtection="1">
      <alignment horizontal="center" vertical="center"/>
    </xf>
    <xf numFmtId="0" fontId="47" fillId="5" borderId="30" xfId="0" applyFont="1" applyFill="1" applyBorder="1" applyAlignment="1" applyProtection="1">
      <alignment horizontal="center" vertical="center"/>
    </xf>
    <xf numFmtId="0" fontId="47" fillId="5" borderId="16" xfId="0" applyFont="1" applyFill="1" applyBorder="1" applyAlignment="1" applyProtection="1">
      <alignment horizontal="center" vertical="center"/>
    </xf>
    <xf numFmtId="0" fontId="47" fillId="15" borderId="30" xfId="0" applyFont="1" applyFill="1" applyBorder="1" applyAlignment="1" applyProtection="1">
      <alignment horizontal="center" vertical="center"/>
    </xf>
    <xf numFmtId="0" fontId="47" fillId="15" borderId="17" xfId="0" applyFont="1" applyFill="1" applyBorder="1" applyAlignment="1" applyProtection="1">
      <alignment horizontal="center" vertical="center"/>
    </xf>
    <xf numFmtId="0" fontId="46" fillId="15" borderId="17" xfId="0" applyFont="1" applyFill="1" applyBorder="1" applyAlignment="1" applyProtection="1">
      <alignment horizontal="center" vertical="center" wrapText="1"/>
      <protection hidden="1"/>
    </xf>
    <xf numFmtId="0" fontId="46" fillId="15" borderId="16" xfId="0" applyFont="1" applyFill="1" applyBorder="1" applyAlignment="1" applyProtection="1">
      <alignment horizontal="center" vertical="center" wrapText="1"/>
      <protection hidden="1"/>
    </xf>
    <xf numFmtId="0" fontId="38" fillId="6" borderId="32" xfId="0" applyFont="1" applyFill="1" applyBorder="1" applyAlignment="1" applyProtection="1">
      <alignment horizontal="center" vertical="center"/>
    </xf>
    <xf numFmtId="0" fontId="55" fillId="8" borderId="49" xfId="0" applyFont="1" applyFill="1" applyBorder="1" applyAlignment="1" applyProtection="1">
      <alignment horizontal="center" vertical="center"/>
    </xf>
    <xf numFmtId="0" fontId="32" fillId="8" borderId="27" xfId="0" applyFont="1" applyFill="1" applyBorder="1" applyAlignment="1" applyProtection="1">
      <alignment horizontal="center" vertical="center"/>
    </xf>
    <xf numFmtId="0" fontId="32" fillId="8" borderId="48" xfId="0" applyFont="1" applyFill="1" applyBorder="1" applyAlignment="1" applyProtection="1">
      <alignment horizontal="center" vertical="center"/>
    </xf>
    <xf numFmtId="0" fontId="8" fillId="8" borderId="32" xfId="0" applyFont="1" applyFill="1" applyBorder="1" applyAlignment="1" applyProtection="1">
      <alignment horizontal="center" vertical="top" wrapText="1"/>
    </xf>
    <xf numFmtId="0" fontId="8" fillId="8" borderId="33" xfId="0" applyFont="1" applyFill="1" applyBorder="1" applyAlignment="1" applyProtection="1">
      <alignment horizontal="center" vertical="top" wrapText="1"/>
    </xf>
    <xf numFmtId="0" fontId="8" fillId="6" borderId="2" xfId="0" applyFont="1" applyFill="1" applyBorder="1" applyAlignment="1" applyProtection="1">
      <alignment horizontal="center" vertical="center"/>
    </xf>
    <xf numFmtId="0" fontId="8" fillId="6" borderId="10" xfId="0" applyFont="1" applyFill="1" applyBorder="1" applyAlignment="1" applyProtection="1">
      <alignment horizontal="center" vertical="center"/>
    </xf>
    <xf numFmtId="0" fontId="8" fillId="8" borderId="5" xfId="0" applyFont="1" applyFill="1" applyBorder="1" applyAlignment="1" applyProtection="1">
      <alignment horizontal="center" vertical="center"/>
    </xf>
    <xf numFmtId="0" fontId="8" fillId="8" borderId="6" xfId="0" applyFont="1" applyFill="1" applyBorder="1" applyAlignment="1" applyProtection="1">
      <alignment horizontal="center" vertical="center"/>
    </xf>
    <xf numFmtId="0" fontId="8" fillId="6" borderId="51" xfId="0" applyFont="1" applyFill="1" applyBorder="1" applyAlignment="1" applyProtection="1">
      <alignment horizontal="center" vertical="center"/>
    </xf>
    <xf numFmtId="0" fontId="8" fillId="6" borderId="49" xfId="0" applyFont="1" applyFill="1" applyBorder="1" applyAlignment="1" applyProtection="1">
      <alignment horizontal="center" vertical="center"/>
    </xf>
    <xf numFmtId="0" fontId="8" fillId="6" borderId="52" xfId="0" applyFont="1" applyFill="1" applyBorder="1" applyAlignment="1" applyProtection="1">
      <alignment horizontal="center" vertical="center"/>
    </xf>
    <xf numFmtId="0" fontId="21" fillId="5" borderId="25" xfId="0" applyFont="1" applyFill="1" applyBorder="1" applyAlignment="1" applyProtection="1">
      <alignment horizontal="center" vertical="center"/>
    </xf>
    <xf numFmtId="0" fontId="21" fillId="5" borderId="26" xfId="0" applyFont="1" applyFill="1" applyBorder="1" applyAlignment="1" applyProtection="1">
      <alignment horizontal="center" vertical="center"/>
    </xf>
    <xf numFmtId="0" fontId="21" fillId="5" borderId="24" xfId="0" applyFont="1" applyFill="1" applyBorder="1" applyAlignment="1" applyProtection="1">
      <alignment horizontal="center" vertical="center"/>
    </xf>
    <xf numFmtId="2" fontId="8" fillId="14" borderId="61" xfId="2" applyBorder="1" applyAlignment="1" applyProtection="1">
      <alignment horizontal="center" vertical="center"/>
      <protection locked="0" hidden="1"/>
    </xf>
    <xf numFmtId="0" fontId="45" fillId="8" borderId="26" xfId="0" applyFont="1" applyFill="1" applyBorder="1" applyAlignment="1" applyProtection="1">
      <alignment horizontal="center" vertical="center" wrapText="1"/>
    </xf>
    <xf numFmtId="0" fontId="45" fillId="8" borderId="24" xfId="0" applyFont="1" applyFill="1" applyBorder="1" applyAlignment="1" applyProtection="1">
      <alignment horizontal="center" vertical="center" wrapText="1"/>
    </xf>
    <xf numFmtId="0" fontId="45" fillId="8" borderId="28" xfId="0" applyFont="1" applyFill="1" applyBorder="1" applyAlignment="1" applyProtection="1">
      <alignment horizontal="center" vertical="center" wrapText="1"/>
    </xf>
    <xf numFmtId="0" fontId="45" fillId="8" borderId="23" xfId="0" applyFont="1" applyFill="1" applyBorder="1" applyAlignment="1" applyProtection="1">
      <alignment horizontal="center" vertical="center" wrapText="1"/>
    </xf>
    <xf numFmtId="0" fontId="47" fillId="15" borderId="16" xfId="0" applyFont="1" applyFill="1" applyBorder="1" applyAlignment="1" applyProtection="1">
      <alignment horizontal="center" vertical="center"/>
    </xf>
    <xf numFmtId="0" fontId="46" fillId="15" borderId="15" xfId="0" applyFont="1" applyFill="1" applyBorder="1" applyAlignment="1" applyProtection="1">
      <alignment horizontal="center" vertical="center" wrapText="1"/>
      <protection hidden="1"/>
    </xf>
    <xf numFmtId="0" fontId="8" fillId="6" borderId="32" xfId="0" applyFont="1" applyFill="1" applyBorder="1" applyAlignment="1" applyProtection="1">
      <alignment horizontal="center" vertical="top" wrapText="1"/>
    </xf>
    <xf numFmtId="0" fontId="8" fillId="6" borderId="33" xfId="0" applyFont="1" applyFill="1" applyBorder="1" applyAlignment="1" applyProtection="1">
      <alignment horizontal="center" vertical="top" wrapText="1"/>
    </xf>
    <xf numFmtId="164" fontId="13" fillId="11" borderId="17" xfId="0" applyNumberFormat="1" applyFont="1" applyFill="1" applyBorder="1" applyAlignment="1" applyProtection="1">
      <alignment horizontal="center" vertical="center"/>
      <protection locked="0" hidden="1"/>
    </xf>
    <xf numFmtId="0" fontId="13" fillId="11" borderId="16" xfId="0" applyFont="1" applyFill="1" applyBorder="1" applyAlignment="1" applyProtection="1">
      <alignment horizontal="center" vertical="center"/>
      <protection locked="0" hidden="1"/>
    </xf>
    <xf numFmtId="164" fontId="38" fillId="0" borderId="61" xfId="0" applyNumberFormat="1" applyFont="1" applyBorder="1" applyAlignment="1" applyProtection="1">
      <alignment horizontal="center" vertical="center" wrapText="1"/>
      <protection locked="0"/>
    </xf>
    <xf numFmtId="164" fontId="38" fillId="0" borderId="66" xfId="0" applyNumberFormat="1" applyFont="1" applyBorder="1" applyAlignment="1" applyProtection="1">
      <alignment horizontal="center" vertical="center" wrapText="1"/>
      <protection locked="0"/>
    </xf>
    <xf numFmtId="164" fontId="38" fillId="0" borderId="38" xfId="0" applyNumberFormat="1" applyFont="1" applyBorder="1" applyAlignment="1" applyProtection="1">
      <alignment horizontal="center" vertical="center" wrapText="1"/>
      <protection locked="0"/>
    </xf>
    <xf numFmtId="0" fontId="73" fillId="0" borderId="14" xfId="0" applyFont="1" applyBorder="1" applyAlignment="1">
      <alignment horizontal="center" vertical="center" wrapText="1"/>
    </xf>
    <xf numFmtId="0" fontId="73" fillId="0" borderId="70" xfId="0" applyFont="1" applyBorder="1" applyAlignment="1">
      <alignment horizontal="center" vertical="center" wrapText="1"/>
    </xf>
    <xf numFmtId="0" fontId="38" fillId="0" borderId="2" xfId="0" applyFont="1" applyBorder="1" applyAlignment="1">
      <alignment horizontal="center"/>
    </xf>
    <xf numFmtId="0" fontId="67" fillId="15" borderId="25" xfId="0" applyFont="1" applyFill="1" applyBorder="1" applyAlignment="1">
      <alignment horizontal="center" vertical="center"/>
    </xf>
    <xf numFmtId="0" fontId="67" fillId="15" borderId="26" xfId="0" applyFont="1" applyFill="1" applyBorder="1" applyAlignment="1">
      <alignment horizontal="center" vertical="center"/>
    </xf>
    <xf numFmtId="0" fontId="67" fillId="15" borderId="54" xfId="0" applyFont="1" applyFill="1" applyBorder="1" applyAlignment="1">
      <alignment horizontal="center" vertical="center"/>
    </xf>
    <xf numFmtId="0" fontId="67" fillId="15" borderId="28" xfId="0" applyFont="1" applyFill="1" applyBorder="1" applyAlignment="1">
      <alignment horizontal="center" vertical="center"/>
    </xf>
    <xf numFmtId="0" fontId="3" fillId="3" borderId="51" xfId="0" applyFont="1" applyFill="1" applyBorder="1" applyAlignment="1">
      <alignment horizontal="center"/>
    </xf>
    <xf numFmtId="0" fontId="3" fillId="3" borderId="49" xfId="0" applyFont="1" applyFill="1" applyBorder="1" applyAlignment="1">
      <alignment horizontal="center"/>
    </xf>
    <xf numFmtId="0" fontId="3" fillId="3" borderId="60" xfId="0" applyFont="1" applyFill="1" applyBorder="1" applyAlignment="1">
      <alignment horizontal="center"/>
    </xf>
    <xf numFmtId="0" fontId="3" fillId="3" borderId="27" xfId="0" applyFont="1" applyFill="1" applyBorder="1" applyAlignment="1">
      <alignment horizontal="center"/>
    </xf>
    <xf numFmtId="0" fontId="3" fillId="3" borderId="43" xfId="0" applyFont="1" applyFill="1" applyBorder="1" applyAlignment="1">
      <alignment horizontal="center"/>
    </xf>
    <xf numFmtId="0" fontId="3" fillId="3" borderId="48" xfId="0" applyFont="1" applyFill="1" applyBorder="1" applyAlignment="1">
      <alignment horizontal="center"/>
    </xf>
    <xf numFmtId="0" fontId="37" fillId="3" borderId="25" xfId="0" applyFont="1" applyFill="1" applyBorder="1" applyAlignment="1">
      <alignment horizontal="center" vertical="center" wrapText="1"/>
    </xf>
    <xf numFmtId="0" fontId="37" fillId="3" borderId="26" xfId="0" applyFont="1" applyFill="1" applyBorder="1" applyAlignment="1">
      <alignment horizontal="center" vertical="center" wrapText="1"/>
    </xf>
    <xf numFmtId="0" fontId="37" fillId="3" borderId="21" xfId="0" applyFont="1" applyFill="1" applyBorder="1" applyAlignment="1">
      <alignment horizontal="center" vertical="center" wrapText="1"/>
    </xf>
    <xf numFmtId="0" fontId="37" fillId="3" borderId="0" xfId="0" applyFont="1" applyFill="1" applyBorder="1" applyAlignment="1">
      <alignment horizontal="center" vertical="center" wrapText="1"/>
    </xf>
    <xf numFmtId="0" fontId="37" fillId="3" borderId="54" xfId="0" applyFont="1" applyFill="1" applyBorder="1" applyAlignment="1">
      <alignment horizontal="center" vertical="center" wrapText="1"/>
    </xf>
    <xf numFmtId="0" fontId="37" fillId="3" borderId="28" xfId="0" applyFont="1" applyFill="1" applyBorder="1" applyAlignment="1">
      <alignment horizontal="center" vertical="center" wrapText="1"/>
    </xf>
    <xf numFmtId="0" fontId="3" fillId="0" borderId="0" xfId="0" applyFont="1" applyFill="1" applyAlignment="1">
      <alignment horizontal="center"/>
    </xf>
    <xf numFmtId="0" fontId="3" fillId="26" borderId="51" xfId="0" applyFont="1" applyFill="1" applyBorder="1" applyAlignment="1">
      <alignment horizontal="center" vertical="center"/>
    </xf>
    <xf numFmtId="0" fontId="3" fillId="26" borderId="49" xfId="0" applyFont="1" applyFill="1" applyBorder="1" applyAlignment="1">
      <alignment horizontal="center" vertical="center"/>
    </xf>
    <xf numFmtId="0" fontId="3" fillId="26" borderId="52" xfId="0" applyFont="1" applyFill="1" applyBorder="1" applyAlignment="1">
      <alignment horizontal="center" vertical="center"/>
    </xf>
    <xf numFmtId="0" fontId="3" fillId="26" borderId="63" xfId="0" applyFont="1" applyFill="1" applyBorder="1" applyAlignment="1">
      <alignment horizontal="center" vertical="center"/>
    </xf>
    <xf numFmtId="0" fontId="1" fillId="0" borderId="0" xfId="0" applyFont="1" applyAlignment="1" applyProtection="1">
      <alignment horizontal="center" vertical="justify" wrapText="1"/>
      <protection hidden="1"/>
    </xf>
    <xf numFmtId="0" fontId="39" fillId="0" borderId="0" xfId="0" applyFont="1" applyFill="1" applyAlignment="1" applyProtection="1">
      <alignment horizontal="left" vertical="center"/>
      <protection hidden="1"/>
    </xf>
    <xf numFmtId="0" fontId="1" fillId="3" borderId="7" xfId="0" applyFont="1" applyFill="1" applyBorder="1" applyAlignment="1" applyProtection="1">
      <alignment horizontal="center" vertical="center" wrapText="1"/>
      <protection hidden="1"/>
    </xf>
    <xf numFmtId="0" fontId="1" fillId="3" borderId="30" xfId="0" applyFont="1" applyFill="1" applyBorder="1" applyAlignment="1" applyProtection="1">
      <alignment horizontal="center" vertical="center" wrapText="1"/>
      <protection hidden="1"/>
    </xf>
    <xf numFmtId="0" fontId="1" fillId="3" borderId="9" xfId="0" applyFont="1" applyFill="1" applyBorder="1" applyAlignment="1" applyProtection="1">
      <alignment horizontal="center" vertical="center" wrapText="1"/>
      <protection hidden="1"/>
    </xf>
    <xf numFmtId="0" fontId="1" fillId="3" borderId="31" xfId="0" applyFont="1" applyFill="1" applyBorder="1" applyAlignment="1" applyProtection="1">
      <alignment horizontal="center" vertical="center" wrapText="1"/>
      <protection hidden="1"/>
    </xf>
    <xf numFmtId="0" fontId="39" fillId="0" borderId="0" xfId="0" applyFont="1" applyFill="1" applyAlignment="1" applyProtection="1">
      <alignment horizontal="left" vertical="center" wrapText="1"/>
      <protection hidden="1"/>
    </xf>
    <xf numFmtId="0" fontId="39" fillId="0" borderId="11" xfId="0" applyFont="1" applyFill="1" applyBorder="1" applyAlignment="1" applyProtection="1">
      <alignment horizontal="center" vertical="center" wrapText="1"/>
      <protection hidden="1"/>
    </xf>
    <xf numFmtId="0" fontId="39" fillId="0" borderId="33" xfId="0" applyFont="1" applyFill="1" applyBorder="1" applyAlignment="1" applyProtection="1">
      <alignment horizontal="center" vertical="center" wrapText="1"/>
      <protection hidden="1"/>
    </xf>
    <xf numFmtId="0" fontId="39" fillId="0" borderId="12" xfId="0" applyFont="1" applyFill="1" applyBorder="1" applyAlignment="1" applyProtection="1">
      <alignment horizontal="center" vertical="center" wrapText="1"/>
      <protection hidden="1"/>
    </xf>
    <xf numFmtId="0" fontId="39" fillId="0" borderId="6" xfId="0" applyFont="1" applyFill="1" applyBorder="1" applyAlignment="1" applyProtection="1">
      <alignment horizontal="center" vertical="center" wrapText="1"/>
      <protection hidden="1"/>
    </xf>
    <xf numFmtId="0" fontId="39" fillId="0" borderId="15" xfId="0" applyFont="1" applyFill="1" applyBorder="1" applyAlignment="1" applyProtection="1">
      <alignment horizontal="center" vertical="center" wrapText="1"/>
      <protection hidden="1"/>
    </xf>
    <xf numFmtId="0" fontId="39" fillId="0" borderId="17" xfId="0" applyFont="1" applyFill="1" applyBorder="1" applyAlignment="1" applyProtection="1">
      <alignment horizontal="center" vertical="center" wrapText="1"/>
      <protection hidden="1"/>
    </xf>
    <xf numFmtId="0" fontId="39" fillId="0" borderId="16" xfId="0" applyFont="1" applyFill="1" applyBorder="1" applyAlignment="1" applyProtection="1">
      <alignment horizontal="center" vertical="center" wrapText="1"/>
      <protection hidden="1"/>
    </xf>
    <xf numFmtId="0" fontId="39" fillId="0" borderId="7" xfId="0" applyFont="1" applyFill="1" applyBorder="1" applyAlignment="1" applyProtection="1">
      <alignment horizontal="center" vertical="center" wrapText="1"/>
      <protection hidden="1"/>
    </xf>
    <xf numFmtId="0" fontId="39" fillId="0" borderId="9" xfId="0" applyFont="1" applyFill="1" applyBorder="1" applyAlignment="1" applyProtection="1">
      <alignment horizontal="center" vertical="center" wrapText="1"/>
      <protection hidden="1"/>
    </xf>
    <xf numFmtId="0" fontId="39" fillId="3" borderId="64" xfId="0" applyFont="1" applyFill="1" applyBorder="1" applyAlignment="1" applyProtection="1">
      <alignment horizontal="center" vertical="center" wrapText="1"/>
      <protection hidden="1"/>
    </xf>
    <xf numFmtId="0" fontId="39" fillId="3" borderId="59" xfId="0" applyFont="1" applyFill="1" applyBorder="1" applyAlignment="1" applyProtection="1">
      <alignment horizontal="center" vertical="center" wrapText="1"/>
      <protection hidden="1"/>
    </xf>
    <xf numFmtId="2" fontId="27" fillId="0" borderId="7" xfId="0" applyNumberFormat="1" applyFont="1" applyBorder="1" applyAlignment="1" applyProtection="1">
      <alignment horizontal="center" vertical="center" wrapText="1"/>
      <protection hidden="1"/>
    </xf>
    <xf numFmtId="0" fontId="27" fillId="0" borderId="30" xfId="0" applyFont="1" applyBorder="1" applyAlignment="1" applyProtection="1">
      <alignment horizontal="center" vertical="center" wrapText="1"/>
      <protection hidden="1"/>
    </xf>
    <xf numFmtId="0" fontId="27" fillId="0" borderId="7" xfId="0" applyFont="1" applyBorder="1" applyAlignment="1" applyProtection="1">
      <alignment horizontal="center" vertical="center" wrapText="1"/>
      <protection hidden="1"/>
    </xf>
    <xf numFmtId="0" fontId="27" fillId="0" borderId="9" xfId="0" applyFont="1" applyBorder="1" applyAlignment="1" applyProtection="1">
      <alignment horizontal="center" vertical="center" wrapText="1"/>
      <protection hidden="1"/>
    </xf>
    <xf numFmtId="0" fontId="1" fillId="0" borderId="31" xfId="0" applyFont="1" applyBorder="1" applyAlignment="1" applyProtection="1">
      <alignment horizontal="center" vertical="center" wrapText="1"/>
      <protection hidden="1"/>
    </xf>
    <xf numFmtId="0" fontId="1" fillId="0" borderId="30" xfId="0" applyFont="1" applyBorder="1" applyAlignment="1" applyProtection="1">
      <alignment horizontal="center" vertical="center" wrapText="1"/>
      <protection hidden="1"/>
    </xf>
    <xf numFmtId="0" fontId="39" fillId="0" borderId="0" xfId="0" applyFont="1" applyBorder="1" applyAlignment="1" applyProtection="1">
      <alignment horizontal="center"/>
      <protection hidden="1"/>
    </xf>
    <xf numFmtId="164" fontId="1" fillId="0" borderId="0" xfId="0" applyNumberFormat="1" applyFont="1" applyAlignment="1" applyProtection="1">
      <alignment horizontal="center"/>
      <protection hidden="1"/>
    </xf>
    <xf numFmtId="0" fontId="27" fillId="0" borderId="0" xfId="0" applyFont="1" applyAlignment="1" applyProtection="1">
      <alignment horizontal="justify" vertical="center" wrapText="1"/>
      <protection locked="0" hidden="1"/>
    </xf>
    <xf numFmtId="0" fontId="39" fillId="0" borderId="0" xfId="0" applyFont="1" applyAlignment="1" applyProtection="1">
      <alignment horizontal="center" vertical="center" wrapText="1"/>
      <protection hidden="1"/>
    </xf>
    <xf numFmtId="0" fontId="1" fillId="0" borderId="0" xfId="0" applyFont="1" applyAlignment="1" applyProtection="1">
      <alignment horizontal="center" vertical="center"/>
      <protection hidden="1"/>
    </xf>
    <xf numFmtId="164" fontId="1" fillId="0" borderId="0" xfId="0" applyNumberFormat="1" applyFont="1" applyAlignment="1" applyProtection="1">
      <alignment horizontal="left"/>
      <protection hidden="1"/>
    </xf>
    <xf numFmtId="0" fontId="39" fillId="0" borderId="26" xfId="0" applyFont="1" applyBorder="1" applyAlignment="1" applyProtection="1">
      <alignment horizontal="center" vertical="center" wrapText="1"/>
      <protection hidden="1"/>
    </xf>
    <xf numFmtId="0" fontId="39" fillId="0" borderId="0" xfId="0" applyFont="1" applyBorder="1" applyAlignment="1" applyProtection="1">
      <alignment horizontal="center" vertical="center" wrapText="1"/>
      <protection hidden="1"/>
    </xf>
    <xf numFmtId="0" fontId="1" fillId="0" borderId="0" xfId="0" applyFont="1" applyFill="1" applyAlignment="1" applyProtection="1">
      <alignment horizontal="right" vertical="center" wrapText="1"/>
      <protection hidden="1"/>
    </xf>
    <xf numFmtId="3" fontId="1" fillId="0" borderId="0" xfId="0" applyNumberFormat="1" applyFont="1" applyAlignment="1" applyProtection="1">
      <alignment horizontal="left" vertical="center" wrapText="1"/>
      <protection hidden="1"/>
    </xf>
    <xf numFmtId="49" fontId="39" fillId="0" borderId="0" xfId="0" applyNumberFormat="1" applyFont="1" applyAlignment="1" applyProtection="1">
      <alignment horizontal="right" vertical="center" wrapText="1"/>
      <protection hidden="1"/>
    </xf>
    <xf numFmtId="0" fontId="39" fillId="0" borderId="0" xfId="0" applyNumberFormat="1" applyFont="1" applyAlignment="1" applyProtection="1">
      <alignment horizontal="left" vertical="center" wrapText="1"/>
      <protection hidden="1"/>
    </xf>
    <xf numFmtId="0" fontId="28" fillId="0" borderId="22" xfId="0" applyFont="1" applyBorder="1" applyAlignment="1" applyProtection="1">
      <alignment horizontal="center" vertical="center" wrapText="1"/>
      <protection hidden="1"/>
    </xf>
    <xf numFmtId="2" fontId="83" fillId="24" borderId="22" xfId="2" applyFont="1" applyFill="1" applyBorder="1" applyAlignment="1">
      <alignment vertical="center"/>
      <protection hidden="1"/>
    </xf>
    <xf numFmtId="2" fontId="8" fillId="3" borderId="22" xfId="0" applyNumberFormat="1" applyFont="1" applyFill="1" applyBorder="1" applyAlignment="1" applyProtection="1">
      <alignment horizontal="center" vertical="center" wrapText="1"/>
    </xf>
    <xf numFmtId="164" fontId="8" fillId="3" borderId="22" xfId="0" applyNumberFormat="1" applyFont="1" applyFill="1" applyBorder="1" applyAlignment="1" applyProtection="1">
      <alignment horizontal="center" vertical="center" wrapText="1"/>
    </xf>
    <xf numFmtId="0" fontId="27" fillId="0" borderId="0" xfId="0" applyFont="1" applyAlignment="1" applyProtection="1">
      <alignment horizontal="justify" vertical="center" wrapText="1"/>
      <protection hidden="1"/>
    </xf>
    <xf numFmtId="0" fontId="27" fillId="0" borderId="0" xfId="0" applyFont="1" applyFill="1" applyAlignment="1" applyProtection="1">
      <alignment horizontal="justify" vertical="center" wrapText="1"/>
      <protection hidden="1"/>
    </xf>
    <xf numFmtId="2" fontId="83" fillId="0" borderId="0" xfId="2" applyFont="1" applyFill="1" applyAlignment="1">
      <alignment horizontal="left" vertical="center"/>
      <protection hidden="1"/>
    </xf>
    <xf numFmtId="0" fontId="1" fillId="0" borderId="0" xfId="0" applyFont="1" applyBorder="1" applyAlignment="1" applyProtection="1">
      <alignment horizontal="left" vertical="center" wrapText="1"/>
      <protection hidden="1"/>
    </xf>
    <xf numFmtId="2" fontId="1" fillId="3" borderId="0" xfId="0" applyNumberFormat="1" applyFont="1" applyFill="1" applyAlignment="1" applyProtection="1">
      <alignment horizontal="left" vertical="center" wrapText="1"/>
      <protection hidden="1"/>
    </xf>
    <xf numFmtId="0" fontId="1" fillId="3" borderId="0" xfId="0" applyFont="1" applyFill="1" applyAlignment="1" applyProtection="1">
      <alignment horizontal="left" vertical="center" wrapText="1"/>
      <protection hidden="1"/>
    </xf>
    <xf numFmtId="0" fontId="1" fillId="0" borderId="0" xfId="0" applyFont="1" applyAlignment="1" applyProtection="1">
      <alignment horizontal="center"/>
      <protection hidden="1"/>
    </xf>
    <xf numFmtId="2" fontId="27" fillId="0" borderId="0" xfId="0" applyNumberFormat="1" applyFont="1" applyFill="1" applyAlignment="1" applyProtection="1">
      <alignment horizontal="left" vertical="center" wrapText="1"/>
      <protection hidden="1"/>
    </xf>
    <xf numFmtId="2" fontId="1" fillId="0" borderId="0" xfId="0" applyNumberFormat="1" applyFont="1" applyBorder="1" applyAlignment="1" applyProtection="1">
      <alignment horizontal="left" vertical="center" wrapText="1"/>
      <protection hidden="1"/>
    </xf>
    <xf numFmtId="0" fontId="1" fillId="3" borderId="0" xfId="0" applyNumberFormat="1" applyFont="1" applyFill="1" applyAlignment="1" applyProtection="1">
      <alignment horizontal="left" vertical="center" wrapText="1"/>
      <protection hidden="1"/>
    </xf>
    <xf numFmtId="164" fontId="1" fillId="3" borderId="0" xfId="0" applyNumberFormat="1" applyFont="1" applyFill="1" applyAlignment="1" applyProtection="1">
      <alignment horizontal="left" vertical="center" wrapText="1"/>
      <protection hidden="1"/>
    </xf>
    <xf numFmtId="0" fontId="39" fillId="0" borderId="0" xfId="0" applyFont="1" applyBorder="1" applyAlignment="1" applyProtection="1">
      <alignment horizontal="left" vertical="center" wrapText="1"/>
      <protection hidden="1"/>
    </xf>
    <xf numFmtId="49" fontId="39" fillId="0" borderId="0" xfId="0" applyNumberFormat="1" applyFont="1" applyAlignment="1" applyProtection="1">
      <alignment horizontal="right"/>
      <protection hidden="1"/>
    </xf>
    <xf numFmtId="1" fontId="1" fillId="3" borderId="0" xfId="0" applyNumberFormat="1" applyFont="1" applyFill="1" applyAlignment="1" applyProtection="1">
      <alignment horizontal="left" vertical="center" wrapText="1"/>
      <protection hidden="1"/>
    </xf>
    <xf numFmtId="0" fontId="1" fillId="0" borderId="0" xfId="0" applyFont="1" applyBorder="1" applyAlignment="1" applyProtection="1">
      <alignment horizontal="right" vertical="center" wrapText="1"/>
      <protection hidden="1"/>
    </xf>
    <xf numFmtId="0" fontId="39" fillId="0" borderId="0" xfId="0" applyFont="1" applyFill="1" applyBorder="1" applyAlignment="1" applyProtection="1">
      <alignment horizontal="left" vertical="center" wrapText="1"/>
      <protection hidden="1"/>
    </xf>
    <xf numFmtId="0" fontId="1" fillId="0" borderId="28" xfId="0" applyFont="1" applyBorder="1" applyAlignment="1" applyProtection="1">
      <alignment horizontal="center"/>
      <protection hidden="1"/>
    </xf>
    <xf numFmtId="0" fontId="39" fillId="0" borderId="0" xfId="0" applyFont="1" applyAlignment="1" applyProtection="1">
      <alignment horizontal="left" vertical="center" wrapText="1"/>
      <protection hidden="1"/>
    </xf>
    <xf numFmtId="0" fontId="28" fillId="0" borderId="39" xfId="0" applyFont="1" applyBorder="1" applyAlignment="1" applyProtection="1">
      <alignment horizontal="center" vertical="center" wrapText="1"/>
      <protection hidden="1"/>
    </xf>
    <xf numFmtId="0" fontId="28" fillId="0" borderId="71" xfId="0" applyFont="1" applyBorder="1" applyAlignment="1" applyProtection="1">
      <alignment horizontal="center" vertical="center" wrapText="1"/>
      <protection hidden="1"/>
    </xf>
    <xf numFmtId="0" fontId="28" fillId="3" borderId="39" xfId="0" applyFont="1" applyFill="1" applyBorder="1" applyAlignment="1" applyProtection="1">
      <alignment horizontal="center" vertical="center" wrapText="1"/>
      <protection hidden="1"/>
    </xf>
    <xf numFmtId="0" fontId="28" fillId="3" borderId="71" xfId="0" applyFont="1" applyFill="1" applyBorder="1" applyAlignment="1" applyProtection="1">
      <alignment horizontal="center" vertical="center" wrapText="1"/>
      <protection hidden="1"/>
    </xf>
    <xf numFmtId="0" fontId="28" fillId="0" borderId="15" xfId="0" applyFont="1" applyFill="1" applyBorder="1" applyAlignment="1" applyProtection="1">
      <alignment horizontal="center" vertical="center" wrapText="1"/>
      <protection hidden="1"/>
    </xf>
    <xf numFmtId="0" fontId="28" fillId="0" borderId="16" xfId="0" applyFont="1" applyFill="1" applyBorder="1" applyAlignment="1" applyProtection="1">
      <alignment horizontal="center" vertical="center" wrapText="1"/>
      <protection hidden="1"/>
    </xf>
    <xf numFmtId="0" fontId="28" fillId="0" borderId="38" xfId="0" applyFont="1" applyFill="1" applyBorder="1" applyAlignment="1" applyProtection="1">
      <alignment horizontal="center" vertical="center" wrapText="1"/>
      <protection hidden="1"/>
    </xf>
    <xf numFmtId="0" fontId="28" fillId="0" borderId="61" xfId="0" applyFont="1" applyFill="1" applyBorder="1" applyAlignment="1" applyProtection="1">
      <alignment horizontal="center" vertical="center" wrapText="1"/>
      <protection hidden="1"/>
    </xf>
    <xf numFmtId="0" fontId="28" fillId="0" borderId="45" xfId="0" applyFont="1" applyFill="1" applyBorder="1" applyAlignment="1" applyProtection="1">
      <alignment horizontal="center" vertical="center" wrapText="1"/>
      <protection hidden="1"/>
    </xf>
    <xf numFmtId="0" fontId="28" fillId="0" borderId="73" xfId="0" applyFont="1" applyFill="1" applyBorder="1" applyAlignment="1" applyProtection="1">
      <alignment horizontal="center" vertical="center" wrapText="1"/>
      <protection hidden="1"/>
    </xf>
    <xf numFmtId="0" fontId="28" fillId="3" borderId="7" xfId="0" applyFont="1" applyFill="1" applyBorder="1" applyAlignment="1" applyProtection="1">
      <alignment horizontal="center" vertical="center" wrapText="1"/>
      <protection hidden="1"/>
    </xf>
    <xf numFmtId="0" fontId="28" fillId="3" borderId="9" xfId="0" applyFont="1" applyFill="1" applyBorder="1" applyAlignment="1" applyProtection="1">
      <alignment horizontal="center" vertical="center" wrapText="1"/>
      <protection hidden="1"/>
    </xf>
    <xf numFmtId="0" fontId="39" fillId="0" borderId="0" xfId="0" applyFont="1" applyAlignment="1" applyProtection="1">
      <alignment horizontal="left" vertical="center"/>
      <protection hidden="1"/>
    </xf>
    <xf numFmtId="0" fontId="27" fillId="3" borderId="0" xfId="0" applyFont="1" applyFill="1" applyAlignment="1" applyProtection="1">
      <alignment horizontal="justify" vertical="justify" wrapText="1"/>
      <protection hidden="1"/>
    </xf>
    <xf numFmtId="0" fontId="39" fillId="0" borderId="0" xfId="0" applyFont="1" applyAlignment="1" applyProtection="1">
      <alignment horizontal="center"/>
      <protection hidden="1"/>
    </xf>
    <xf numFmtId="0" fontId="41" fillId="0" borderId="22" xfId="0" applyFont="1" applyBorder="1" applyAlignment="1">
      <alignment horizontal="center" vertical="center"/>
    </xf>
    <xf numFmtId="0" fontId="80" fillId="0" borderId="22" xfId="0" applyFont="1" applyBorder="1" applyAlignment="1">
      <alignment horizontal="center" vertical="center"/>
    </xf>
    <xf numFmtId="0" fontId="79" fillId="0" borderId="22" xfId="0" applyFont="1" applyBorder="1" applyAlignment="1">
      <alignment horizontal="center" vertical="center"/>
    </xf>
    <xf numFmtId="0" fontId="41" fillId="0" borderId="12" xfId="0" applyFont="1" applyBorder="1" applyAlignment="1">
      <alignment horizontal="center" vertical="center"/>
    </xf>
    <xf numFmtId="0" fontId="41" fillId="0" borderId="5" xfId="0" applyFont="1" applyBorder="1" applyAlignment="1">
      <alignment horizontal="center" vertical="center"/>
    </xf>
    <xf numFmtId="0" fontId="41" fillId="0" borderId="3" xfId="0" applyFont="1" applyBorder="1" applyAlignment="1">
      <alignment horizontal="center" vertical="center"/>
    </xf>
    <xf numFmtId="0" fontId="41" fillId="0" borderId="2" xfId="0" applyFont="1" applyBorder="1" applyAlignment="1">
      <alignment horizontal="center" vertical="center"/>
    </xf>
    <xf numFmtId="0" fontId="46" fillId="12" borderId="15" xfId="0" applyFont="1" applyFill="1" applyBorder="1" applyAlignment="1">
      <alignment horizontal="center" vertical="center"/>
    </xf>
    <xf numFmtId="0" fontId="46" fillId="12" borderId="17" xfId="0" applyFont="1" applyFill="1" applyBorder="1" applyAlignment="1">
      <alignment horizontal="center" vertical="center"/>
    </xf>
    <xf numFmtId="0" fontId="46" fillId="12" borderId="16" xfId="0" applyFont="1" applyFill="1" applyBorder="1" applyAlignment="1">
      <alignment horizontal="center" vertical="center"/>
    </xf>
    <xf numFmtId="0" fontId="46" fillId="12" borderId="7" xfId="0" applyFont="1" applyFill="1" applyBorder="1" applyAlignment="1">
      <alignment horizontal="center" vertical="center"/>
    </xf>
    <xf numFmtId="0" fontId="46" fillId="12" borderId="8" xfId="0" applyFont="1" applyFill="1" applyBorder="1" applyAlignment="1">
      <alignment horizontal="center" vertical="center"/>
    </xf>
    <xf numFmtId="0" fontId="41" fillId="0" borderId="11" xfId="0" applyFont="1" applyBorder="1" applyAlignment="1">
      <alignment horizontal="center" vertical="center"/>
    </xf>
    <xf numFmtId="0" fontId="41" fillId="0" borderId="32" xfId="0" applyFont="1" applyBorder="1" applyAlignment="1">
      <alignment horizontal="center" vertical="center"/>
    </xf>
    <xf numFmtId="164" fontId="41" fillId="30" borderId="2" xfId="0" applyNumberFormat="1" applyFont="1" applyFill="1" applyBorder="1" applyAlignment="1" applyProtection="1">
      <alignment horizontal="center" vertical="center" wrapText="1"/>
    </xf>
    <xf numFmtId="0" fontId="51" fillId="30" borderId="2" xfId="0" applyFont="1" applyFill="1" applyBorder="1" applyAlignment="1">
      <alignment horizontal="center" vertical="center" wrapText="1"/>
    </xf>
    <xf numFmtId="0" fontId="51" fillId="30" borderId="5" xfId="0" applyFont="1" applyFill="1" applyBorder="1" applyAlignment="1">
      <alignment horizontal="center" vertical="center" wrapText="1"/>
    </xf>
    <xf numFmtId="164" fontId="41" fillId="30" borderId="10" xfId="0" applyNumberFormat="1" applyFont="1" applyFill="1" applyBorder="1" applyAlignment="1" applyProtection="1">
      <alignment horizontal="center" vertical="center" wrapText="1"/>
    </xf>
    <xf numFmtId="0" fontId="51" fillId="30" borderId="10" xfId="0" applyFont="1" applyFill="1" applyBorder="1" applyAlignment="1">
      <alignment horizontal="center" vertical="center" wrapText="1"/>
    </xf>
    <xf numFmtId="0" fontId="51" fillId="30" borderId="6" xfId="0" applyFont="1" applyFill="1" applyBorder="1" applyAlignment="1">
      <alignment horizontal="center" vertical="center" wrapText="1"/>
    </xf>
    <xf numFmtId="164" fontId="41" fillId="30" borderId="32" xfId="0" applyNumberFormat="1" applyFont="1" applyFill="1" applyBorder="1" applyAlignment="1" applyProtection="1">
      <alignment horizontal="center" vertical="center" wrapText="1"/>
    </xf>
    <xf numFmtId="164" fontId="41" fillId="30" borderId="33" xfId="0" applyNumberFormat="1" applyFont="1" applyFill="1" applyBorder="1" applyAlignment="1" applyProtection="1">
      <alignment horizontal="center" vertical="center" wrapText="1"/>
    </xf>
    <xf numFmtId="0" fontId="42" fillId="21" borderId="25" xfId="0" applyFont="1" applyFill="1" applyBorder="1" applyAlignment="1" applyProtection="1">
      <alignment horizontal="center" vertical="center"/>
    </xf>
    <xf numFmtId="0" fontId="42" fillId="21" borderId="24" xfId="0" applyFont="1" applyFill="1" applyBorder="1" applyAlignment="1" applyProtection="1">
      <alignment horizontal="center" vertical="center"/>
    </xf>
    <xf numFmtId="0" fontId="42" fillId="21" borderId="21" xfId="0" applyFont="1" applyFill="1" applyBorder="1" applyAlignment="1" applyProtection="1">
      <alignment horizontal="center" vertical="center"/>
    </xf>
    <xf numFmtId="0" fontId="42" fillId="21" borderId="29" xfId="0" applyFont="1" applyFill="1" applyBorder="1" applyAlignment="1" applyProtection="1">
      <alignment horizontal="center" vertical="center"/>
    </xf>
    <xf numFmtId="0" fontId="42" fillId="21" borderId="54" xfId="0" applyFont="1" applyFill="1" applyBorder="1" applyAlignment="1" applyProtection="1">
      <alignment horizontal="center" vertical="center"/>
    </xf>
    <xf numFmtId="0" fontId="42" fillId="21" borderId="23" xfId="0" applyFont="1" applyFill="1" applyBorder="1" applyAlignment="1" applyProtection="1">
      <alignment horizontal="center" vertical="center"/>
    </xf>
    <xf numFmtId="0" fontId="41" fillId="30" borderId="19" xfId="0" applyFont="1" applyFill="1" applyBorder="1" applyAlignment="1" applyProtection="1">
      <alignment horizontal="center" vertical="center" wrapText="1"/>
    </xf>
    <xf numFmtId="0" fontId="51" fillId="30" borderId="19" xfId="0" applyFont="1" applyFill="1" applyBorder="1" applyAlignment="1">
      <alignment horizontal="center" vertical="center" wrapText="1"/>
    </xf>
    <xf numFmtId="0" fontId="41" fillId="21" borderId="51" xfId="0" applyFont="1" applyFill="1" applyBorder="1" applyAlignment="1" applyProtection="1">
      <alignment horizontal="center" vertical="center" wrapText="1"/>
    </xf>
    <xf numFmtId="0" fontId="51" fillId="0" borderId="60" xfId="0" applyFont="1" applyBorder="1" applyAlignment="1">
      <alignment horizontal="center" vertical="center" wrapText="1"/>
    </xf>
    <xf numFmtId="0" fontId="51" fillId="0" borderId="43" xfId="0" applyFont="1" applyBorder="1" applyAlignment="1">
      <alignment horizontal="center" vertical="center" wrapText="1"/>
    </xf>
    <xf numFmtId="0" fontId="46" fillId="12" borderId="25" xfId="0" applyFont="1" applyFill="1" applyBorder="1" applyAlignment="1">
      <alignment horizontal="center" vertical="center"/>
    </xf>
    <xf numFmtId="0" fontId="46" fillId="12" borderId="26" xfId="0" applyFont="1" applyFill="1" applyBorder="1" applyAlignment="1">
      <alignment horizontal="center" vertical="center"/>
    </xf>
    <xf numFmtId="0" fontId="46" fillId="12" borderId="24" xfId="0" applyFont="1" applyFill="1" applyBorder="1" applyAlignment="1">
      <alignment horizontal="center" vertical="center"/>
    </xf>
    <xf numFmtId="0" fontId="46" fillId="12" borderId="54" xfId="0" applyFont="1" applyFill="1" applyBorder="1" applyAlignment="1">
      <alignment horizontal="center" vertical="center"/>
    </xf>
    <xf numFmtId="0" fontId="46" fillId="12" borderId="28" xfId="0" applyFont="1" applyFill="1" applyBorder="1" applyAlignment="1">
      <alignment horizontal="center" vertical="center"/>
    </xf>
    <xf numFmtId="0" fontId="46" fillId="12" borderId="23" xfId="0" applyFont="1" applyFill="1" applyBorder="1" applyAlignment="1">
      <alignment horizontal="center" vertical="center"/>
    </xf>
    <xf numFmtId="3" fontId="41" fillId="30" borderId="72" xfId="0" applyNumberFormat="1" applyFont="1" applyFill="1" applyBorder="1" applyAlignment="1" applyProtection="1">
      <alignment horizontal="center" vertical="center" wrapText="1"/>
    </xf>
    <xf numFmtId="0" fontId="51" fillId="30" borderId="64" xfId="0" applyFont="1" applyFill="1" applyBorder="1" applyAlignment="1">
      <alignment horizontal="center" vertical="center" wrapText="1"/>
    </xf>
    <xf numFmtId="0" fontId="51" fillId="30" borderId="53" xfId="0" applyFont="1" applyFill="1" applyBorder="1" applyAlignment="1">
      <alignment horizontal="center" vertical="center" wrapText="1"/>
    </xf>
    <xf numFmtId="164" fontId="41" fillId="30" borderId="20" xfId="0" applyNumberFormat="1" applyFont="1" applyFill="1" applyBorder="1" applyAlignment="1" applyProtection="1">
      <alignment horizontal="center" vertical="center" wrapText="1"/>
    </xf>
    <xf numFmtId="0" fontId="51" fillId="30" borderId="27" xfId="0" applyFont="1" applyFill="1" applyBorder="1" applyAlignment="1">
      <alignment horizontal="center" vertical="center" wrapText="1"/>
    </xf>
    <xf numFmtId="0" fontId="51" fillId="30" borderId="1" xfId="0" applyFont="1" applyFill="1" applyBorder="1" applyAlignment="1">
      <alignment horizontal="center" vertical="center" wrapText="1"/>
    </xf>
    <xf numFmtId="14" fontId="41" fillId="30" borderId="34" xfId="0" applyNumberFormat="1" applyFont="1" applyFill="1" applyBorder="1" applyAlignment="1" applyProtection="1">
      <alignment horizontal="center" vertical="center" wrapText="1"/>
    </xf>
    <xf numFmtId="0" fontId="51" fillId="30" borderId="59" xfId="0" applyFont="1" applyFill="1" applyBorder="1" applyAlignment="1">
      <alignment horizontal="center" vertical="center" wrapText="1"/>
    </xf>
    <xf numFmtId="0" fontId="51" fillId="30" borderId="50" xfId="0" applyFont="1" applyFill="1" applyBorder="1" applyAlignment="1">
      <alignment horizontal="center" vertical="center" wrapText="1"/>
    </xf>
    <xf numFmtId="0" fontId="41" fillId="30" borderId="52" xfId="0" applyFont="1" applyFill="1" applyBorder="1" applyAlignment="1" applyProtection="1">
      <alignment horizontal="center" vertical="center" wrapText="1"/>
    </xf>
    <xf numFmtId="0" fontId="41" fillId="30" borderId="59" xfId="0" applyFont="1" applyFill="1" applyBorder="1" applyAlignment="1" applyProtection="1">
      <alignment horizontal="center" vertical="center" wrapText="1"/>
    </xf>
    <xf numFmtId="0" fontId="41" fillId="30" borderId="55" xfId="0" applyFont="1" applyFill="1" applyBorder="1" applyAlignment="1" applyProtection="1">
      <alignment horizontal="center" vertical="center" wrapText="1"/>
    </xf>
    <xf numFmtId="0" fontId="41" fillId="29" borderId="72" xfId="0" applyFont="1" applyFill="1" applyBorder="1" applyAlignment="1" applyProtection="1">
      <alignment horizontal="center" vertical="center"/>
    </xf>
    <xf numFmtId="0" fontId="41" fillId="29" borderId="64" xfId="0" applyFont="1" applyFill="1" applyBorder="1" applyAlignment="1" applyProtection="1">
      <alignment horizontal="center" vertical="center"/>
    </xf>
    <xf numFmtId="0" fontId="41" fillId="29" borderId="65" xfId="0" applyFont="1" applyFill="1" applyBorder="1" applyAlignment="1" applyProtection="1">
      <alignment horizontal="center" vertical="center"/>
    </xf>
    <xf numFmtId="0" fontId="41" fillId="29" borderId="19" xfId="0" applyFont="1" applyFill="1" applyBorder="1" applyAlignment="1" applyProtection="1">
      <alignment horizontal="center" vertical="center" wrapText="1"/>
    </xf>
    <xf numFmtId="0" fontId="51" fillId="29" borderId="19" xfId="0" applyFont="1" applyFill="1" applyBorder="1" applyAlignment="1">
      <alignment horizontal="center" vertical="center" wrapText="1"/>
    </xf>
    <xf numFmtId="0" fontId="51" fillId="29" borderId="37" xfId="0" applyFont="1" applyFill="1" applyBorder="1" applyAlignment="1">
      <alignment horizontal="center" vertical="center" wrapText="1"/>
    </xf>
    <xf numFmtId="164" fontId="41" fillId="29" borderId="2" xfId="0" applyNumberFormat="1" applyFont="1" applyFill="1" applyBorder="1" applyAlignment="1" applyProtection="1">
      <alignment horizontal="center" vertical="center" wrapText="1"/>
    </xf>
    <xf numFmtId="0" fontId="51" fillId="29" borderId="2" xfId="0" applyFont="1" applyFill="1" applyBorder="1" applyAlignment="1">
      <alignment horizontal="center" vertical="center" wrapText="1"/>
    </xf>
    <xf numFmtId="0" fontId="51" fillId="29" borderId="5" xfId="0" applyFont="1" applyFill="1" applyBorder="1" applyAlignment="1">
      <alignment horizontal="center" vertical="center" wrapText="1"/>
    </xf>
    <xf numFmtId="164" fontId="41" fillId="29" borderId="10" xfId="0" applyNumberFormat="1" applyFont="1" applyFill="1" applyBorder="1" applyAlignment="1" applyProtection="1">
      <alignment horizontal="center" vertical="center" wrapText="1"/>
    </xf>
    <xf numFmtId="0" fontId="51" fillId="29" borderId="10" xfId="0" applyFont="1" applyFill="1" applyBorder="1" applyAlignment="1">
      <alignment horizontal="center" vertical="center" wrapText="1"/>
    </xf>
    <xf numFmtId="0" fontId="51" fillId="29" borderId="6" xfId="0" applyFont="1" applyFill="1" applyBorder="1" applyAlignment="1">
      <alignment horizontal="center" vertical="center" wrapText="1"/>
    </xf>
    <xf numFmtId="0" fontId="42" fillId="8" borderId="15" xfId="0" applyFont="1" applyFill="1" applyBorder="1" applyAlignment="1">
      <alignment horizontal="center" vertical="center"/>
    </xf>
    <xf numFmtId="0" fontId="42" fillId="8" borderId="17" xfId="0" applyFont="1" applyFill="1" applyBorder="1" applyAlignment="1">
      <alignment horizontal="center" vertical="center"/>
    </xf>
    <xf numFmtId="0" fontId="42" fillId="8" borderId="16" xfId="0" applyFont="1" applyFill="1" applyBorder="1" applyAlignment="1">
      <alignment horizontal="center" vertical="center"/>
    </xf>
    <xf numFmtId="0" fontId="41" fillId="21" borderId="60" xfId="0" applyFont="1" applyFill="1" applyBorder="1" applyAlignment="1" applyProtection="1">
      <alignment horizontal="center" vertical="center" wrapText="1"/>
    </xf>
    <xf numFmtId="0" fontId="41" fillId="21" borderId="43" xfId="0" applyFont="1" applyFill="1" applyBorder="1" applyAlignment="1" applyProtection="1">
      <alignment horizontal="center" vertical="center" wrapText="1"/>
    </xf>
    <xf numFmtId="0" fontId="41" fillId="21" borderId="49" xfId="0" applyFont="1" applyFill="1" applyBorder="1" applyAlignment="1" applyProtection="1">
      <alignment horizontal="center" vertical="center"/>
    </xf>
    <xf numFmtId="0" fontId="41" fillId="21" borderId="27" xfId="0" applyFont="1" applyFill="1" applyBorder="1" applyAlignment="1" applyProtection="1">
      <alignment horizontal="center" vertical="center"/>
    </xf>
    <xf numFmtId="0" fontId="41" fillId="21" borderId="48" xfId="0" applyFont="1" applyFill="1" applyBorder="1" applyAlignment="1" applyProtection="1">
      <alignment horizontal="center" vertical="center"/>
    </xf>
    <xf numFmtId="3" fontId="41" fillId="21" borderId="52" xfId="0" applyNumberFormat="1" applyFont="1" applyFill="1" applyBorder="1" applyAlignment="1" applyProtection="1">
      <alignment horizontal="center" vertical="center" wrapText="1"/>
    </xf>
    <xf numFmtId="0" fontId="51" fillId="0" borderId="59" xfId="0" applyFont="1" applyBorder="1" applyAlignment="1">
      <alignment horizontal="center" vertical="center" wrapText="1"/>
    </xf>
    <xf numFmtId="0" fontId="51" fillId="0" borderId="55" xfId="0" applyFont="1" applyBorder="1" applyAlignment="1">
      <alignment horizontal="center" vertical="center" wrapText="1"/>
    </xf>
    <xf numFmtId="0" fontId="41" fillId="22" borderId="40" xfId="0" applyFont="1" applyFill="1" applyBorder="1" applyAlignment="1" applyProtection="1">
      <alignment horizontal="center" vertical="center" wrapText="1"/>
    </xf>
    <xf numFmtId="0" fontId="51" fillId="22" borderId="19" xfId="0" applyFont="1" applyFill="1" applyBorder="1" applyAlignment="1">
      <alignment horizontal="center" vertical="center" wrapText="1"/>
    </xf>
    <xf numFmtId="0" fontId="42" fillId="21" borderId="25" xfId="0" applyFont="1" applyFill="1" applyBorder="1" applyAlignment="1" applyProtection="1">
      <alignment horizontal="center" vertical="center" wrapText="1"/>
    </xf>
    <xf numFmtId="0" fontId="42" fillId="21" borderId="24" xfId="0" applyFont="1" applyFill="1" applyBorder="1" applyAlignment="1" applyProtection="1">
      <alignment horizontal="center" vertical="center" wrapText="1"/>
    </xf>
    <xf numFmtId="0" fontId="42" fillId="21" borderId="21" xfId="0" applyFont="1" applyFill="1" applyBorder="1" applyAlignment="1" applyProtection="1">
      <alignment horizontal="center" vertical="center" wrapText="1"/>
    </xf>
    <xf numFmtId="0" fontId="42" fillId="21" borderId="29" xfId="0" applyFont="1" applyFill="1" applyBorder="1" applyAlignment="1" applyProtection="1">
      <alignment horizontal="center" vertical="center" wrapText="1"/>
    </xf>
    <xf numFmtId="0" fontId="42" fillId="21" borderId="54" xfId="0" applyFont="1" applyFill="1" applyBorder="1" applyAlignment="1" applyProtection="1">
      <alignment horizontal="center" vertical="center" wrapText="1"/>
    </xf>
    <xf numFmtId="0" fontId="42" fillId="21" borderId="23" xfId="0" applyFont="1" applyFill="1" applyBorder="1" applyAlignment="1" applyProtection="1">
      <alignment horizontal="center" vertical="center" wrapText="1"/>
    </xf>
    <xf numFmtId="0" fontId="41" fillId="21" borderId="49" xfId="0" applyFont="1" applyFill="1" applyBorder="1" applyAlignment="1" applyProtection="1">
      <alignment horizontal="center" vertical="center" wrapText="1"/>
    </xf>
    <xf numFmtId="0" fontId="51" fillId="0" borderId="27" xfId="0" applyFont="1" applyBorder="1" applyAlignment="1">
      <alignment horizontal="center" vertical="center" wrapText="1"/>
    </xf>
    <xf numFmtId="0" fontId="51" fillId="0" borderId="48" xfId="0" applyFont="1" applyBorder="1" applyAlignment="1">
      <alignment horizontal="center" vertical="center" wrapText="1"/>
    </xf>
    <xf numFmtId="0" fontId="41" fillId="30" borderId="63" xfId="0" applyFont="1" applyFill="1" applyBorder="1" applyAlignment="1" applyProtection="1">
      <alignment horizontal="center" vertical="center" wrapText="1"/>
    </xf>
    <xf numFmtId="2" fontId="41" fillId="0" borderId="2" xfId="0" applyNumberFormat="1" applyFont="1" applyFill="1" applyBorder="1" applyAlignment="1">
      <alignment horizontal="center" vertical="center"/>
    </xf>
    <xf numFmtId="0" fontId="51" fillId="30" borderId="65" xfId="0" applyFont="1" applyFill="1" applyBorder="1" applyAlignment="1">
      <alignment horizontal="center" vertical="center" wrapText="1"/>
    </xf>
    <xf numFmtId="0" fontId="51" fillId="30" borderId="48" xfId="0" applyFont="1" applyFill="1" applyBorder="1" applyAlignment="1">
      <alignment horizontal="center" vertical="center" wrapText="1"/>
    </xf>
    <xf numFmtId="0" fontId="51" fillId="30" borderId="55" xfId="0" applyFont="1" applyFill="1" applyBorder="1" applyAlignment="1">
      <alignment horizontal="center" vertical="center" wrapText="1"/>
    </xf>
    <xf numFmtId="164" fontId="41" fillId="30" borderId="49" xfId="0" applyNumberFormat="1" applyFont="1" applyFill="1" applyBorder="1" applyAlignment="1" applyProtection="1">
      <alignment horizontal="center" vertical="center" wrapText="1"/>
    </xf>
    <xf numFmtId="164" fontId="41" fillId="30" borderId="27" xfId="0" applyNumberFormat="1" applyFont="1" applyFill="1" applyBorder="1" applyAlignment="1" applyProtection="1">
      <alignment horizontal="center" vertical="center" wrapText="1"/>
    </xf>
    <xf numFmtId="164" fontId="41" fillId="30" borderId="48" xfId="0" applyNumberFormat="1" applyFont="1" applyFill="1" applyBorder="1" applyAlignment="1" applyProtection="1">
      <alignment horizontal="center" vertical="center" wrapText="1"/>
    </xf>
    <xf numFmtId="0" fontId="41" fillId="22" borderId="19" xfId="0" applyFont="1" applyFill="1" applyBorder="1" applyAlignment="1" applyProtection="1">
      <alignment horizontal="center" vertical="center" wrapText="1"/>
    </xf>
    <xf numFmtId="164" fontId="41" fillId="22" borderId="1" xfId="0" applyNumberFormat="1" applyFont="1" applyFill="1" applyBorder="1" applyAlignment="1" applyProtection="1">
      <alignment horizontal="center" vertical="center" wrapText="1"/>
    </xf>
    <xf numFmtId="0" fontId="51" fillId="22" borderId="2" xfId="0" applyFont="1" applyFill="1" applyBorder="1" applyAlignment="1">
      <alignment horizontal="center" vertical="center" wrapText="1"/>
    </xf>
    <xf numFmtId="164" fontId="41" fillId="22" borderId="10" xfId="0" applyNumberFormat="1" applyFont="1" applyFill="1" applyBorder="1" applyAlignment="1" applyProtection="1">
      <alignment horizontal="center" vertical="center" wrapText="1"/>
    </xf>
    <xf numFmtId="0" fontId="51" fillId="22" borderId="10" xfId="0" applyFont="1" applyFill="1" applyBorder="1" applyAlignment="1">
      <alignment horizontal="center" vertical="center" wrapText="1"/>
    </xf>
    <xf numFmtId="49" fontId="41" fillId="21" borderId="52" xfId="0" applyNumberFormat="1" applyFont="1" applyFill="1" applyBorder="1" applyAlignment="1" applyProtection="1">
      <alignment horizontal="center" vertical="center" wrapText="1"/>
    </xf>
    <xf numFmtId="0" fontId="41" fillId="30" borderId="40" xfId="0" applyFont="1" applyFill="1" applyBorder="1" applyAlignment="1" applyProtection="1">
      <alignment horizontal="center" vertical="center" wrapText="1"/>
    </xf>
    <xf numFmtId="1" fontId="41" fillId="30" borderId="19" xfId="0" applyNumberFormat="1" applyFont="1" applyFill="1" applyBorder="1" applyAlignment="1" applyProtection="1">
      <alignment horizontal="center" vertical="center" wrapText="1"/>
    </xf>
    <xf numFmtId="1" fontId="51" fillId="30" borderId="19" xfId="0" applyNumberFormat="1" applyFont="1" applyFill="1" applyBorder="1" applyAlignment="1">
      <alignment horizontal="center" vertical="center" wrapText="1"/>
    </xf>
    <xf numFmtId="1" fontId="51" fillId="30" borderId="37" xfId="0" applyNumberFormat="1" applyFont="1" applyFill="1" applyBorder="1" applyAlignment="1">
      <alignment horizontal="center" vertical="center" wrapText="1"/>
    </xf>
    <xf numFmtId="2" fontId="41" fillId="0" borderId="32" xfId="0" applyNumberFormat="1" applyFont="1" applyFill="1" applyBorder="1" applyAlignment="1">
      <alignment horizontal="center" vertical="center"/>
    </xf>
    <xf numFmtId="2" fontId="41" fillId="0" borderId="32" xfId="0" applyNumberFormat="1" applyFont="1" applyFill="1" applyBorder="1" applyAlignment="1">
      <alignment horizontal="center" vertical="center" wrapText="1"/>
    </xf>
    <xf numFmtId="2" fontId="41" fillId="0" borderId="2" xfId="0" applyNumberFormat="1" applyFont="1" applyFill="1" applyBorder="1" applyAlignment="1">
      <alignment horizontal="center" vertical="center" wrapText="1"/>
    </xf>
    <xf numFmtId="0" fontId="42" fillId="8" borderId="68" xfId="0" applyFont="1" applyFill="1" applyBorder="1" applyAlignment="1">
      <alignment horizontal="center" vertical="center"/>
    </xf>
    <xf numFmtId="0" fontId="42" fillId="8" borderId="42" xfId="0" applyFont="1" applyFill="1" applyBorder="1" applyAlignment="1">
      <alignment horizontal="center" vertical="center"/>
    </xf>
    <xf numFmtId="0" fontId="42" fillId="8" borderId="25" xfId="0" applyFont="1" applyFill="1" applyBorder="1" applyAlignment="1">
      <alignment horizontal="center" vertical="center"/>
    </xf>
    <xf numFmtId="0" fontId="42" fillId="8" borderId="26" xfId="0" applyFont="1" applyFill="1" applyBorder="1" applyAlignment="1">
      <alignment horizontal="center" vertical="center"/>
    </xf>
    <xf numFmtId="0" fontId="42" fillId="8" borderId="24" xfId="0" applyFont="1" applyFill="1" applyBorder="1" applyAlignment="1">
      <alignment horizontal="center" vertical="center"/>
    </xf>
    <xf numFmtId="0" fontId="42" fillId="8" borderId="54" xfId="0" applyFont="1" applyFill="1" applyBorder="1" applyAlignment="1">
      <alignment horizontal="center" vertical="center"/>
    </xf>
    <xf numFmtId="0" fontId="42" fillId="8" borderId="28" xfId="0" applyFont="1" applyFill="1" applyBorder="1" applyAlignment="1">
      <alignment horizontal="center" vertical="center"/>
    </xf>
    <xf numFmtId="0" fontId="42" fillId="8" borderId="23" xfId="0" applyFont="1" applyFill="1" applyBorder="1" applyAlignment="1">
      <alignment horizontal="center" vertical="center"/>
    </xf>
    <xf numFmtId="0" fontId="41" fillId="30" borderId="2" xfId="0" applyFont="1" applyFill="1" applyBorder="1" applyAlignment="1" applyProtection="1">
      <alignment horizontal="center" vertical="center" wrapText="1"/>
    </xf>
    <xf numFmtId="164" fontId="41" fillId="22" borderId="32" xfId="0" applyNumberFormat="1" applyFont="1" applyFill="1" applyBorder="1" applyAlignment="1" applyProtection="1">
      <alignment horizontal="center" vertical="center" wrapText="1"/>
    </xf>
    <xf numFmtId="164" fontId="41" fillId="22" borderId="33" xfId="0" applyNumberFormat="1" applyFont="1" applyFill="1" applyBorder="1" applyAlignment="1" applyProtection="1">
      <alignment horizontal="center" vertical="center" wrapText="1"/>
    </xf>
    <xf numFmtId="0" fontId="41" fillId="22" borderId="52" xfId="0" applyFont="1" applyFill="1" applyBorder="1" applyAlignment="1" applyProtection="1">
      <alignment horizontal="center" vertical="center" wrapText="1"/>
    </xf>
    <xf numFmtId="0" fontId="41" fillId="22" borderId="59" xfId="0" applyFont="1" applyFill="1" applyBorder="1" applyAlignment="1" applyProtection="1">
      <alignment horizontal="center" vertical="center" wrapText="1"/>
    </xf>
    <xf numFmtId="0" fontId="41" fillId="22" borderId="55" xfId="0" applyFont="1" applyFill="1" applyBorder="1" applyAlignment="1" applyProtection="1">
      <alignment horizontal="center" vertical="center" wrapText="1"/>
    </xf>
    <xf numFmtId="164" fontId="41" fillId="22" borderId="49" xfId="0" applyNumberFormat="1" applyFont="1" applyFill="1" applyBorder="1" applyAlignment="1" applyProtection="1">
      <alignment horizontal="center" vertical="center" wrapText="1"/>
    </xf>
    <xf numFmtId="164" fontId="41" fillId="22" borderId="27" xfId="0" applyNumberFormat="1" applyFont="1" applyFill="1" applyBorder="1" applyAlignment="1" applyProtection="1">
      <alignment horizontal="center" vertical="center" wrapText="1"/>
    </xf>
    <xf numFmtId="164" fontId="41" fillId="22" borderId="48" xfId="0" applyNumberFormat="1" applyFont="1" applyFill="1" applyBorder="1" applyAlignment="1" applyProtection="1">
      <alignment horizontal="center" vertical="center" wrapText="1"/>
    </xf>
    <xf numFmtId="164" fontId="41" fillId="29" borderId="20" xfId="0" applyNumberFormat="1" applyFont="1" applyFill="1" applyBorder="1" applyAlignment="1" applyProtection="1">
      <alignment horizontal="center" vertical="center"/>
    </xf>
    <xf numFmtId="164" fontId="41" fillId="29" borderId="27" xfId="0" applyNumberFormat="1" applyFont="1" applyFill="1" applyBorder="1" applyAlignment="1" applyProtection="1">
      <alignment horizontal="center" vertical="center"/>
    </xf>
    <xf numFmtId="164" fontId="41" fillId="29" borderId="48" xfId="0" applyNumberFormat="1" applyFont="1" applyFill="1" applyBorder="1" applyAlignment="1" applyProtection="1">
      <alignment horizontal="center" vertical="center"/>
    </xf>
    <xf numFmtId="0" fontId="41" fillId="29" borderId="34" xfId="0" applyFont="1" applyFill="1" applyBorder="1" applyAlignment="1" applyProtection="1">
      <alignment horizontal="center" vertical="center"/>
    </xf>
    <xf numFmtId="0" fontId="41" fillId="29" borderId="59" xfId="0" applyFont="1" applyFill="1" applyBorder="1" applyAlignment="1" applyProtection="1">
      <alignment horizontal="center" vertical="center"/>
    </xf>
    <xf numFmtId="0" fontId="41" fillId="29" borderId="55" xfId="0" applyFont="1" applyFill="1" applyBorder="1" applyAlignment="1" applyProtection="1">
      <alignment horizontal="center" vertical="center"/>
    </xf>
    <xf numFmtId="14" fontId="41" fillId="30" borderId="52" xfId="0" applyNumberFormat="1" applyFont="1" applyFill="1" applyBorder="1" applyAlignment="1" applyProtection="1">
      <alignment horizontal="center" vertical="center"/>
    </xf>
    <xf numFmtId="14" fontId="41" fillId="30" borderId="59" xfId="0" applyNumberFormat="1" applyFont="1" applyFill="1" applyBorder="1" applyAlignment="1" applyProtection="1">
      <alignment horizontal="center" vertical="center"/>
    </xf>
    <xf numFmtId="14" fontId="41" fillId="30" borderId="50" xfId="0" applyNumberFormat="1" applyFont="1" applyFill="1" applyBorder="1" applyAlignment="1" applyProtection="1">
      <alignment horizontal="center" vertical="center"/>
    </xf>
    <xf numFmtId="0" fontId="41" fillId="29" borderId="19" xfId="0" applyFont="1" applyFill="1" applyBorder="1" applyAlignment="1" applyProtection="1">
      <alignment horizontal="center" vertical="center"/>
    </xf>
    <xf numFmtId="164" fontId="41" fillId="29" borderId="1" xfId="0" applyNumberFormat="1" applyFont="1" applyFill="1" applyBorder="1" applyAlignment="1" applyProtection="1">
      <alignment horizontal="center" vertical="center"/>
    </xf>
    <xf numFmtId="14" fontId="41" fillId="29" borderId="34" xfId="0" applyNumberFormat="1" applyFont="1" applyFill="1" applyBorder="1" applyAlignment="1" applyProtection="1">
      <alignment horizontal="center" vertical="center"/>
    </xf>
    <xf numFmtId="14" fontId="41" fillId="29" borderId="59" xfId="0" applyNumberFormat="1" applyFont="1" applyFill="1" applyBorder="1" applyAlignment="1" applyProtection="1">
      <alignment horizontal="center" vertical="center"/>
    </xf>
    <xf numFmtId="14" fontId="41" fillId="29" borderId="50" xfId="0" applyNumberFormat="1" applyFont="1" applyFill="1" applyBorder="1" applyAlignment="1" applyProtection="1">
      <alignment horizontal="center" vertical="center"/>
    </xf>
    <xf numFmtId="3" fontId="41" fillId="21" borderId="62" xfId="0" applyNumberFormat="1" applyFont="1" applyFill="1" applyBorder="1" applyAlignment="1" applyProtection="1">
      <alignment horizontal="center" vertical="center" wrapText="1"/>
    </xf>
    <xf numFmtId="0" fontId="51" fillId="0" borderId="69" xfId="0" applyFont="1" applyBorder="1" applyAlignment="1">
      <alignment horizontal="center" vertical="center" wrapText="1"/>
    </xf>
    <xf numFmtId="0" fontId="51" fillId="0" borderId="67" xfId="0" applyFont="1" applyBorder="1" applyAlignment="1">
      <alignment horizontal="center" vertical="center" wrapText="1"/>
    </xf>
    <xf numFmtId="0" fontId="41" fillId="29" borderId="40" xfId="0" applyFont="1" applyFill="1" applyBorder="1" applyAlignment="1" applyProtection="1">
      <alignment horizontal="center" vertical="center"/>
    </xf>
    <xf numFmtId="164" fontId="41" fillId="29" borderId="49" xfId="0" applyNumberFormat="1" applyFont="1" applyFill="1" applyBorder="1" applyAlignment="1" applyProtection="1">
      <alignment horizontal="center" vertical="center"/>
    </xf>
    <xf numFmtId="0" fontId="42" fillId="8" borderId="33" xfId="0" applyFont="1" applyFill="1" applyBorder="1" applyAlignment="1">
      <alignment horizontal="center" vertical="center" wrapText="1"/>
    </xf>
    <xf numFmtId="0" fontId="42" fillId="8" borderId="6" xfId="0" applyFont="1" applyFill="1" applyBorder="1" applyAlignment="1">
      <alignment horizontal="center" vertical="center" wrapText="1"/>
    </xf>
    <xf numFmtId="0" fontId="42" fillId="20" borderId="11" xfId="0" applyFont="1" applyFill="1" applyBorder="1" applyAlignment="1" applyProtection="1">
      <alignment horizontal="center" vertical="center" wrapText="1"/>
    </xf>
    <xf numFmtId="0" fontId="42" fillId="20" borderId="12" xfId="0" applyFont="1" applyFill="1" applyBorder="1" applyAlignment="1" applyProtection="1">
      <alignment horizontal="center" vertical="center" wrapText="1"/>
    </xf>
    <xf numFmtId="0" fontId="42" fillId="20" borderId="32" xfId="0" applyFont="1" applyFill="1" applyBorder="1" applyAlignment="1" applyProtection="1">
      <alignment horizontal="center" vertical="center" wrapText="1"/>
    </xf>
    <xf numFmtId="0" fontId="42" fillId="20" borderId="5" xfId="0" applyFont="1" applyFill="1" applyBorder="1" applyAlignment="1" applyProtection="1">
      <alignment horizontal="center" vertical="center" wrapText="1"/>
    </xf>
    <xf numFmtId="0" fontId="42" fillId="20" borderId="25" xfId="0" applyFont="1" applyFill="1" applyBorder="1" applyAlignment="1" applyProtection="1">
      <alignment horizontal="center" vertical="center" wrapText="1"/>
    </xf>
    <xf numFmtId="0" fontId="42" fillId="20" borderId="26" xfId="0" applyFont="1" applyFill="1" applyBorder="1" applyAlignment="1" applyProtection="1">
      <alignment horizontal="center" vertical="center" wrapText="1"/>
    </xf>
    <xf numFmtId="0" fontId="42" fillId="20" borderId="24" xfId="0" applyFont="1" applyFill="1" applyBorder="1" applyAlignment="1" applyProtection="1">
      <alignment horizontal="center" vertical="center" wrapText="1"/>
    </xf>
    <xf numFmtId="0" fontId="42" fillId="20" borderId="54" xfId="0" applyFont="1" applyFill="1" applyBorder="1" applyAlignment="1" applyProtection="1">
      <alignment horizontal="center" vertical="center" wrapText="1"/>
    </xf>
    <xf numFmtId="0" fontId="42" fillId="20" borderId="28" xfId="0" applyFont="1" applyFill="1" applyBorder="1" applyAlignment="1" applyProtection="1">
      <alignment horizontal="center" vertical="center" wrapText="1"/>
    </xf>
    <xf numFmtId="0" fontId="42" fillId="20" borderId="23" xfId="0" applyFont="1" applyFill="1" applyBorder="1" applyAlignment="1" applyProtection="1">
      <alignment horizontal="center" vertical="center" wrapText="1"/>
    </xf>
    <xf numFmtId="0" fontId="42" fillId="20" borderId="40" xfId="0" applyFont="1" applyFill="1" applyBorder="1" applyAlignment="1" applyProtection="1">
      <alignment horizontal="center" vertical="center" wrapText="1"/>
    </xf>
    <xf numFmtId="0" fontId="42" fillId="20" borderId="37" xfId="0" applyFont="1" applyFill="1" applyBorder="1" applyAlignment="1" applyProtection="1">
      <alignment horizontal="center" vertical="center" wrapText="1"/>
    </xf>
    <xf numFmtId="0" fontId="42" fillId="20" borderId="33" xfId="0" applyFont="1" applyFill="1" applyBorder="1" applyAlignment="1" applyProtection="1">
      <alignment horizontal="center" vertical="center" wrapText="1"/>
    </xf>
    <xf numFmtId="0" fontId="42" fillId="20" borderId="6" xfId="0" applyFont="1" applyFill="1" applyBorder="1" applyAlignment="1" applyProtection="1">
      <alignment horizontal="center" vertical="center" wrapText="1"/>
    </xf>
    <xf numFmtId="0" fontId="42" fillId="20" borderId="38" xfId="0" applyFont="1" applyFill="1" applyBorder="1" applyAlignment="1" applyProtection="1">
      <alignment horizontal="center" vertical="center"/>
    </xf>
    <xf numFmtId="0" fontId="42" fillId="20" borderId="66" xfId="0" applyFont="1" applyFill="1" applyBorder="1" applyAlignment="1" applyProtection="1">
      <alignment horizontal="center" vertical="center"/>
    </xf>
    <xf numFmtId="0" fontId="42" fillId="8" borderId="11" xfId="0" applyFont="1" applyFill="1" applyBorder="1" applyAlignment="1">
      <alignment horizontal="center" vertical="center"/>
    </xf>
    <xf numFmtId="0" fontId="42" fillId="8" borderId="12" xfId="0" applyFont="1" applyFill="1" applyBorder="1" applyAlignment="1">
      <alignment horizontal="center" vertical="center"/>
    </xf>
    <xf numFmtId="0" fontId="42" fillId="8" borderId="32" xfId="0" applyFont="1" applyFill="1" applyBorder="1" applyAlignment="1">
      <alignment horizontal="center" vertical="center"/>
    </xf>
    <xf numFmtId="0" fontId="42" fillId="8" borderId="5" xfId="0" applyFont="1" applyFill="1" applyBorder="1" applyAlignment="1">
      <alignment horizontal="center" vertical="center"/>
    </xf>
    <xf numFmtId="0" fontId="42" fillId="8" borderId="32" xfId="0" applyFont="1" applyFill="1" applyBorder="1" applyAlignment="1">
      <alignment horizontal="center" vertical="center" wrapText="1"/>
    </xf>
    <xf numFmtId="0" fontId="42" fillId="8" borderId="5" xfId="0" applyFont="1" applyFill="1" applyBorder="1" applyAlignment="1">
      <alignment horizontal="center" vertical="center" wrapText="1"/>
    </xf>
    <xf numFmtId="0" fontId="46" fillId="12" borderId="15" xfId="0" applyFont="1" applyFill="1" applyBorder="1" applyAlignment="1" applyProtection="1">
      <alignment horizontal="center" vertical="center"/>
    </xf>
    <xf numFmtId="0" fontId="46" fillId="12" borderId="17" xfId="0" applyFont="1" applyFill="1" applyBorder="1" applyAlignment="1" applyProtection="1">
      <alignment horizontal="center" vertical="center"/>
    </xf>
    <xf numFmtId="0" fontId="46" fillId="12" borderId="16" xfId="0" applyFont="1" applyFill="1" applyBorder="1" applyAlignment="1" applyProtection="1">
      <alignment horizontal="center" vertical="center"/>
    </xf>
    <xf numFmtId="2" fontId="42" fillId="8" borderId="33" xfId="1" applyNumberFormat="1" applyFont="1" applyFill="1" applyBorder="1" applyAlignment="1" applyProtection="1">
      <alignment horizontal="center" vertical="center" wrapText="1"/>
      <protection hidden="1"/>
    </xf>
    <xf numFmtId="2" fontId="42" fillId="8" borderId="6" xfId="1" applyNumberFormat="1" applyFont="1" applyFill="1" applyBorder="1" applyAlignment="1" applyProtection="1">
      <alignment horizontal="center" vertical="center" wrapText="1"/>
      <protection hidden="1"/>
    </xf>
    <xf numFmtId="0" fontId="42" fillId="3" borderId="0" xfId="0" applyFont="1" applyFill="1" applyBorder="1" applyAlignment="1" applyProtection="1">
      <alignment horizontal="center" vertical="center" wrapText="1"/>
    </xf>
    <xf numFmtId="0" fontId="46" fillId="12" borderId="25" xfId="0" applyFont="1" applyFill="1" applyBorder="1" applyAlignment="1" applyProtection="1">
      <alignment horizontal="center" vertical="center"/>
    </xf>
    <xf numFmtId="0" fontId="46" fillId="12" borderId="26" xfId="0" applyFont="1" applyFill="1" applyBorder="1" applyAlignment="1" applyProtection="1">
      <alignment horizontal="center" vertical="center"/>
    </xf>
    <xf numFmtId="0" fontId="46" fillId="12" borderId="24" xfId="0" applyFont="1" applyFill="1" applyBorder="1" applyAlignment="1" applyProtection="1">
      <alignment horizontal="center" vertical="center"/>
    </xf>
    <xf numFmtId="0" fontId="46" fillId="12" borderId="54" xfId="0" applyFont="1" applyFill="1" applyBorder="1" applyAlignment="1" applyProtection="1">
      <alignment horizontal="center" vertical="center"/>
    </xf>
    <xf numFmtId="0" fontId="46" fillId="12" borderId="28" xfId="0" applyFont="1" applyFill="1" applyBorder="1" applyAlignment="1" applyProtection="1">
      <alignment horizontal="center" vertical="center"/>
    </xf>
    <xf numFmtId="0" fontId="46" fillId="12" borderId="23" xfId="0" applyFont="1" applyFill="1" applyBorder="1" applyAlignment="1" applyProtection="1">
      <alignment horizontal="center" vertical="center"/>
    </xf>
    <xf numFmtId="0" fontId="68" fillId="12" borderId="0" xfId="0" applyFont="1" applyFill="1" applyBorder="1" applyAlignment="1">
      <alignment horizontal="center" vertical="top" wrapText="1"/>
    </xf>
    <xf numFmtId="0" fontId="46" fillId="12" borderId="25" xfId="0" applyFont="1" applyFill="1" applyBorder="1" applyAlignment="1" applyProtection="1">
      <alignment horizontal="center" vertical="center" wrapText="1"/>
    </xf>
    <xf numFmtId="0" fontId="46" fillId="12" borderId="26" xfId="0" applyFont="1" applyFill="1" applyBorder="1" applyAlignment="1" applyProtection="1">
      <alignment horizontal="center" vertical="center" wrapText="1"/>
    </xf>
    <xf numFmtId="0" fontId="46" fillId="12" borderId="24" xfId="0" applyFont="1" applyFill="1" applyBorder="1" applyAlignment="1" applyProtection="1">
      <alignment horizontal="center" vertical="center" wrapText="1"/>
    </xf>
    <xf numFmtId="0" fontId="46" fillId="12" borderId="54" xfId="0" applyFont="1" applyFill="1" applyBorder="1" applyAlignment="1" applyProtection="1">
      <alignment horizontal="center" vertical="center" wrapText="1"/>
    </xf>
    <xf numFmtId="0" fontId="46" fillId="12" borderId="28" xfId="0" applyFont="1" applyFill="1" applyBorder="1" applyAlignment="1" applyProtection="1">
      <alignment horizontal="center" vertical="center" wrapText="1"/>
    </xf>
    <xf numFmtId="0" fontId="46" fillId="12" borderId="23" xfId="0" applyFont="1" applyFill="1" applyBorder="1" applyAlignment="1" applyProtection="1">
      <alignment horizontal="center" vertical="center" wrapText="1"/>
    </xf>
    <xf numFmtId="2" fontId="42" fillId="8" borderId="11" xfId="1" applyNumberFormat="1" applyFont="1" applyFill="1" applyBorder="1" applyAlignment="1" applyProtection="1">
      <alignment horizontal="center" vertical="center" wrapText="1"/>
      <protection hidden="1"/>
    </xf>
    <xf numFmtId="2" fontId="42" fillId="8" borderId="12" xfId="1" applyNumberFormat="1" applyFont="1" applyFill="1" applyBorder="1" applyAlignment="1" applyProtection="1">
      <alignment horizontal="center" vertical="center" wrapText="1"/>
      <protection hidden="1"/>
    </xf>
    <xf numFmtId="2" fontId="42" fillId="8" borderId="32" xfId="1" applyNumberFormat="1" applyFont="1" applyFill="1" applyBorder="1" applyAlignment="1" applyProtection="1">
      <alignment horizontal="center" vertical="center" wrapText="1"/>
      <protection hidden="1"/>
    </xf>
    <xf numFmtId="2" fontId="42" fillId="8" borderId="5" xfId="1" applyNumberFormat="1" applyFont="1" applyFill="1" applyBorder="1" applyAlignment="1" applyProtection="1">
      <alignment horizontal="center" vertical="center" wrapText="1"/>
      <protection hidden="1"/>
    </xf>
    <xf numFmtId="0" fontId="46" fillId="12" borderId="11" xfId="0" applyFont="1" applyFill="1" applyBorder="1" applyAlignment="1" applyProtection="1">
      <alignment horizontal="center" vertical="center" wrapText="1"/>
    </xf>
    <xf numFmtId="0" fontId="46" fillId="12" borderId="32" xfId="0" applyFont="1" applyFill="1" applyBorder="1" applyAlignment="1" applyProtection="1">
      <alignment horizontal="center" vertical="center" wrapText="1"/>
    </xf>
    <xf numFmtId="0" fontId="46" fillId="12" borderId="33" xfId="0" applyFont="1" applyFill="1" applyBorder="1" applyAlignment="1" applyProtection="1">
      <alignment horizontal="center" vertical="center" wrapText="1"/>
    </xf>
    <xf numFmtId="0" fontId="46" fillId="12" borderId="12" xfId="0" applyFont="1" applyFill="1" applyBorder="1" applyAlignment="1" applyProtection="1">
      <alignment horizontal="center" vertical="center" wrapText="1"/>
    </xf>
    <xf numFmtId="0" fontId="46" fillId="12" borderId="5" xfId="0" applyFont="1" applyFill="1" applyBorder="1" applyAlignment="1" applyProtection="1">
      <alignment horizontal="center" vertical="center" wrapText="1"/>
    </xf>
    <xf numFmtId="0" fontId="46" fillId="12" borderId="6" xfId="0" applyFont="1" applyFill="1" applyBorder="1" applyAlignment="1" applyProtection="1">
      <alignment horizontal="center" vertical="center" wrapText="1"/>
    </xf>
    <xf numFmtId="0" fontId="42" fillId="8" borderId="11" xfId="0" applyFont="1" applyFill="1" applyBorder="1" applyAlignment="1">
      <alignment horizontal="center" vertical="center" wrapText="1"/>
    </xf>
    <xf numFmtId="0" fontId="42" fillId="8" borderId="12" xfId="0" applyFont="1" applyFill="1" applyBorder="1" applyAlignment="1">
      <alignment horizontal="center" vertical="center" wrapText="1"/>
    </xf>
    <xf numFmtId="0" fontId="28" fillId="6" borderId="30" xfId="0" applyFont="1" applyFill="1" applyBorder="1" applyAlignment="1">
      <alignment horizontal="right" vertical="center" wrapText="1"/>
    </xf>
    <xf numFmtId="0" fontId="28" fillId="6" borderId="31" xfId="0" applyFont="1" applyFill="1" applyBorder="1" applyAlignment="1">
      <alignment horizontal="right" vertical="center" wrapText="1"/>
    </xf>
    <xf numFmtId="166" fontId="28" fillId="6" borderId="30" xfId="0" applyNumberFormat="1" applyFont="1" applyFill="1" applyBorder="1" applyAlignment="1">
      <alignment horizontal="right" vertical="center" wrapText="1"/>
    </xf>
    <xf numFmtId="166" fontId="28" fillId="6" borderId="31" xfId="0" applyNumberFormat="1" applyFont="1" applyFill="1" applyBorder="1" applyAlignment="1">
      <alignment horizontal="right" vertical="center" wrapText="1"/>
    </xf>
    <xf numFmtId="0" fontId="43" fillId="8" borderId="54" xfId="0" applyFont="1" applyFill="1" applyBorder="1" applyAlignment="1" applyProtection="1">
      <alignment horizontal="center" vertical="center" wrapText="1"/>
    </xf>
    <xf numFmtId="0" fontId="43" fillId="8" borderId="23" xfId="0" applyFont="1" applyFill="1" applyBorder="1" applyAlignment="1" applyProtection="1">
      <alignment horizontal="center" vertical="center" wrapText="1"/>
    </xf>
    <xf numFmtId="0" fontId="38" fillId="8" borderId="32" xfId="0" applyFont="1" applyFill="1" applyBorder="1" applyAlignment="1" applyProtection="1">
      <alignment horizontal="center" vertical="center"/>
    </xf>
    <xf numFmtId="0" fontId="73" fillId="0" borderId="19" xfId="0" applyFont="1" applyBorder="1" applyAlignment="1">
      <alignment horizontal="center" vertical="center" wrapText="1"/>
    </xf>
    <xf numFmtId="0" fontId="67" fillId="15" borderId="24" xfId="0" applyFont="1" applyFill="1" applyBorder="1" applyAlignment="1">
      <alignment horizontal="center" vertical="center"/>
    </xf>
    <xf numFmtId="0" fontId="67" fillId="15" borderId="23" xfId="0" applyFont="1" applyFill="1" applyBorder="1" applyAlignment="1">
      <alignment horizontal="center" vertical="center"/>
    </xf>
    <xf numFmtId="0" fontId="83" fillId="3" borderId="22" xfId="0" applyFont="1" applyFill="1" applyBorder="1" applyAlignment="1" applyProtection="1">
      <alignment horizontal="left" vertical="center" wrapText="1"/>
      <protection hidden="1"/>
    </xf>
    <xf numFmtId="0" fontId="8" fillId="3" borderId="22" xfId="0" quotePrefix="1" applyFont="1" applyFill="1" applyBorder="1" applyAlignment="1" applyProtection="1">
      <alignment horizontal="center" vertical="center" wrapText="1"/>
    </xf>
    <xf numFmtId="0" fontId="8" fillId="3" borderId="22" xfId="0" applyFont="1" applyFill="1" applyBorder="1" applyAlignment="1" applyProtection="1">
      <alignment horizontal="center" vertical="center" wrapText="1"/>
    </xf>
    <xf numFmtId="0" fontId="1" fillId="0" borderId="7" xfId="0" applyFont="1" applyBorder="1" applyAlignment="1" applyProtection="1">
      <alignment horizontal="center" vertical="center" wrapText="1"/>
      <protection hidden="1"/>
    </xf>
    <xf numFmtId="0" fontId="1" fillId="0" borderId="9" xfId="0" applyFont="1" applyBorder="1" applyAlignment="1" applyProtection="1">
      <alignment horizontal="center" vertical="center" wrapText="1"/>
      <protection hidden="1"/>
    </xf>
    <xf numFmtId="0" fontId="27" fillId="3" borderId="0" xfId="0" applyFont="1" applyFill="1" applyAlignment="1" applyProtection="1">
      <alignment horizontal="justify" vertical="center" wrapText="1"/>
      <protection hidden="1"/>
    </xf>
    <xf numFmtId="0" fontId="1" fillId="0" borderId="0" xfId="0" applyFont="1" applyAlignment="1" applyProtection="1">
      <alignment horizontal="right" vertical="center" wrapText="1"/>
      <protection hidden="1"/>
    </xf>
    <xf numFmtId="0" fontId="1" fillId="0" borderId="0" xfId="0" applyFont="1" applyAlignment="1" applyProtection="1">
      <alignment horizontal="center" vertical="center" wrapText="1"/>
      <protection locked="0" hidden="1"/>
    </xf>
    <xf numFmtId="164" fontId="1" fillId="0" borderId="0" xfId="0" applyNumberFormat="1" applyFont="1" applyAlignment="1" applyProtection="1">
      <alignment horizontal="left" vertical="center" wrapText="1"/>
      <protection hidden="1"/>
    </xf>
    <xf numFmtId="0" fontId="28" fillId="0" borderId="39" xfId="0" applyFont="1" applyFill="1" applyBorder="1" applyAlignment="1" applyProtection="1">
      <alignment horizontal="center" vertical="center" wrapText="1"/>
      <protection hidden="1"/>
    </xf>
    <xf numFmtId="0" fontId="28" fillId="0" borderId="71" xfId="0" applyFont="1" applyFill="1" applyBorder="1" applyAlignment="1" applyProtection="1">
      <alignment horizontal="center" vertical="center" wrapText="1"/>
      <protection hidden="1"/>
    </xf>
    <xf numFmtId="0" fontId="3" fillId="26" borderId="7" xfId="0" applyFont="1" applyFill="1" applyBorder="1" applyAlignment="1">
      <alignment horizontal="center" vertical="center"/>
    </xf>
    <xf numFmtId="0" fontId="3" fillId="26" borderId="8" xfId="0" applyFont="1" applyFill="1" applyBorder="1" applyAlignment="1">
      <alignment horizontal="center" vertical="center"/>
    </xf>
    <xf numFmtId="0" fontId="3" fillId="26" borderId="9" xfId="0" applyFont="1" applyFill="1" applyBorder="1" applyAlignment="1">
      <alignment horizontal="center" vertical="center"/>
    </xf>
    <xf numFmtId="0" fontId="3" fillId="26" borderId="31" xfId="0" applyFont="1" applyFill="1" applyBorder="1" applyAlignment="1">
      <alignment horizontal="center" vertical="center"/>
    </xf>
    <xf numFmtId="0" fontId="2" fillId="0" borderId="0" xfId="0" applyFont="1" applyAlignment="1" applyProtection="1">
      <alignment horizontal="center"/>
      <protection hidden="1"/>
    </xf>
    <xf numFmtId="0" fontId="2" fillId="0" borderId="0" xfId="0" applyFont="1" applyBorder="1" applyAlignment="1" applyProtection="1">
      <alignment horizontal="left" vertical="center" wrapText="1"/>
      <protection hidden="1"/>
    </xf>
    <xf numFmtId="2" fontId="2" fillId="0" borderId="0" xfId="0" applyNumberFormat="1" applyFont="1" applyBorder="1" applyAlignment="1" applyProtection="1">
      <alignment horizontal="left" vertical="center" wrapText="1"/>
      <protection hidden="1"/>
    </xf>
    <xf numFmtId="2" fontId="27" fillId="0" borderId="0" xfId="2" applyFont="1" applyFill="1" applyAlignment="1">
      <alignment horizontal="left" vertical="center"/>
      <protection hidden="1"/>
    </xf>
    <xf numFmtId="164" fontId="2" fillId="3" borderId="0" xfId="0" applyNumberFormat="1" applyFont="1" applyFill="1" applyAlignment="1" applyProtection="1">
      <alignment horizontal="left" vertical="center" wrapText="1"/>
      <protection hidden="1"/>
    </xf>
    <xf numFmtId="0" fontId="2" fillId="0" borderId="0" xfId="0" applyFont="1" applyBorder="1" applyAlignment="1" applyProtection="1">
      <alignment horizontal="right" vertical="center" wrapText="1"/>
      <protection hidden="1"/>
    </xf>
    <xf numFmtId="2" fontId="2" fillId="3" borderId="0" xfId="0" applyNumberFormat="1" applyFont="1" applyFill="1" applyAlignment="1" applyProtection="1">
      <alignment horizontal="left" vertical="center" wrapText="1"/>
      <protection hidden="1"/>
    </xf>
    <xf numFmtId="0" fontId="2" fillId="3" borderId="0" xfId="0" applyFont="1" applyFill="1" applyAlignment="1" applyProtection="1">
      <alignment horizontal="left" vertical="center" wrapText="1"/>
      <protection hidden="1"/>
    </xf>
    <xf numFmtId="0" fontId="2" fillId="3" borderId="0" xfId="0" applyNumberFormat="1" applyFont="1" applyFill="1" applyAlignment="1" applyProtection="1">
      <alignment horizontal="left" vertical="center" wrapText="1"/>
      <protection hidden="1"/>
    </xf>
    <xf numFmtId="0" fontId="27" fillId="0" borderId="0" xfId="0" applyFont="1" applyAlignment="1" applyProtection="1">
      <alignment horizontal="left" vertical="center" wrapText="1"/>
      <protection hidden="1"/>
    </xf>
    <xf numFmtId="1" fontId="2" fillId="3" borderId="0" xfId="0" applyNumberFormat="1" applyFont="1" applyFill="1" applyAlignment="1" applyProtection="1">
      <alignment horizontal="left" vertical="center" wrapText="1"/>
      <protection hidden="1"/>
    </xf>
    <xf numFmtId="3" fontId="2" fillId="0" borderId="0" xfId="0" applyNumberFormat="1" applyFont="1" applyAlignment="1" applyProtection="1">
      <alignment horizontal="left" vertical="center" wrapText="1"/>
      <protection hidden="1"/>
    </xf>
    <xf numFmtId="0" fontId="39" fillId="3" borderId="0" xfId="0" applyFont="1" applyFill="1" applyAlignment="1" applyProtection="1">
      <alignment horizontal="center" vertical="center"/>
      <protection hidden="1"/>
    </xf>
    <xf numFmtId="0" fontId="2" fillId="0" borderId="31" xfId="0" applyFont="1" applyBorder="1" applyAlignment="1" applyProtection="1">
      <alignment horizontal="center" vertical="center" wrapText="1"/>
      <protection hidden="1"/>
    </xf>
    <xf numFmtId="0" fontId="2" fillId="0" borderId="30" xfId="0" applyFont="1" applyBorder="1" applyAlignment="1" applyProtection="1">
      <alignment horizontal="center" vertical="center" wrapText="1"/>
      <protection hidden="1"/>
    </xf>
    <xf numFmtId="0" fontId="2" fillId="3" borderId="7" xfId="0" applyFont="1" applyFill="1" applyBorder="1" applyAlignment="1" applyProtection="1">
      <alignment horizontal="center" vertical="center" wrapText="1"/>
      <protection hidden="1"/>
    </xf>
    <xf numFmtId="0" fontId="2" fillId="3" borderId="30" xfId="0" applyFont="1" applyFill="1" applyBorder="1" applyAlignment="1" applyProtection="1">
      <alignment horizontal="center" vertical="center" wrapText="1"/>
      <protection hidden="1"/>
    </xf>
    <xf numFmtId="0" fontId="2" fillId="3" borderId="9" xfId="0" applyFont="1" applyFill="1" applyBorder="1" applyAlignment="1" applyProtection="1">
      <alignment horizontal="center" vertical="center" wrapText="1"/>
      <protection hidden="1"/>
    </xf>
    <xf numFmtId="0" fontId="2" fillId="3" borderId="31" xfId="0" applyFont="1" applyFill="1" applyBorder="1" applyAlignment="1" applyProtection="1">
      <alignment horizontal="center" vertical="center" wrapText="1"/>
      <protection hidden="1"/>
    </xf>
    <xf numFmtId="0" fontId="28" fillId="0" borderId="66" xfId="0" applyFont="1" applyFill="1" applyBorder="1" applyAlignment="1" applyProtection="1">
      <alignment horizontal="center" vertical="center" wrapText="1"/>
      <protection hidden="1"/>
    </xf>
    <xf numFmtId="0" fontId="28" fillId="0" borderId="42" xfId="0" applyFont="1" applyFill="1" applyBorder="1" applyAlignment="1" applyProtection="1">
      <alignment horizontal="center" vertical="center" wrapText="1"/>
      <protection hidden="1"/>
    </xf>
    <xf numFmtId="0" fontId="27" fillId="3" borderId="0" xfId="0" applyFont="1" applyFill="1" applyAlignment="1" applyProtection="1">
      <alignment horizontal="left" vertical="center" wrapText="1"/>
      <protection hidden="1"/>
    </xf>
    <xf numFmtId="0" fontId="8" fillId="3" borderId="22" xfId="0" applyFont="1" applyFill="1" applyBorder="1" applyAlignment="1" applyProtection="1">
      <alignment horizontal="left" vertical="center" wrapText="1"/>
      <protection hidden="1"/>
    </xf>
    <xf numFmtId="0" fontId="28" fillId="0" borderId="42" xfId="0" applyFont="1" applyBorder="1" applyAlignment="1" applyProtection="1">
      <alignment horizontal="center" vertical="center" wrapText="1"/>
      <protection hidden="1"/>
    </xf>
    <xf numFmtId="0" fontId="28" fillId="3" borderId="42" xfId="0" applyFont="1" applyFill="1" applyBorder="1" applyAlignment="1" applyProtection="1">
      <alignment horizontal="center" vertical="center" wrapText="1"/>
      <protection hidden="1"/>
    </xf>
    <xf numFmtId="164" fontId="2" fillId="0" borderId="0" xfId="0" applyNumberFormat="1" applyFont="1" applyAlignment="1" applyProtection="1">
      <alignment horizontal="left" vertical="center" wrapText="1"/>
      <protection hidden="1"/>
    </xf>
    <xf numFmtId="0" fontId="39" fillId="0" borderId="0" xfId="0" applyFont="1" applyAlignment="1" applyProtection="1">
      <alignment horizontal="center" wrapText="1"/>
      <protection hidden="1"/>
    </xf>
    <xf numFmtId="0" fontId="2" fillId="0" borderId="0" xfId="0" applyFont="1" applyAlignment="1" applyProtection="1">
      <alignment horizontal="center" vertical="center"/>
      <protection hidden="1"/>
    </xf>
    <xf numFmtId="0" fontId="2" fillId="0" borderId="0" xfId="0" applyFont="1" applyFill="1" applyAlignment="1" applyProtection="1">
      <alignment horizontal="right" vertical="center" wrapText="1"/>
      <protection hidden="1"/>
    </xf>
    <xf numFmtId="0" fontId="39" fillId="0" borderId="26" xfId="0" applyFont="1" applyBorder="1" applyAlignment="1" applyProtection="1">
      <alignment horizontal="center"/>
      <protection hidden="1"/>
    </xf>
    <xf numFmtId="0" fontId="2" fillId="0" borderId="28" xfId="0" applyFont="1" applyBorder="1" applyAlignment="1" applyProtection="1">
      <alignment horizontal="center"/>
      <protection hidden="1"/>
    </xf>
    <xf numFmtId="0" fontId="2" fillId="0" borderId="0" xfId="0" applyFont="1" applyAlignment="1" applyProtection="1">
      <alignment horizontal="center" vertical="center" wrapText="1"/>
      <protection locked="0" hidden="1"/>
    </xf>
    <xf numFmtId="0" fontId="3" fillId="0" borderId="0" xfId="0" applyFont="1" applyAlignment="1" applyProtection="1">
      <alignment horizontal="center"/>
      <protection hidden="1"/>
    </xf>
    <xf numFmtId="0" fontId="3" fillId="0" borderId="0" xfId="0" applyFont="1" applyBorder="1" applyAlignment="1" applyProtection="1">
      <alignment horizontal="left" vertical="center" wrapText="1"/>
      <protection hidden="1"/>
    </xf>
    <xf numFmtId="2" fontId="3" fillId="0" borderId="0" xfId="0" applyNumberFormat="1" applyFont="1" applyBorder="1" applyAlignment="1" applyProtection="1">
      <alignment horizontal="left" vertical="center" wrapText="1"/>
      <protection hidden="1"/>
    </xf>
    <xf numFmtId="2" fontId="3" fillId="3" borderId="0" xfId="0" applyNumberFormat="1" applyFont="1" applyFill="1" applyAlignment="1" applyProtection="1">
      <alignment horizontal="left" vertical="center" wrapText="1"/>
      <protection hidden="1"/>
    </xf>
    <xf numFmtId="0" fontId="3" fillId="3" borderId="0" xfId="0" applyFont="1" applyFill="1" applyAlignment="1" applyProtection="1">
      <alignment horizontal="left" vertical="center" wrapText="1"/>
      <protection hidden="1"/>
    </xf>
    <xf numFmtId="1" fontId="3" fillId="3" borderId="0" xfId="0" applyNumberFormat="1" applyFont="1" applyFill="1" applyAlignment="1" applyProtection="1">
      <alignment horizontal="left" vertical="center" wrapText="1"/>
      <protection hidden="1"/>
    </xf>
    <xf numFmtId="164" fontId="3" fillId="3" borderId="0" xfId="0" applyNumberFormat="1" applyFont="1" applyFill="1" applyAlignment="1" applyProtection="1">
      <alignment horizontal="left" vertical="center" wrapText="1"/>
      <protection hidden="1"/>
    </xf>
    <xf numFmtId="0" fontId="3" fillId="0" borderId="0" xfId="0" applyFont="1" applyBorder="1" applyAlignment="1" applyProtection="1">
      <alignment horizontal="right" vertical="center" wrapText="1"/>
      <protection hidden="1"/>
    </xf>
    <xf numFmtId="3" fontId="3" fillId="0" borderId="0" xfId="0" applyNumberFormat="1" applyFont="1" applyAlignment="1" applyProtection="1">
      <alignment horizontal="left" vertical="center" wrapText="1"/>
      <protection hidden="1"/>
    </xf>
    <xf numFmtId="0" fontId="3" fillId="3" borderId="0" xfId="0" applyNumberFormat="1" applyFont="1" applyFill="1" applyAlignment="1" applyProtection="1">
      <alignment horizontal="left" vertical="center" wrapText="1"/>
      <protection hidden="1"/>
    </xf>
    <xf numFmtId="0" fontId="3" fillId="0" borderId="31" xfId="0" applyFont="1" applyBorder="1" applyAlignment="1" applyProtection="1">
      <alignment horizontal="center" vertical="center" wrapText="1"/>
      <protection hidden="1"/>
    </xf>
    <xf numFmtId="0" fontId="3" fillId="0" borderId="30" xfId="0" applyFont="1" applyBorder="1" applyAlignment="1" applyProtection="1">
      <alignment horizontal="center" vertical="center" wrapText="1"/>
      <protection hidden="1"/>
    </xf>
    <xf numFmtId="0" fontId="3" fillId="3" borderId="7" xfId="0" applyFont="1" applyFill="1" applyBorder="1" applyAlignment="1" applyProtection="1">
      <alignment horizontal="center" vertical="center" wrapText="1"/>
      <protection hidden="1"/>
    </xf>
    <xf numFmtId="0" fontId="3" fillId="3" borderId="30" xfId="0" applyFont="1" applyFill="1" applyBorder="1" applyAlignment="1" applyProtection="1">
      <alignment horizontal="center" vertical="center" wrapText="1"/>
      <protection hidden="1"/>
    </xf>
    <xf numFmtId="0" fontId="3" fillId="3" borderId="9" xfId="0" applyFont="1" applyFill="1" applyBorder="1" applyAlignment="1" applyProtection="1">
      <alignment horizontal="center" vertical="center" wrapText="1"/>
      <protection hidden="1"/>
    </xf>
    <xf numFmtId="0" fontId="3" fillId="3" borderId="31" xfId="0" applyFont="1" applyFill="1" applyBorder="1" applyAlignment="1" applyProtection="1">
      <alignment horizontal="center" vertical="center" wrapText="1"/>
      <protection hidden="1"/>
    </xf>
    <xf numFmtId="0" fontId="3" fillId="0" borderId="0" xfId="0" applyFont="1" applyAlignment="1" applyProtection="1">
      <alignment horizontal="center" vertical="justify" wrapText="1"/>
      <protection hidden="1"/>
    </xf>
    <xf numFmtId="0" fontId="77" fillId="3" borderId="7" xfId="0" applyFont="1" applyFill="1" applyBorder="1" applyAlignment="1" applyProtection="1">
      <alignment horizontal="center" vertical="center" wrapText="1"/>
      <protection hidden="1"/>
    </xf>
    <xf numFmtId="0" fontId="77" fillId="3" borderId="9" xfId="0" applyFont="1" applyFill="1" applyBorder="1" applyAlignment="1" applyProtection="1">
      <alignment horizontal="center" vertical="center" wrapText="1"/>
      <protection hidden="1"/>
    </xf>
    <xf numFmtId="0" fontId="3" fillId="0" borderId="0" xfId="0" applyFont="1" applyAlignment="1" applyProtection="1">
      <alignment horizontal="center" vertical="center" wrapText="1"/>
      <protection locked="0" hidden="1"/>
    </xf>
    <xf numFmtId="164" fontId="3" fillId="0" borderId="0" xfId="0" applyNumberFormat="1" applyFont="1" applyAlignment="1" applyProtection="1">
      <alignment horizontal="center" vertical="center" wrapText="1"/>
      <protection hidden="1"/>
    </xf>
    <xf numFmtId="0" fontId="3" fillId="0" borderId="0" xfId="0" applyFont="1" applyAlignment="1" applyProtection="1">
      <alignment horizontal="right" vertical="center"/>
      <protection hidden="1"/>
    </xf>
    <xf numFmtId="0" fontId="3" fillId="0" borderId="0" xfId="0" applyFont="1" applyFill="1" applyAlignment="1" applyProtection="1">
      <alignment horizontal="right" vertical="center" wrapText="1"/>
      <protection hidden="1"/>
    </xf>
    <xf numFmtId="0" fontId="3" fillId="0" borderId="28" xfId="0" applyFont="1" applyBorder="1" applyAlignment="1" applyProtection="1">
      <alignment horizontal="center"/>
      <protection hidden="1"/>
    </xf>
    <xf numFmtId="164" fontId="3" fillId="0" borderId="0" xfId="0" applyNumberFormat="1" applyFont="1" applyAlignment="1" applyProtection="1">
      <alignment horizontal="center" vertical="center"/>
      <protection hidden="1"/>
    </xf>
    <xf numFmtId="164" fontId="3" fillId="0" borderId="0" xfId="0" applyNumberFormat="1" applyFont="1" applyFill="1" applyAlignment="1" applyProtection="1">
      <alignment horizontal="center" vertical="center" wrapText="1"/>
      <protection hidden="1"/>
    </xf>
  </cellXfs>
  <cellStyles count="10">
    <cellStyle name="Bueno" xfId="1" builtinId="26"/>
    <cellStyle name="Estilo 1" xfId="2" xr:uid="{00000000-0005-0000-0000-000001000000}"/>
    <cellStyle name="Estilo 2" xfId="3" xr:uid="{00000000-0005-0000-0000-000002000000}"/>
    <cellStyle name="Estilo 3" xfId="4" xr:uid="{00000000-0005-0000-0000-000003000000}"/>
    <cellStyle name="Estilo 4" xfId="5" xr:uid="{00000000-0005-0000-0000-000004000000}"/>
    <cellStyle name="Estilo 5" xfId="6" xr:uid="{00000000-0005-0000-0000-000005000000}"/>
    <cellStyle name="Estilo 6" xfId="8" xr:uid="{00000000-0005-0000-0000-000006000000}"/>
    <cellStyle name="Millares" xfId="9" builtinId="3"/>
    <cellStyle name="Normal" xfId="0" builtinId="0"/>
    <cellStyle name="Porcentaje" xfId="7" builtinId="5"/>
  </cellStyles>
  <dxfs count="0"/>
  <tableStyles count="1" defaultTableStyle="TableStyleMedium2" defaultPivotStyle="PivotStyleLight16">
    <tableStyle name="Invisible" pivot="0" table="0" count="0" xr9:uid="{00000000-0011-0000-FFFF-FFFF00000000}"/>
  </tableStyles>
  <colors>
    <mruColors>
      <color rgb="FFDDEBF7"/>
      <color rgb="FF9BC2E6"/>
      <color rgb="FF1F4E78"/>
      <color rgb="FFD9D9D9"/>
      <color rgb="FFFCE4D6"/>
      <color rgb="FFFFF2CC"/>
      <color rgb="FFFFFFCC"/>
      <color rgb="FFFFC000"/>
      <color rgb="FFF8F8F8"/>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microsoft.com/office/2017/10/relationships/person" Target="persons/perso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3" Type="http://schemas.openxmlformats.org/officeDocument/2006/relationships/themeOverride" Target="../theme/themeOverride4.xml"/><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3" Type="http://schemas.openxmlformats.org/officeDocument/2006/relationships/themeOverride" Target="../theme/themeOverride5.xml"/><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3" Type="http://schemas.openxmlformats.org/officeDocument/2006/relationships/themeOverride" Target="../theme/themeOverride6.xml"/><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3" Type="http://schemas.openxmlformats.org/officeDocument/2006/relationships/themeOverride" Target="../theme/themeOverride7.xml"/><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3" Type="http://schemas.openxmlformats.org/officeDocument/2006/relationships/themeOverride" Target="../theme/themeOverride8.xml"/><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3" Type="http://schemas.openxmlformats.org/officeDocument/2006/relationships/themeOverride" Target="../theme/themeOverride9.xml"/><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3" Type="http://schemas.openxmlformats.org/officeDocument/2006/relationships/themeOverride" Target="../theme/themeOverride10.xml"/><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3" Type="http://schemas.openxmlformats.org/officeDocument/2006/relationships/themeOverride" Target="../theme/themeOverride11.xml"/><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3" Type="http://schemas.openxmlformats.org/officeDocument/2006/relationships/themeOverride" Target="../theme/themeOverride12.xml"/><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3" Type="http://schemas.openxmlformats.org/officeDocument/2006/relationships/themeOverride" Target="../theme/themeOverride13.xml"/><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3" Type="http://schemas.openxmlformats.org/officeDocument/2006/relationships/themeOverride" Target="../theme/themeOverride14.xml"/><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3" Type="http://schemas.openxmlformats.org/officeDocument/2006/relationships/themeOverride" Target="../theme/themeOverride15.xml"/><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4.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5.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6.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7.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48.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49.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1.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2.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53.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54.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55.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56.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57.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58.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59.xml.rels><?xml version="1.0" encoding="UTF-8" standalone="yes"?>
<Relationships xmlns="http://schemas.openxmlformats.org/package/2006/relationships"><Relationship Id="rId2" Type="http://schemas.microsoft.com/office/2011/relationships/chartColorStyle" Target="colors59.xml"/><Relationship Id="rId1" Type="http://schemas.microsoft.com/office/2011/relationships/chartStyle" Target="style59.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60.xml.rels><?xml version="1.0" encoding="UTF-8" standalone="yes"?>
<Relationships xmlns="http://schemas.openxmlformats.org/package/2006/relationships"><Relationship Id="rId2" Type="http://schemas.microsoft.com/office/2011/relationships/chartColorStyle" Target="colors60.xml"/><Relationship Id="rId1" Type="http://schemas.microsoft.com/office/2011/relationships/chartStyle" Target="style60.xml"/></Relationships>
</file>

<file path=xl/charts/_rels/chart61.xml.rels><?xml version="1.0" encoding="UTF-8" standalone="yes"?>
<Relationships xmlns="http://schemas.openxmlformats.org/package/2006/relationships"><Relationship Id="rId2" Type="http://schemas.microsoft.com/office/2011/relationships/chartColorStyle" Target="colors61.xml"/><Relationship Id="rId1" Type="http://schemas.microsoft.com/office/2011/relationships/chartStyle" Target="style61.xml"/></Relationships>
</file>

<file path=xl/charts/_rels/chart62.xml.rels><?xml version="1.0" encoding="UTF-8" standalone="yes"?>
<Relationships xmlns="http://schemas.openxmlformats.org/package/2006/relationships"><Relationship Id="rId2" Type="http://schemas.microsoft.com/office/2011/relationships/chartColorStyle" Target="colors62.xml"/><Relationship Id="rId1" Type="http://schemas.microsoft.com/office/2011/relationships/chartStyle" Target="style62.xml"/></Relationships>
</file>

<file path=xl/charts/_rels/chart63.xml.rels><?xml version="1.0" encoding="UTF-8" standalone="yes"?>
<Relationships xmlns="http://schemas.openxmlformats.org/package/2006/relationships"><Relationship Id="rId2" Type="http://schemas.microsoft.com/office/2011/relationships/chartColorStyle" Target="colors63.xml"/><Relationship Id="rId1" Type="http://schemas.microsoft.com/office/2011/relationships/chartStyle" Target="style63.xml"/></Relationships>
</file>

<file path=xl/charts/_rels/chart64.xml.rels><?xml version="1.0" encoding="UTF-8" standalone="yes"?>
<Relationships xmlns="http://schemas.openxmlformats.org/package/2006/relationships"><Relationship Id="rId2" Type="http://schemas.microsoft.com/office/2011/relationships/chartColorStyle" Target="colors64.xml"/><Relationship Id="rId1" Type="http://schemas.microsoft.com/office/2011/relationships/chartStyle" Target="style64.xml"/></Relationships>
</file>

<file path=xl/charts/_rels/chart65.xml.rels><?xml version="1.0" encoding="UTF-8" standalone="yes"?>
<Relationships xmlns="http://schemas.openxmlformats.org/package/2006/relationships"><Relationship Id="rId2" Type="http://schemas.microsoft.com/office/2011/relationships/chartColorStyle" Target="colors65.xml"/><Relationship Id="rId1" Type="http://schemas.microsoft.com/office/2011/relationships/chartStyle" Target="style65.xml"/></Relationships>
</file>

<file path=xl/charts/_rels/chart66.xml.rels><?xml version="1.0" encoding="UTF-8" standalone="yes"?>
<Relationships xmlns="http://schemas.openxmlformats.org/package/2006/relationships"><Relationship Id="rId2" Type="http://schemas.microsoft.com/office/2011/relationships/chartColorStyle" Target="colors66.xml"/><Relationship Id="rId1" Type="http://schemas.microsoft.com/office/2011/relationships/chartStyle" Target="style66.xml"/></Relationships>
</file>

<file path=xl/charts/_rels/chart67.xml.rels><?xml version="1.0" encoding="UTF-8" standalone="yes"?>
<Relationships xmlns="http://schemas.openxmlformats.org/package/2006/relationships"><Relationship Id="rId2" Type="http://schemas.microsoft.com/office/2011/relationships/chartColorStyle" Target="colors67.xml"/><Relationship Id="rId1" Type="http://schemas.microsoft.com/office/2011/relationships/chartStyle" Target="style67.xml"/></Relationships>
</file>

<file path=xl/charts/_rels/chart68.xml.rels><?xml version="1.0" encoding="UTF-8" standalone="yes"?>
<Relationships xmlns="http://schemas.openxmlformats.org/package/2006/relationships"><Relationship Id="rId2" Type="http://schemas.microsoft.com/office/2011/relationships/chartColorStyle" Target="colors68.xml"/><Relationship Id="rId1" Type="http://schemas.microsoft.com/office/2011/relationships/chartStyle" Target="style68.xml"/></Relationships>
</file>

<file path=xl/charts/_rels/chart69.xml.rels><?xml version="1.0" encoding="UTF-8" standalone="yes"?>
<Relationships xmlns="http://schemas.openxmlformats.org/package/2006/relationships"><Relationship Id="rId2" Type="http://schemas.microsoft.com/office/2011/relationships/chartColorStyle" Target="colors69.xml"/><Relationship Id="rId1" Type="http://schemas.microsoft.com/office/2011/relationships/chartStyle" Target="style69.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70.xml.rels><?xml version="1.0" encoding="UTF-8" standalone="yes"?>
<Relationships xmlns="http://schemas.openxmlformats.org/package/2006/relationships"><Relationship Id="rId2" Type="http://schemas.microsoft.com/office/2011/relationships/chartColorStyle" Target="colors70.xml"/><Relationship Id="rId1" Type="http://schemas.microsoft.com/office/2011/relationships/chartStyle" Target="style70.xml"/></Relationships>
</file>

<file path=xl/charts/_rels/chart71.xml.rels><?xml version="1.0" encoding="UTF-8" standalone="yes"?>
<Relationships xmlns="http://schemas.openxmlformats.org/package/2006/relationships"><Relationship Id="rId2" Type="http://schemas.microsoft.com/office/2011/relationships/chartColorStyle" Target="colors71.xml"/><Relationship Id="rId1" Type="http://schemas.microsoft.com/office/2011/relationships/chartStyle" Target="style71.xml"/></Relationships>
</file>

<file path=xl/charts/_rels/chart72.xml.rels><?xml version="1.0" encoding="UTF-8" standalone="yes"?>
<Relationships xmlns="http://schemas.openxmlformats.org/package/2006/relationships"><Relationship Id="rId2" Type="http://schemas.microsoft.com/office/2011/relationships/chartColorStyle" Target="colors72.xml"/><Relationship Id="rId1" Type="http://schemas.microsoft.com/office/2011/relationships/chartStyle" Target="style72.xml"/></Relationships>
</file>

<file path=xl/charts/_rels/chart73.xml.rels><?xml version="1.0" encoding="UTF-8" standalone="yes"?>
<Relationships xmlns="http://schemas.openxmlformats.org/package/2006/relationships"><Relationship Id="rId2" Type="http://schemas.microsoft.com/office/2011/relationships/chartColorStyle" Target="colors73.xml"/><Relationship Id="rId1" Type="http://schemas.microsoft.com/office/2011/relationships/chartStyle" Target="style73.xml"/></Relationships>
</file>

<file path=xl/charts/_rels/chart74.xml.rels><?xml version="1.0" encoding="UTF-8" standalone="yes"?>
<Relationships xmlns="http://schemas.openxmlformats.org/package/2006/relationships"><Relationship Id="rId2" Type="http://schemas.microsoft.com/office/2011/relationships/chartColorStyle" Target="colors74.xml"/><Relationship Id="rId1" Type="http://schemas.microsoft.com/office/2011/relationships/chartStyle" Target="style74.xml"/></Relationships>
</file>

<file path=xl/charts/_rels/chart75.xml.rels><?xml version="1.0" encoding="UTF-8" standalone="yes"?>
<Relationships xmlns="http://schemas.openxmlformats.org/package/2006/relationships"><Relationship Id="rId2" Type="http://schemas.microsoft.com/office/2011/relationships/chartColorStyle" Target="colors75.xml"/><Relationship Id="rId1" Type="http://schemas.microsoft.com/office/2011/relationships/chartStyle" Target="style75.xml"/></Relationships>
</file>

<file path=xl/charts/_rels/chart76.xml.rels><?xml version="1.0" encoding="UTF-8" standalone="yes"?>
<Relationships xmlns="http://schemas.openxmlformats.org/package/2006/relationships"><Relationship Id="rId2" Type="http://schemas.microsoft.com/office/2011/relationships/chartColorStyle" Target="colors76.xml"/><Relationship Id="rId1" Type="http://schemas.microsoft.com/office/2011/relationships/chartStyle" Target="style76.xml"/></Relationships>
</file>

<file path=xl/charts/_rels/chart77.xml.rels><?xml version="1.0" encoding="UTF-8" standalone="yes"?>
<Relationships xmlns="http://schemas.openxmlformats.org/package/2006/relationships"><Relationship Id="rId2" Type="http://schemas.microsoft.com/office/2011/relationships/chartColorStyle" Target="colors77.xml"/><Relationship Id="rId1" Type="http://schemas.microsoft.com/office/2011/relationships/chartStyle" Target="style77.xml"/></Relationships>
</file>

<file path=xl/charts/_rels/chart78.xml.rels><?xml version="1.0" encoding="UTF-8" standalone="yes"?>
<Relationships xmlns="http://schemas.openxmlformats.org/package/2006/relationships"><Relationship Id="rId2" Type="http://schemas.microsoft.com/office/2011/relationships/chartColorStyle" Target="colors78.xml"/><Relationship Id="rId1" Type="http://schemas.microsoft.com/office/2011/relationships/chartStyle" Target="style78.xml"/></Relationships>
</file>

<file path=xl/charts/_rels/chart79.xml.rels><?xml version="1.0" encoding="UTF-8" standalone="yes"?>
<Relationships xmlns="http://schemas.openxmlformats.org/package/2006/relationships"><Relationship Id="rId2" Type="http://schemas.microsoft.com/office/2011/relationships/chartColorStyle" Target="colors79.xml"/><Relationship Id="rId1" Type="http://schemas.microsoft.com/office/2011/relationships/chartStyle" Target="style79.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80.xml.rels><?xml version="1.0" encoding="UTF-8" standalone="yes"?>
<Relationships xmlns="http://schemas.openxmlformats.org/package/2006/relationships"><Relationship Id="rId2" Type="http://schemas.microsoft.com/office/2011/relationships/chartColorStyle" Target="colors80.xml"/><Relationship Id="rId1" Type="http://schemas.microsoft.com/office/2011/relationships/chartStyle" Target="style80.xml"/></Relationships>
</file>

<file path=xl/charts/_rels/chart81.xml.rels><?xml version="1.0" encoding="UTF-8" standalone="yes"?>
<Relationships xmlns="http://schemas.openxmlformats.org/package/2006/relationships"><Relationship Id="rId2" Type="http://schemas.microsoft.com/office/2011/relationships/chartColorStyle" Target="colors81.xml"/><Relationship Id="rId1" Type="http://schemas.microsoft.com/office/2011/relationships/chartStyle" Target="style81.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800" b="1" i="0" u="none" strike="noStrike" kern="1200" baseline="0">
              <a:solidFill>
                <a:schemeClr val="dk1"/>
              </a:solidFill>
              <a:latin typeface="+mn-lt"/>
              <a:ea typeface="+mn-ea"/>
              <a:cs typeface="+mn-cs"/>
            </a:defRPr>
          </a:pPr>
          <a:endParaRPr lang="es-CO"/>
        </a:p>
      </c:txPr>
    </c:title>
    <c:autoTitleDeleted val="0"/>
    <c:plotArea>
      <c:layout/>
      <c:barChart>
        <c:barDir val="col"/>
        <c:grouping val="clustered"/>
        <c:varyColors val="0"/>
        <c:ser>
          <c:idx val="0"/>
          <c:order val="0"/>
          <c:tx>
            <c:strRef>
              <c:f>'RT03-F13 (mg)% '!$G$58</c:f>
              <c:strCache>
                <c:ptCount val="1"/>
                <c:pt idx="0">
                  <c:v>Aporte a la Incertidumbre</c:v>
                </c:pt>
              </c:strCache>
            </c:strRef>
          </c:tx>
          <c:spPr>
            <a:solidFill>
              <a:schemeClr val="accent2">
                <a:alpha val="85000"/>
              </a:schemeClr>
            </a:solidFill>
            <a:ln w="9525" cap="flat" cmpd="sng" algn="ctr">
              <a:solidFill>
                <a:schemeClr val="lt1">
                  <a:alpha val="50000"/>
                </a:schemeClr>
              </a:solidFill>
              <a:round/>
            </a:ln>
            <a:effectLst/>
          </c:spPr>
          <c:invertIfNegative val="0"/>
          <c:dLbls>
            <c:dLbl>
              <c:idx val="0"/>
              <c:layout>
                <c:manualLayout>
                  <c:x val="5.8076231684837075E-3"/>
                  <c:y val="-1.0880458124555947E-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84D-4F00-AB9F-F55B6842DA97}"/>
                </c:ext>
              </c:extLst>
            </c:dLbl>
            <c:dLbl>
              <c:idx val="1"/>
              <c:layout>
                <c:manualLayout>
                  <c:x val="0"/>
                  <c:y val="4.240515390121689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84D-4F00-AB9F-F55B6842DA97}"/>
                </c:ext>
              </c:extLst>
            </c:dLbl>
            <c:dLbl>
              <c:idx val="2"/>
              <c:layout>
                <c:manualLayout>
                  <c:x val="0"/>
                  <c:y val="-9.454488188976377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84D-4F00-AB9F-F55B6842DA97}"/>
                </c:ext>
              </c:extLst>
            </c:dLbl>
            <c:dLbl>
              <c:idx val="3"/>
              <c:layout>
                <c:manualLayout>
                  <c:x val="0"/>
                  <c:y val="2.320400858983469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84D-4F00-AB9F-F55B6842DA97}"/>
                </c:ext>
              </c:extLst>
            </c:dLbl>
            <c:spPr>
              <a:noFill/>
              <a:ln>
                <a:noFill/>
              </a:ln>
              <a:effectLst/>
            </c:spPr>
            <c:txPr>
              <a:bodyPr rot="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('RT03-F13 (mg)% '!$A$59,'RT03-F13 (mg)% '!$A$62,'RT03-F13 (mg)% '!$A$66:$A$68)</c:f>
              <c:strCache>
                <c:ptCount val="5"/>
                <c:pt idx="0">
                  <c:v>Proceso de pesaje</c:v>
                </c:pt>
                <c:pt idx="1">
                  <c:v>Pesa de referencia</c:v>
                </c:pt>
                <c:pt idx="2">
                  <c:v>Corrección por empuje del aire</c:v>
                </c:pt>
                <c:pt idx="3">
                  <c:v>Resolución balanza</c:v>
                </c:pt>
                <c:pt idx="4">
                  <c:v>Incertidumbre por repetibilidad del método</c:v>
                </c:pt>
              </c:strCache>
            </c:strRef>
          </c:cat>
          <c:val>
            <c:numRef>
              <c:f>('RT03-F13 (mg)% '!$G$59,'RT03-F13 (mg)% '!$G$62,'RT03-F13 (mg)% '!$G$66,'RT03-F13 (mg)% '!$G$67,'RT03-F13 (mg)% '!$G$68)</c:f>
              <c:numCache>
                <c:formatCode>0</c:formatCode>
                <c:ptCount val="5"/>
                <c:pt idx="0">
                  <c:v>0</c:v>
                </c:pt>
                <c:pt idx="1">
                  <c:v>#N/A</c:v>
                </c:pt>
                <c:pt idx="2">
                  <c:v>#N/A</c:v>
                </c:pt>
                <c:pt idx="3">
                  <c:v>#N/A</c:v>
                </c:pt>
                <c:pt idx="4">
                  <c:v>0</c:v>
                </c:pt>
              </c:numCache>
            </c:numRef>
          </c:val>
          <c:extLst>
            <c:ext xmlns:c16="http://schemas.microsoft.com/office/drawing/2014/chart" uri="{C3380CC4-5D6E-409C-BE32-E72D297353CC}">
              <c16:uniqueId val="{00000000-C84D-4F00-AB9F-F55B6842DA97}"/>
            </c:ext>
          </c:extLst>
        </c:ser>
        <c:dLbls>
          <c:dLblPos val="inEnd"/>
          <c:showLegendKey val="0"/>
          <c:showVal val="1"/>
          <c:showCatName val="0"/>
          <c:showSerName val="0"/>
          <c:showPercent val="0"/>
          <c:showBubbleSize val="0"/>
        </c:dLbls>
        <c:gapWidth val="65"/>
        <c:axId val="189337984"/>
        <c:axId val="189340672"/>
      </c:barChart>
      <c:catAx>
        <c:axId val="189337984"/>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solidFill>
                <a:latin typeface="+mn-lt"/>
                <a:ea typeface="+mn-ea"/>
                <a:cs typeface="+mn-cs"/>
              </a:defRPr>
            </a:pPr>
            <a:endParaRPr lang="es-CO"/>
          </a:p>
        </c:txPr>
        <c:crossAx val="189340672"/>
        <c:crosses val="autoZero"/>
        <c:auto val="1"/>
        <c:lblAlgn val="ctr"/>
        <c:lblOffset val="100"/>
        <c:noMultiLvlLbl val="0"/>
      </c:catAx>
      <c:valAx>
        <c:axId val="189340672"/>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 sourceLinked="1"/>
        <c:majorTickMark val="none"/>
        <c:minorTickMark val="none"/>
        <c:tickLblPos val="nextTo"/>
        <c:crossAx val="189337984"/>
        <c:crosses val="autoZero"/>
        <c:crossBetween val="between"/>
      </c:valAx>
      <c:spPr>
        <a:noFill/>
        <a:ln>
          <a:noFill/>
        </a:ln>
        <a:effectLst/>
      </c:spPr>
    </c:plotArea>
    <c:plotVisOnly val="1"/>
    <c:dispBlanksAs val="gap"/>
    <c:showDLblsOverMax val="0"/>
  </c:chart>
  <c:spPr>
    <a:solidFill>
      <a:schemeClr val="accent6">
        <a:lumMod val="40000"/>
        <a:lumOff val="60000"/>
      </a:schemeClr>
    </a:solidFill>
    <a:ln w="12700" cap="flat" cmpd="sng" algn="ctr">
      <a:solidFill>
        <a:schemeClr val="dk1"/>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800" b="1" i="0" u="none" strike="noStrike" kern="1200" baseline="0">
              <a:solidFill>
                <a:schemeClr val="dk1"/>
              </a:solidFill>
              <a:latin typeface="+mn-lt"/>
              <a:ea typeface="+mn-ea"/>
              <a:cs typeface="+mn-cs"/>
            </a:defRPr>
          </a:pPr>
          <a:endParaRPr lang="es-CO"/>
        </a:p>
      </c:txPr>
    </c:title>
    <c:autoTitleDeleted val="0"/>
    <c:plotArea>
      <c:layout/>
      <c:barChart>
        <c:barDir val="col"/>
        <c:grouping val="clustered"/>
        <c:varyColors val="0"/>
        <c:ser>
          <c:idx val="0"/>
          <c:order val="0"/>
          <c:tx>
            <c:strRef>
              <c:f>'100 mg % '!$G$58</c:f>
              <c:strCache>
                <c:ptCount val="1"/>
                <c:pt idx="0">
                  <c:v>Aporte a la Incertidumbre</c:v>
                </c:pt>
              </c:strCache>
            </c:strRef>
          </c:tx>
          <c:spPr>
            <a:solidFill>
              <a:schemeClr val="accent2">
                <a:alpha val="85000"/>
              </a:schemeClr>
            </a:solidFill>
            <a:ln w="9525" cap="flat" cmpd="sng" algn="ctr">
              <a:solidFill>
                <a:schemeClr val="lt1">
                  <a:alpha val="50000"/>
                </a:schemeClr>
              </a:solidFill>
              <a:round/>
            </a:ln>
            <a:effectLst/>
          </c:spPr>
          <c:invertIfNegative val="0"/>
          <c:dLbls>
            <c:dLbl>
              <c:idx val="0"/>
              <c:layout>
                <c:manualLayout>
                  <c:x val="5.8076231684837075E-3"/>
                  <c:y val="-1.0880458124555947E-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ED0-47ED-A049-B8B4507FF56C}"/>
                </c:ext>
              </c:extLst>
            </c:dLbl>
            <c:dLbl>
              <c:idx val="1"/>
              <c:layout>
                <c:manualLayout>
                  <c:x val="0"/>
                  <c:y val="4.240515390121689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ED0-47ED-A049-B8B4507FF56C}"/>
                </c:ext>
              </c:extLst>
            </c:dLbl>
            <c:dLbl>
              <c:idx val="2"/>
              <c:layout>
                <c:manualLayout>
                  <c:x val="0"/>
                  <c:y val="-9.454488188976377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ED0-47ED-A049-B8B4507FF56C}"/>
                </c:ext>
              </c:extLst>
            </c:dLbl>
            <c:dLbl>
              <c:idx val="3"/>
              <c:layout>
                <c:manualLayout>
                  <c:x val="0"/>
                  <c:y val="2.320400858983469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ED0-47ED-A049-B8B4507FF56C}"/>
                </c:ext>
              </c:extLst>
            </c:dLbl>
            <c:spPr>
              <a:noFill/>
              <a:ln>
                <a:noFill/>
              </a:ln>
              <a:effectLst/>
            </c:spPr>
            <c:txPr>
              <a:bodyPr rot="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('RT03-F13 (mg)% '!$A$59,'RT03-F13 (mg)% '!$A$62,'RT03-F13 (mg)% '!$A$66:$A$68)</c:f>
              <c:strCache>
                <c:ptCount val="5"/>
                <c:pt idx="0">
                  <c:v>Proceso de pesaje</c:v>
                </c:pt>
                <c:pt idx="1">
                  <c:v>Pesa de referencia</c:v>
                </c:pt>
                <c:pt idx="2">
                  <c:v>Corrección por empuje del aire</c:v>
                </c:pt>
                <c:pt idx="3">
                  <c:v>Resolución balanza</c:v>
                </c:pt>
                <c:pt idx="4">
                  <c:v>Incertidumbre por repetibilidad del método</c:v>
                </c:pt>
              </c:strCache>
            </c:strRef>
          </c:cat>
          <c:val>
            <c:numRef>
              <c:f>('100 mg % '!$G$59,'100 mg % '!$G$62,'100 mg % '!$G$66:$G$67,'100 mg % '!$G$68)</c:f>
              <c:numCache>
                <c:formatCode>0%</c:formatCode>
                <c:ptCount val="5"/>
                <c:pt idx="0">
                  <c:v>0</c:v>
                </c:pt>
                <c:pt idx="1">
                  <c:v>#N/A</c:v>
                </c:pt>
                <c:pt idx="2">
                  <c:v>#N/A</c:v>
                </c:pt>
                <c:pt idx="3">
                  <c:v>#N/A</c:v>
                </c:pt>
                <c:pt idx="4">
                  <c:v>0</c:v>
                </c:pt>
              </c:numCache>
            </c:numRef>
          </c:val>
          <c:extLst>
            <c:ext xmlns:c16="http://schemas.microsoft.com/office/drawing/2014/chart" uri="{C3380CC4-5D6E-409C-BE32-E72D297353CC}">
              <c16:uniqueId val="{00000004-8ED0-47ED-A049-B8B4507FF56C}"/>
            </c:ext>
          </c:extLst>
        </c:ser>
        <c:dLbls>
          <c:dLblPos val="inEnd"/>
          <c:showLegendKey val="0"/>
          <c:showVal val="1"/>
          <c:showCatName val="0"/>
          <c:showSerName val="0"/>
          <c:showPercent val="0"/>
          <c:showBubbleSize val="0"/>
        </c:dLbls>
        <c:gapWidth val="65"/>
        <c:axId val="194315008"/>
        <c:axId val="194317696"/>
      </c:barChart>
      <c:catAx>
        <c:axId val="194315008"/>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solidFill>
                <a:latin typeface="+mn-lt"/>
                <a:ea typeface="+mn-ea"/>
                <a:cs typeface="+mn-cs"/>
              </a:defRPr>
            </a:pPr>
            <a:endParaRPr lang="es-CO"/>
          </a:p>
        </c:txPr>
        <c:crossAx val="194317696"/>
        <c:crosses val="autoZero"/>
        <c:auto val="1"/>
        <c:lblAlgn val="ctr"/>
        <c:lblOffset val="100"/>
        <c:noMultiLvlLbl val="0"/>
      </c:catAx>
      <c:valAx>
        <c:axId val="194317696"/>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 sourceLinked="1"/>
        <c:majorTickMark val="none"/>
        <c:minorTickMark val="none"/>
        <c:tickLblPos val="nextTo"/>
        <c:crossAx val="194315008"/>
        <c:crosses val="autoZero"/>
        <c:crossBetween val="between"/>
      </c:valAx>
      <c:spPr>
        <a:noFill/>
        <a:ln>
          <a:noFill/>
        </a:ln>
        <a:effectLst/>
      </c:spPr>
    </c:plotArea>
    <c:plotVisOnly val="1"/>
    <c:dispBlanksAs val="gap"/>
    <c:showDLblsOverMax val="0"/>
  </c:chart>
  <c:spPr>
    <a:solidFill>
      <a:schemeClr val="accent6">
        <a:lumMod val="40000"/>
        <a:lumOff val="60000"/>
      </a:schemeClr>
    </a:solidFill>
    <a:ln w="12700" cap="flat" cmpd="sng" algn="ctr">
      <a:solidFill>
        <a:schemeClr val="dk1"/>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800" b="1" i="0" u="none" strike="noStrike" kern="1200" baseline="0">
              <a:solidFill>
                <a:schemeClr val="dk1"/>
              </a:solidFill>
              <a:latin typeface="+mn-lt"/>
              <a:ea typeface="+mn-ea"/>
              <a:cs typeface="+mn-cs"/>
            </a:defRPr>
          </a:pPr>
          <a:endParaRPr lang="es-CO"/>
        </a:p>
      </c:txPr>
    </c:title>
    <c:autoTitleDeleted val="0"/>
    <c:plotArea>
      <c:layout/>
      <c:barChart>
        <c:barDir val="col"/>
        <c:grouping val="clustered"/>
        <c:varyColors val="0"/>
        <c:ser>
          <c:idx val="0"/>
          <c:order val="0"/>
          <c:tx>
            <c:strRef>
              <c:f>'200 mg % '!$G$58</c:f>
              <c:strCache>
                <c:ptCount val="1"/>
                <c:pt idx="0">
                  <c:v>Aporte a la Incertidumbre</c:v>
                </c:pt>
              </c:strCache>
            </c:strRef>
          </c:tx>
          <c:spPr>
            <a:solidFill>
              <a:schemeClr val="accent2">
                <a:alpha val="85000"/>
              </a:schemeClr>
            </a:solidFill>
            <a:ln w="9525" cap="flat" cmpd="sng" algn="ctr">
              <a:solidFill>
                <a:schemeClr val="lt1">
                  <a:alpha val="50000"/>
                </a:schemeClr>
              </a:solidFill>
              <a:round/>
            </a:ln>
            <a:effectLst/>
          </c:spPr>
          <c:invertIfNegative val="0"/>
          <c:dLbls>
            <c:dLbl>
              <c:idx val="0"/>
              <c:layout>
                <c:manualLayout>
                  <c:x val="5.8076231684837075E-3"/>
                  <c:y val="-1.0880458124555947E-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E1C-4588-AE18-7FD4D70EF453}"/>
                </c:ext>
              </c:extLst>
            </c:dLbl>
            <c:dLbl>
              <c:idx val="1"/>
              <c:layout>
                <c:manualLayout>
                  <c:x val="0"/>
                  <c:y val="4.240515390121689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E1C-4588-AE18-7FD4D70EF453}"/>
                </c:ext>
              </c:extLst>
            </c:dLbl>
            <c:dLbl>
              <c:idx val="2"/>
              <c:layout>
                <c:manualLayout>
                  <c:x val="0"/>
                  <c:y val="-9.454488188976377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E1C-4588-AE18-7FD4D70EF453}"/>
                </c:ext>
              </c:extLst>
            </c:dLbl>
            <c:dLbl>
              <c:idx val="3"/>
              <c:layout>
                <c:manualLayout>
                  <c:x val="0"/>
                  <c:y val="2.320400858983469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E1C-4588-AE18-7FD4D70EF453}"/>
                </c:ext>
              </c:extLst>
            </c:dLbl>
            <c:spPr>
              <a:noFill/>
              <a:ln>
                <a:noFill/>
              </a:ln>
              <a:effectLst/>
            </c:spPr>
            <c:txPr>
              <a:bodyPr rot="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('RT03-F13 (mg)% '!$A$59,'RT03-F13 (mg)% '!$A$62,'RT03-F13 (mg)% '!$A$66:$A$68)</c:f>
              <c:strCache>
                <c:ptCount val="5"/>
                <c:pt idx="0">
                  <c:v>Proceso de pesaje</c:v>
                </c:pt>
                <c:pt idx="1">
                  <c:v>Pesa de referencia</c:v>
                </c:pt>
                <c:pt idx="2">
                  <c:v>Corrección por empuje del aire</c:v>
                </c:pt>
                <c:pt idx="3">
                  <c:v>Resolución balanza</c:v>
                </c:pt>
                <c:pt idx="4">
                  <c:v>Incertidumbre por repetibilidad del método</c:v>
                </c:pt>
              </c:strCache>
            </c:strRef>
          </c:cat>
          <c:val>
            <c:numRef>
              <c:f>('200 mg % '!$G$59,'200 mg % '!$G$62,'200 mg % '!$G$66:$G$67,'200 mg % '!$G$68)</c:f>
              <c:numCache>
                <c:formatCode>0%</c:formatCode>
                <c:ptCount val="5"/>
                <c:pt idx="0">
                  <c:v>0</c:v>
                </c:pt>
                <c:pt idx="1">
                  <c:v>#N/A</c:v>
                </c:pt>
                <c:pt idx="2">
                  <c:v>#N/A</c:v>
                </c:pt>
                <c:pt idx="3">
                  <c:v>#N/A</c:v>
                </c:pt>
                <c:pt idx="4">
                  <c:v>0</c:v>
                </c:pt>
              </c:numCache>
            </c:numRef>
          </c:val>
          <c:extLst>
            <c:ext xmlns:c16="http://schemas.microsoft.com/office/drawing/2014/chart" uri="{C3380CC4-5D6E-409C-BE32-E72D297353CC}">
              <c16:uniqueId val="{00000004-3E1C-4588-AE18-7FD4D70EF453}"/>
            </c:ext>
          </c:extLst>
        </c:ser>
        <c:dLbls>
          <c:dLblPos val="inEnd"/>
          <c:showLegendKey val="0"/>
          <c:showVal val="1"/>
          <c:showCatName val="0"/>
          <c:showSerName val="0"/>
          <c:showPercent val="0"/>
          <c:showBubbleSize val="0"/>
        </c:dLbls>
        <c:gapWidth val="65"/>
        <c:axId val="137018752"/>
        <c:axId val="196372736"/>
      </c:barChart>
      <c:catAx>
        <c:axId val="137018752"/>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solidFill>
                <a:latin typeface="+mn-lt"/>
                <a:ea typeface="+mn-ea"/>
                <a:cs typeface="+mn-cs"/>
              </a:defRPr>
            </a:pPr>
            <a:endParaRPr lang="es-CO"/>
          </a:p>
        </c:txPr>
        <c:crossAx val="196372736"/>
        <c:crosses val="autoZero"/>
        <c:auto val="1"/>
        <c:lblAlgn val="ctr"/>
        <c:lblOffset val="100"/>
        <c:noMultiLvlLbl val="0"/>
      </c:catAx>
      <c:valAx>
        <c:axId val="196372736"/>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 sourceLinked="1"/>
        <c:majorTickMark val="none"/>
        <c:minorTickMark val="none"/>
        <c:tickLblPos val="nextTo"/>
        <c:crossAx val="137018752"/>
        <c:crosses val="autoZero"/>
        <c:crossBetween val="between"/>
      </c:valAx>
      <c:spPr>
        <a:noFill/>
        <a:ln>
          <a:noFill/>
        </a:ln>
        <a:effectLst/>
      </c:spPr>
    </c:plotArea>
    <c:plotVisOnly val="1"/>
    <c:dispBlanksAs val="gap"/>
    <c:showDLblsOverMax val="0"/>
  </c:chart>
  <c:spPr>
    <a:solidFill>
      <a:schemeClr val="accent6">
        <a:lumMod val="40000"/>
        <a:lumOff val="60000"/>
      </a:schemeClr>
    </a:solidFill>
    <a:ln w="12700" cap="flat" cmpd="sng" algn="ctr">
      <a:solidFill>
        <a:schemeClr val="dk1"/>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800" b="1" i="0" u="none" strike="noStrike" kern="1200" baseline="0">
              <a:solidFill>
                <a:schemeClr val="dk1"/>
              </a:solidFill>
              <a:latin typeface="+mn-lt"/>
              <a:ea typeface="+mn-ea"/>
              <a:cs typeface="+mn-cs"/>
            </a:defRPr>
          </a:pPr>
          <a:endParaRPr lang="es-CO"/>
        </a:p>
      </c:txPr>
    </c:title>
    <c:autoTitleDeleted val="0"/>
    <c:plotArea>
      <c:layout/>
      <c:barChart>
        <c:barDir val="col"/>
        <c:grouping val="clustered"/>
        <c:varyColors val="0"/>
        <c:ser>
          <c:idx val="0"/>
          <c:order val="0"/>
          <c:tx>
            <c:strRef>
              <c:f>'200 mg + %'!$G$58</c:f>
              <c:strCache>
                <c:ptCount val="1"/>
                <c:pt idx="0">
                  <c:v>Aporte a la Incertidumbre</c:v>
                </c:pt>
              </c:strCache>
            </c:strRef>
          </c:tx>
          <c:spPr>
            <a:solidFill>
              <a:schemeClr val="accent2">
                <a:alpha val="85000"/>
              </a:schemeClr>
            </a:solidFill>
            <a:ln w="9525" cap="flat" cmpd="sng" algn="ctr">
              <a:solidFill>
                <a:schemeClr val="lt1">
                  <a:alpha val="50000"/>
                </a:schemeClr>
              </a:solidFill>
              <a:round/>
            </a:ln>
            <a:effectLst/>
          </c:spPr>
          <c:invertIfNegative val="0"/>
          <c:dLbls>
            <c:dLbl>
              <c:idx val="0"/>
              <c:layout>
                <c:manualLayout>
                  <c:x val="5.8076231684837075E-3"/>
                  <c:y val="-1.0880458124555947E-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077-48C8-AE26-C962766809F9}"/>
                </c:ext>
              </c:extLst>
            </c:dLbl>
            <c:dLbl>
              <c:idx val="1"/>
              <c:layout>
                <c:manualLayout>
                  <c:x val="0"/>
                  <c:y val="4.240515390121689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077-48C8-AE26-C962766809F9}"/>
                </c:ext>
              </c:extLst>
            </c:dLbl>
            <c:dLbl>
              <c:idx val="2"/>
              <c:layout>
                <c:manualLayout>
                  <c:x val="0"/>
                  <c:y val="-9.454488188976377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077-48C8-AE26-C962766809F9}"/>
                </c:ext>
              </c:extLst>
            </c:dLbl>
            <c:dLbl>
              <c:idx val="3"/>
              <c:layout>
                <c:manualLayout>
                  <c:x val="0"/>
                  <c:y val="2.320400858983469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077-48C8-AE26-C962766809F9}"/>
                </c:ext>
              </c:extLst>
            </c:dLbl>
            <c:spPr>
              <a:noFill/>
              <a:ln>
                <a:noFill/>
              </a:ln>
              <a:effectLst/>
            </c:spPr>
            <c:txPr>
              <a:bodyPr rot="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('RT03-F13 (mg)% '!$A$59,'RT03-F13 (mg)% '!$A$62,'RT03-F13 (mg)% '!$A$66:$A$68)</c:f>
              <c:strCache>
                <c:ptCount val="5"/>
                <c:pt idx="0">
                  <c:v>Proceso de pesaje</c:v>
                </c:pt>
                <c:pt idx="1">
                  <c:v>Pesa de referencia</c:v>
                </c:pt>
                <c:pt idx="2">
                  <c:v>Corrección por empuje del aire</c:v>
                </c:pt>
                <c:pt idx="3">
                  <c:v>Resolución balanza</c:v>
                </c:pt>
                <c:pt idx="4">
                  <c:v>Incertidumbre por repetibilidad del método</c:v>
                </c:pt>
              </c:strCache>
            </c:strRef>
          </c:cat>
          <c:val>
            <c:numRef>
              <c:f>('200 mg + %'!$G$59,'200 mg + %'!$G$62,'200 mg + %'!$G$66:$G$67,'200 mg + %'!$G$68)</c:f>
              <c:numCache>
                <c:formatCode>0%</c:formatCode>
                <c:ptCount val="5"/>
                <c:pt idx="0">
                  <c:v>0</c:v>
                </c:pt>
                <c:pt idx="1">
                  <c:v>#N/A</c:v>
                </c:pt>
                <c:pt idx="2">
                  <c:v>#N/A</c:v>
                </c:pt>
                <c:pt idx="3">
                  <c:v>#N/A</c:v>
                </c:pt>
                <c:pt idx="4">
                  <c:v>0</c:v>
                </c:pt>
              </c:numCache>
            </c:numRef>
          </c:val>
          <c:extLst>
            <c:ext xmlns:c16="http://schemas.microsoft.com/office/drawing/2014/chart" uri="{C3380CC4-5D6E-409C-BE32-E72D297353CC}">
              <c16:uniqueId val="{00000004-8077-48C8-AE26-C962766809F9}"/>
            </c:ext>
          </c:extLst>
        </c:ser>
        <c:dLbls>
          <c:dLblPos val="inEnd"/>
          <c:showLegendKey val="0"/>
          <c:showVal val="1"/>
          <c:showCatName val="0"/>
          <c:showSerName val="0"/>
          <c:showPercent val="0"/>
          <c:showBubbleSize val="0"/>
        </c:dLbls>
        <c:gapWidth val="65"/>
        <c:axId val="195688704"/>
        <c:axId val="196949120"/>
      </c:barChart>
      <c:catAx>
        <c:axId val="195688704"/>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solidFill>
                <a:latin typeface="+mn-lt"/>
                <a:ea typeface="+mn-ea"/>
                <a:cs typeface="+mn-cs"/>
              </a:defRPr>
            </a:pPr>
            <a:endParaRPr lang="es-CO"/>
          </a:p>
        </c:txPr>
        <c:crossAx val="196949120"/>
        <c:crosses val="autoZero"/>
        <c:auto val="1"/>
        <c:lblAlgn val="ctr"/>
        <c:lblOffset val="100"/>
        <c:noMultiLvlLbl val="0"/>
      </c:catAx>
      <c:valAx>
        <c:axId val="196949120"/>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 sourceLinked="1"/>
        <c:majorTickMark val="none"/>
        <c:minorTickMark val="none"/>
        <c:tickLblPos val="nextTo"/>
        <c:crossAx val="195688704"/>
        <c:crosses val="autoZero"/>
        <c:crossBetween val="between"/>
      </c:valAx>
      <c:spPr>
        <a:noFill/>
        <a:ln>
          <a:noFill/>
        </a:ln>
        <a:effectLst/>
      </c:spPr>
    </c:plotArea>
    <c:plotVisOnly val="1"/>
    <c:dispBlanksAs val="gap"/>
    <c:showDLblsOverMax val="0"/>
  </c:chart>
  <c:spPr>
    <a:solidFill>
      <a:schemeClr val="accent6">
        <a:lumMod val="40000"/>
        <a:lumOff val="60000"/>
      </a:schemeClr>
    </a:solidFill>
    <a:ln w="12700" cap="flat" cmpd="sng" algn="ctr">
      <a:solidFill>
        <a:schemeClr val="dk1"/>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800" b="1" i="0" u="none" strike="noStrike" kern="1200" baseline="0">
              <a:solidFill>
                <a:schemeClr val="dk1"/>
              </a:solidFill>
              <a:latin typeface="+mn-lt"/>
              <a:ea typeface="+mn-ea"/>
              <a:cs typeface="+mn-cs"/>
            </a:defRPr>
          </a:pPr>
          <a:endParaRPr lang="es-CO"/>
        </a:p>
      </c:txPr>
    </c:title>
    <c:autoTitleDeleted val="0"/>
    <c:plotArea>
      <c:layout/>
      <c:barChart>
        <c:barDir val="col"/>
        <c:grouping val="clustered"/>
        <c:varyColors val="0"/>
        <c:ser>
          <c:idx val="0"/>
          <c:order val="0"/>
          <c:tx>
            <c:strRef>
              <c:f>'500 mg % '!$G$58</c:f>
              <c:strCache>
                <c:ptCount val="1"/>
                <c:pt idx="0">
                  <c:v>Aporte a la Incertidumbre</c:v>
                </c:pt>
              </c:strCache>
            </c:strRef>
          </c:tx>
          <c:spPr>
            <a:solidFill>
              <a:schemeClr val="accent2">
                <a:alpha val="85000"/>
              </a:schemeClr>
            </a:solidFill>
            <a:ln w="9525" cap="flat" cmpd="sng" algn="ctr">
              <a:solidFill>
                <a:schemeClr val="lt1">
                  <a:alpha val="50000"/>
                </a:schemeClr>
              </a:solidFill>
              <a:round/>
            </a:ln>
            <a:effectLst/>
          </c:spPr>
          <c:invertIfNegative val="0"/>
          <c:dLbls>
            <c:dLbl>
              <c:idx val="0"/>
              <c:layout>
                <c:manualLayout>
                  <c:x val="5.8076231684837075E-3"/>
                  <c:y val="-1.0880458124555947E-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A60-41E9-B367-5343EAF26407}"/>
                </c:ext>
              </c:extLst>
            </c:dLbl>
            <c:dLbl>
              <c:idx val="1"/>
              <c:layout>
                <c:manualLayout>
                  <c:x val="0"/>
                  <c:y val="4.240515390121689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A60-41E9-B367-5343EAF26407}"/>
                </c:ext>
              </c:extLst>
            </c:dLbl>
            <c:dLbl>
              <c:idx val="2"/>
              <c:layout>
                <c:manualLayout>
                  <c:x val="0"/>
                  <c:y val="-9.454488188976377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A60-41E9-B367-5343EAF26407}"/>
                </c:ext>
              </c:extLst>
            </c:dLbl>
            <c:dLbl>
              <c:idx val="3"/>
              <c:layout>
                <c:manualLayout>
                  <c:x val="0"/>
                  <c:y val="2.320400858983469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A60-41E9-B367-5343EAF26407}"/>
                </c:ext>
              </c:extLst>
            </c:dLbl>
            <c:spPr>
              <a:noFill/>
              <a:ln>
                <a:noFill/>
              </a:ln>
              <a:effectLst/>
            </c:spPr>
            <c:txPr>
              <a:bodyPr rot="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('RT03-F13 (mg)% '!$A$59,'RT03-F13 (mg)% '!$A$62,'RT03-F13 (mg)% '!$A$66:$A$68)</c:f>
              <c:strCache>
                <c:ptCount val="5"/>
                <c:pt idx="0">
                  <c:v>Proceso de pesaje</c:v>
                </c:pt>
                <c:pt idx="1">
                  <c:v>Pesa de referencia</c:v>
                </c:pt>
                <c:pt idx="2">
                  <c:v>Corrección por empuje del aire</c:v>
                </c:pt>
                <c:pt idx="3">
                  <c:v>Resolución balanza</c:v>
                </c:pt>
                <c:pt idx="4">
                  <c:v>Incertidumbre por repetibilidad del método</c:v>
                </c:pt>
              </c:strCache>
            </c:strRef>
          </c:cat>
          <c:val>
            <c:numRef>
              <c:f>('500 mg % '!$G$59,'500 mg % '!$G$62,'500 mg % '!$G$66:$G$67,'500 mg % '!$G$68)</c:f>
              <c:numCache>
                <c:formatCode>0%</c:formatCode>
                <c:ptCount val="5"/>
                <c:pt idx="0">
                  <c:v>0</c:v>
                </c:pt>
                <c:pt idx="1">
                  <c:v>#N/A</c:v>
                </c:pt>
                <c:pt idx="2">
                  <c:v>#N/A</c:v>
                </c:pt>
                <c:pt idx="3">
                  <c:v>#N/A</c:v>
                </c:pt>
                <c:pt idx="4">
                  <c:v>0</c:v>
                </c:pt>
              </c:numCache>
            </c:numRef>
          </c:val>
          <c:extLst>
            <c:ext xmlns:c16="http://schemas.microsoft.com/office/drawing/2014/chart" uri="{C3380CC4-5D6E-409C-BE32-E72D297353CC}">
              <c16:uniqueId val="{00000004-DA60-41E9-B367-5343EAF26407}"/>
            </c:ext>
          </c:extLst>
        </c:ser>
        <c:dLbls>
          <c:dLblPos val="inEnd"/>
          <c:showLegendKey val="0"/>
          <c:showVal val="1"/>
          <c:showCatName val="0"/>
          <c:showSerName val="0"/>
          <c:showPercent val="0"/>
          <c:showBubbleSize val="0"/>
        </c:dLbls>
        <c:gapWidth val="65"/>
        <c:axId val="197674112"/>
        <c:axId val="197681152"/>
      </c:barChart>
      <c:catAx>
        <c:axId val="197674112"/>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solidFill>
                <a:latin typeface="+mn-lt"/>
                <a:ea typeface="+mn-ea"/>
                <a:cs typeface="+mn-cs"/>
              </a:defRPr>
            </a:pPr>
            <a:endParaRPr lang="es-CO"/>
          </a:p>
        </c:txPr>
        <c:crossAx val="197681152"/>
        <c:crosses val="autoZero"/>
        <c:auto val="1"/>
        <c:lblAlgn val="ctr"/>
        <c:lblOffset val="100"/>
        <c:noMultiLvlLbl val="0"/>
      </c:catAx>
      <c:valAx>
        <c:axId val="197681152"/>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 sourceLinked="1"/>
        <c:majorTickMark val="none"/>
        <c:minorTickMark val="none"/>
        <c:tickLblPos val="nextTo"/>
        <c:crossAx val="197674112"/>
        <c:crosses val="autoZero"/>
        <c:crossBetween val="between"/>
      </c:valAx>
      <c:spPr>
        <a:noFill/>
        <a:ln>
          <a:noFill/>
        </a:ln>
        <a:effectLst/>
      </c:spPr>
    </c:plotArea>
    <c:plotVisOnly val="1"/>
    <c:dispBlanksAs val="gap"/>
    <c:showDLblsOverMax val="0"/>
  </c:chart>
  <c:spPr>
    <a:solidFill>
      <a:schemeClr val="accent6">
        <a:lumMod val="40000"/>
        <a:lumOff val="60000"/>
      </a:schemeClr>
    </a:solidFill>
    <a:ln w="12700" cap="flat" cmpd="sng" algn="ctr">
      <a:solidFill>
        <a:schemeClr val="dk1"/>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r>
              <a:rPr lang="en-US"/>
              <a:t>1 mg</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endParaRPr lang="es-CO"/>
        </a:p>
      </c:txPr>
    </c:title>
    <c:autoTitleDeleted val="0"/>
    <c:plotArea>
      <c:layout/>
      <c:lineChart>
        <c:grouping val="standard"/>
        <c:varyColors val="0"/>
        <c:ser>
          <c:idx val="0"/>
          <c:order val="0"/>
          <c:tx>
            <c:strRef>
              <c:f>'mili Pc % '!$D$6</c:f>
              <c:strCache>
                <c:ptCount val="1"/>
                <c:pt idx="0">
                  <c:v>Error en masa convencional </c:v>
                </c:pt>
              </c:strCache>
            </c:strRef>
          </c:tx>
          <c:spPr>
            <a:ln w="28575" cap="rnd">
              <a:solidFill>
                <a:schemeClr val="accent1"/>
              </a:solidFill>
              <a:round/>
            </a:ln>
            <a:effectLst/>
          </c:spPr>
          <c:marker>
            <c:symbol val="circle"/>
            <c:size val="6"/>
            <c:spPr>
              <a:solidFill>
                <a:srgbClr val="92D050"/>
              </a:solidFill>
              <a:ln w="9525">
                <a:solidFill>
                  <a:schemeClr val="accent1"/>
                </a:solidFill>
              </a:ln>
              <a:effectLst/>
            </c:spPr>
          </c:marker>
          <c:dLbls>
            <c:dLbl>
              <c:idx val="0"/>
              <c:layout>
                <c:manualLayout>
                  <c:x val="6.2117006939334557E-2"/>
                  <c:y val="-9.815211741914971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3B7-4368-9215-ABCF4E0C95AE}"/>
                </c:ext>
              </c:extLst>
            </c:dLbl>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errBars>
            <c:errDir val="y"/>
            <c:errBarType val="both"/>
            <c:errValType val="cust"/>
            <c:noEndCap val="0"/>
            <c:plus>
              <c:numRef>
                <c:f>'mili Pc % '!$E$7</c:f>
                <c:numCache>
                  <c:formatCode>General</c:formatCode>
                  <c:ptCount val="1"/>
                  <c:pt idx="0">
                    <c:v>0.06</c:v>
                  </c:pt>
                </c:numCache>
              </c:numRef>
            </c:plus>
            <c:minus>
              <c:numRef>
                <c:f>'mili Pc % '!$E$7</c:f>
                <c:numCache>
                  <c:formatCode>General</c:formatCode>
                  <c:ptCount val="1"/>
                  <c:pt idx="0">
                    <c:v>0.06</c:v>
                  </c:pt>
                </c:numCache>
              </c:numRef>
            </c:minus>
            <c:spPr>
              <a:noFill/>
              <a:ln w="22225" cap="flat" cmpd="sng" algn="ctr">
                <a:solidFill>
                  <a:srgbClr val="0070C0"/>
                </a:solidFill>
                <a:round/>
              </a:ln>
              <a:effectLst/>
            </c:spPr>
          </c:errBars>
          <c:val>
            <c:numRef>
              <c:f>'mili Pc % '!$D$7</c:f>
              <c:numCache>
                <c:formatCode>0.00\ "mg"</c:formatCode>
                <c:ptCount val="1"/>
                <c:pt idx="0">
                  <c:v>#N/A</c:v>
                </c:pt>
              </c:numCache>
            </c:numRef>
          </c:val>
          <c:smooth val="0"/>
          <c:extLst>
            <c:ext xmlns:c16="http://schemas.microsoft.com/office/drawing/2014/chart" uri="{C3380CC4-5D6E-409C-BE32-E72D297353CC}">
              <c16:uniqueId val="{00000001-23B7-4368-9215-ABCF4E0C95AE}"/>
            </c:ext>
          </c:extLst>
        </c:ser>
        <c:ser>
          <c:idx val="1"/>
          <c:order val="1"/>
          <c:tx>
            <c:strRef>
              <c:f>'mili Pc % '!$O$6</c:f>
              <c:strCache>
                <c:ptCount val="1"/>
                <c:pt idx="0">
                  <c:v> ± EMP</c:v>
                </c:pt>
              </c:strCache>
            </c:strRef>
          </c:tx>
          <c:spPr>
            <a:ln w="28575" cap="rnd">
              <a:solidFill>
                <a:srgbClr val="FF0000"/>
              </a:solidFill>
              <a:round/>
            </a:ln>
            <a:effectLst/>
          </c:spPr>
          <c:marker>
            <c:symbol val="none"/>
          </c:marker>
          <c:dLbls>
            <c:delete val="1"/>
          </c:dLbls>
          <c:val>
            <c:numRef>
              <c:f>'mili Pc % '!$O$7:$Q$7</c:f>
              <c:numCache>
                <c:formatCode>0.00</c:formatCode>
                <c:ptCount val="3"/>
                <c:pt idx="0">
                  <c:v>0.2</c:v>
                </c:pt>
                <c:pt idx="1">
                  <c:v>0.2</c:v>
                </c:pt>
                <c:pt idx="2">
                  <c:v>0.2</c:v>
                </c:pt>
              </c:numCache>
            </c:numRef>
          </c:val>
          <c:smooth val="0"/>
          <c:extLst>
            <c:ext xmlns:c16="http://schemas.microsoft.com/office/drawing/2014/chart" uri="{C3380CC4-5D6E-409C-BE32-E72D297353CC}">
              <c16:uniqueId val="{00000002-23B7-4368-9215-ABCF4E0C95AE}"/>
            </c:ext>
          </c:extLst>
        </c:ser>
        <c:ser>
          <c:idx val="2"/>
          <c:order val="2"/>
          <c:tx>
            <c:strRef>
              <c:f>'mili Pc % '!$O$6</c:f>
              <c:strCache>
                <c:ptCount val="1"/>
                <c:pt idx="0">
                  <c:v> ± EMP</c:v>
                </c:pt>
              </c:strCache>
            </c:strRef>
          </c:tx>
          <c:spPr>
            <a:ln w="28575" cap="rnd">
              <a:solidFill>
                <a:srgbClr val="FF0000"/>
              </a:solidFill>
              <a:round/>
            </a:ln>
            <a:effectLst/>
          </c:spPr>
          <c:marker>
            <c:symbol val="none"/>
          </c:marker>
          <c:dPt>
            <c:idx val="2"/>
            <c:marker>
              <c:symbol val="none"/>
            </c:marker>
            <c:bubble3D val="0"/>
            <c:extLst>
              <c:ext xmlns:c16="http://schemas.microsoft.com/office/drawing/2014/chart" uri="{C3380CC4-5D6E-409C-BE32-E72D297353CC}">
                <c16:uniqueId val="{00000003-23B7-4368-9215-ABCF4E0C95AE}"/>
              </c:ext>
            </c:extLst>
          </c:dPt>
          <c:dLbls>
            <c:delete val="1"/>
          </c:dLbls>
          <c:val>
            <c:numRef>
              <c:f>'mili Pc % '!$R$7:$T$7</c:f>
              <c:numCache>
                <c:formatCode>0.00</c:formatCode>
                <c:ptCount val="3"/>
                <c:pt idx="0">
                  <c:v>-0.2</c:v>
                </c:pt>
                <c:pt idx="1">
                  <c:v>-0.2</c:v>
                </c:pt>
                <c:pt idx="2">
                  <c:v>-0.2</c:v>
                </c:pt>
              </c:numCache>
            </c:numRef>
          </c:val>
          <c:smooth val="0"/>
          <c:extLst>
            <c:ext xmlns:c16="http://schemas.microsoft.com/office/drawing/2014/chart" uri="{C3380CC4-5D6E-409C-BE32-E72D297353CC}">
              <c16:uniqueId val="{00000004-23B7-4368-9215-ABCF4E0C95AE}"/>
            </c:ext>
          </c:extLst>
        </c:ser>
        <c:dLbls>
          <c:dLblPos val="t"/>
          <c:showLegendKey val="0"/>
          <c:showVal val="1"/>
          <c:showCatName val="0"/>
          <c:showSerName val="0"/>
          <c:showPercent val="0"/>
          <c:showBubbleSize val="0"/>
        </c:dLbls>
        <c:marker val="1"/>
        <c:smooth val="0"/>
        <c:axId val="197055232"/>
        <c:axId val="197056768"/>
      </c:lineChart>
      <c:dateAx>
        <c:axId val="197055232"/>
        <c:scaling>
          <c:orientation val="minMax"/>
        </c:scaling>
        <c:delete val="0"/>
        <c:axPos val="b"/>
        <c:majorTickMark val="none"/>
        <c:minorTickMark val="none"/>
        <c:tickLblPos val="none"/>
        <c:spPr>
          <a:solidFill>
            <a:schemeClr val="bg1"/>
          </a:solidFill>
          <a:ln w="12700" cap="flat" cmpd="sng" algn="ctr">
            <a:solidFill>
              <a:srgbClr val="00B0F0">
                <a:alpha val="98000"/>
              </a:srgbClr>
            </a:solidFill>
            <a:round/>
          </a:ln>
          <a:effectLst>
            <a:glow>
              <a:srgbClr val="FFFF00">
                <a:alpha val="93000"/>
              </a:srgbClr>
            </a:glow>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197056768"/>
        <c:crosses val="autoZero"/>
        <c:auto val="0"/>
        <c:lblOffset val="100"/>
        <c:baseTimeUnit val="days"/>
        <c:majorUnit val="1"/>
      </c:dateAx>
      <c:valAx>
        <c:axId val="19705676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r>
                  <a:rPr lang="es-CO"/>
                  <a:t>Error en masa convencional</a:t>
                </a:r>
              </a:p>
            </c:rich>
          </c:tx>
          <c:layout>
            <c:manualLayout>
              <c:xMode val="edge"/>
              <c:yMode val="edge"/>
              <c:x val="3.9850563524622316E-2"/>
              <c:y val="0.11799421695162476"/>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endParaRPr lang="es-CO"/>
            </a:p>
          </c:txPr>
        </c:title>
        <c:numFmt formatCode="0.00\ &quot;mg&quot;"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197055232"/>
        <c:crossesAt val="1"/>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accent6">
        <a:lumMod val="20000"/>
        <a:lumOff val="80000"/>
      </a:schemeClr>
    </a:solidFill>
    <a:ln w="12700" cap="flat" cmpd="sng" algn="ctr">
      <a:solidFill>
        <a:schemeClr val="accent2"/>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r>
              <a:rPr lang="en-US"/>
              <a:t>2 mg</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endParaRPr lang="es-CO"/>
        </a:p>
      </c:txPr>
    </c:title>
    <c:autoTitleDeleted val="0"/>
    <c:plotArea>
      <c:layout>
        <c:manualLayout>
          <c:layoutTarget val="inner"/>
          <c:xMode val="edge"/>
          <c:yMode val="edge"/>
          <c:x val="0.21190239059451396"/>
          <c:y val="0.27784722685881863"/>
          <c:w val="0.7562171585857882"/>
          <c:h val="0.68632714797105399"/>
        </c:manualLayout>
      </c:layout>
      <c:lineChart>
        <c:grouping val="standard"/>
        <c:varyColors val="0"/>
        <c:ser>
          <c:idx val="0"/>
          <c:order val="0"/>
          <c:tx>
            <c:strRef>
              <c:f>'mili Pc % '!$D$6</c:f>
              <c:strCache>
                <c:ptCount val="1"/>
                <c:pt idx="0">
                  <c:v>Error en masa convencional </c:v>
                </c:pt>
              </c:strCache>
            </c:strRef>
          </c:tx>
          <c:spPr>
            <a:ln w="28575" cap="rnd">
              <a:solidFill>
                <a:schemeClr val="accent1"/>
              </a:solidFill>
              <a:round/>
            </a:ln>
            <a:effectLst/>
          </c:spPr>
          <c:marker>
            <c:symbol val="circle"/>
            <c:size val="6"/>
            <c:spPr>
              <a:solidFill>
                <a:srgbClr val="92D050"/>
              </a:solidFill>
              <a:ln w="9525">
                <a:solidFill>
                  <a:schemeClr val="accent1"/>
                </a:solidFill>
              </a:ln>
              <a:effectLst/>
            </c:spPr>
          </c:marker>
          <c:dLbls>
            <c:dLbl>
              <c:idx val="0"/>
              <c:layout>
                <c:manualLayout>
                  <c:x val="3.8397908718383431E-2"/>
                  <c:y val="-2.8134920634920123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C70-4AE7-9D1A-FA86FD5E7D07}"/>
                </c:ext>
              </c:extLst>
            </c:dLbl>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errBars>
            <c:errDir val="y"/>
            <c:errBarType val="both"/>
            <c:errValType val="cust"/>
            <c:noEndCap val="0"/>
            <c:plus>
              <c:numRef>
                <c:f>'mili Pc % '!$E$7</c:f>
                <c:numCache>
                  <c:formatCode>General</c:formatCode>
                  <c:ptCount val="1"/>
                  <c:pt idx="0">
                    <c:v>0.06</c:v>
                  </c:pt>
                </c:numCache>
              </c:numRef>
            </c:plus>
            <c:minus>
              <c:numRef>
                <c:f>'mili Pc % '!$E$8</c:f>
                <c:numCache>
                  <c:formatCode>General</c:formatCode>
                  <c:ptCount val="1"/>
                  <c:pt idx="0">
                    <c:v>0.06</c:v>
                  </c:pt>
                </c:numCache>
              </c:numRef>
            </c:minus>
            <c:spPr>
              <a:noFill/>
              <a:ln w="22225" cap="flat" cmpd="sng" algn="ctr">
                <a:solidFill>
                  <a:srgbClr val="0070C0"/>
                </a:solidFill>
                <a:round/>
              </a:ln>
              <a:effectLst/>
            </c:spPr>
          </c:errBars>
          <c:val>
            <c:numRef>
              <c:f>'mili Pc % '!$D$8</c:f>
              <c:numCache>
                <c:formatCode>0.00\ "mg"</c:formatCode>
                <c:ptCount val="1"/>
                <c:pt idx="0">
                  <c:v>#N/A</c:v>
                </c:pt>
              </c:numCache>
            </c:numRef>
          </c:val>
          <c:smooth val="0"/>
          <c:extLst>
            <c:ext xmlns:c16="http://schemas.microsoft.com/office/drawing/2014/chart" uri="{C3380CC4-5D6E-409C-BE32-E72D297353CC}">
              <c16:uniqueId val="{00000001-0C70-4AE7-9D1A-FA86FD5E7D07}"/>
            </c:ext>
          </c:extLst>
        </c:ser>
        <c:ser>
          <c:idx val="1"/>
          <c:order val="1"/>
          <c:tx>
            <c:strRef>
              <c:f>'mili Pc % '!$O$6</c:f>
              <c:strCache>
                <c:ptCount val="1"/>
                <c:pt idx="0">
                  <c:v> ± EMP</c:v>
                </c:pt>
              </c:strCache>
            </c:strRef>
          </c:tx>
          <c:spPr>
            <a:ln w="28575" cap="rnd">
              <a:solidFill>
                <a:srgbClr val="FF0000"/>
              </a:solidFill>
              <a:round/>
            </a:ln>
            <a:effectLst/>
          </c:spPr>
          <c:marker>
            <c:symbol val="none"/>
          </c:marker>
          <c:dLbls>
            <c:delete val="1"/>
          </c:dLbls>
          <c:val>
            <c:numRef>
              <c:f>'mili Pc % '!$O$8:$Q$8</c:f>
              <c:numCache>
                <c:formatCode>0.00</c:formatCode>
                <c:ptCount val="3"/>
                <c:pt idx="0">
                  <c:v>0.2</c:v>
                </c:pt>
                <c:pt idx="1">
                  <c:v>0.2</c:v>
                </c:pt>
                <c:pt idx="2">
                  <c:v>0.2</c:v>
                </c:pt>
              </c:numCache>
            </c:numRef>
          </c:val>
          <c:smooth val="0"/>
          <c:extLst>
            <c:ext xmlns:c16="http://schemas.microsoft.com/office/drawing/2014/chart" uri="{C3380CC4-5D6E-409C-BE32-E72D297353CC}">
              <c16:uniqueId val="{00000002-0C70-4AE7-9D1A-FA86FD5E7D07}"/>
            </c:ext>
          </c:extLst>
        </c:ser>
        <c:ser>
          <c:idx val="2"/>
          <c:order val="2"/>
          <c:tx>
            <c:strRef>
              <c:f>'mili Pc % '!$R$6</c:f>
              <c:strCache>
                <c:ptCount val="1"/>
                <c:pt idx="0">
                  <c:v> ± EMP</c:v>
                </c:pt>
              </c:strCache>
            </c:strRef>
          </c:tx>
          <c:spPr>
            <a:ln w="28575" cap="rnd">
              <a:solidFill>
                <a:srgbClr val="FF0000"/>
              </a:solidFill>
              <a:round/>
            </a:ln>
            <a:effectLst/>
          </c:spPr>
          <c:marker>
            <c:symbol val="none"/>
          </c:marker>
          <c:dLbls>
            <c:delete val="1"/>
          </c:dLbls>
          <c:val>
            <c:numRef>
              <c:f>'mili Pc % '!$R$8:$T$8</c:f>
              <c:numCache>
                <c:formatCode>0.00</c:formatCode>
                <c:ptCount val="3"/>
                <c:pt idx="0">
                  <c:v>-0.2</c:v>
                </c:pt>
                <c:pt idx="1">
                  <c:v>-0.2</c:v>
                </c:pt>
                <c:pt idx="2">
                  <c:v>-0.2</c:v>
                </c:pt>
              </c:numCache>
            </c:numRef>
          </c:val>
          <c:smooth val="0"/>
          <c:extLst>
            <c:ext xmlns:c16="http://schemas.microsoft.com/office/drawing/2014/chart" uri="{C3380CC4-5D6E-409C-BE32-E72D297353CC}">
              <c16:uniqueId val="{00000003-0C70-4AE7-9D1A-FA86FD5E7D07}"/>
            </c:ext>
          </c:extLst>
        </c:ser>
        <c:dLbls>
          <c:dLblPos val="t"/>
          <c:showLegendKey val="0"/>
          <c:showVal val="1"/>
          <c:showCatName val="0"/>
          <c:showSerName val="0"/>
          <c:showPercent val="0"/>
          <c:showBubbleSize val="0"/>
        </c:dLbls>
        <c:marker val="1"/>
        <c:smooth val="0"/>
        <c:axId val="197491328"/>
        <c:axId val="197517696"/>
      </c:lineChart>
      <c:dateAx>
        <c:axId val="197491328"/>
        <c:scaling>
          <c:orientation val="minMax"/>
        </c:scaling>
        <c:delete val="0"/>
        <c:axPos val="b"/>
        <c:majorTickMark val="none"/>
        <c:minorTickMark val="none"/>
        <c:tickLblPos val="none"/>
        <c:spPr>
          <a:solidFill>
            <a:schemeClr val="bg1"/>
          </a:solidFill>
          <a:ln w="12700" cap="flat" cmpd="sng" algn="ctr">
            <a:solidFill>
              <a:srgbClr val="00B0F0">
                <a:alpha val="98000"/>
              </a:srgbClr>
            </a:solidFill>
            <a:round/>
          </a:ln>
          <a:effectLst>
            <a:glow>
              <a:srgbClr val="FFFF00">
                <a:alpha val="93000"/>
              </a:srgbClr>
            </a:glow>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197517696"/>
        <c:crosses val="autoZero"/>
        <c:auto val="0"/>
        <c:lblOffset val="100"/>
        <c:baseTimeUnit val="days"/>
        <c:majorUnit val="1"/>
      </c:dateAx>
      <c:valAx>
        <c:axId val="197517696"/>
        <c:scaling>
          <c:orientation val="minMax"/>
          <c:max val="0.25"/>
          <c:min val="-0.25"/>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r>
                  <a:rPr lang="es-CO"/>
                  <a:t>Error en masa convencional</a:t>
                </a:r>
              </a:p>
            </c:rich>
          </c:tx>
          <c:layout>
            <c:manualLayout>
              <c:xMode val="edge"/>
              <c:yMode val="edge"/>
              <c:x val="1.9908013478628535E-2"/>
              <c:y val="0.10173645528922946"/>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endParaRPr lang="es-CO"/>
            </a:p>
          </c:txPr>
        </c:title>
        <c:numFmt formatCode="0.00\ &quot;mg&quot;"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197491328"/>
        <c:crossesAt val="1"/>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accent6">
        <a:lumMod val="20000"/>
        <a:lumOff val="80000"/>
      </a:schemeClr>
    </a:solidFill>
    <a:ln w="12700" cap="flat" cmpd="sng" algn="ctr">
      <a:solidFill>
        <a:schemeClr val="accent2"/>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r>
              <a:rPr lang="en-US"/>
              <a:t>5 mg</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endParaRPr lang="es-CO"/>
        </a:p>
      </c:txPr>
    </c:title>
    <c:autoTitleDeleted val="0"/>
    <c:plotArea>
      <c:layout>
        <c:manualLayout>
          <c:layoutTarget val="inner"/>
          <c:xMode val="edge"/>
          <c:yMode val="edge"/>
          <c:x val="0.21190239059451396"/>
          <c:y val="0.27784722685881863"/>
          <c:w val="0.7562171585857882"/>
          <c:h val="0.68632714797105399"/>
        </c:manualLayout>
      </c:layout>
      <c:lineChart>
        <c:grouping val="standard"/>
        <c:varyColors val="0"/>
        <c:ser>
          <c:idx val="0"/>
          <c:order val="0"/>
          <c:tx>
            <c:strRef>
              <c:f>'mili Pc % '!$D$6</c:f>
              <c:strCache>
                <c:ptCount val="1"/>
                <c:pt idx="0">
                  <c:v>Error en masa convencional </c:v>
                </c:pt>
              </c:strCache>
            </c:strRef>
          </c:tx>
          <c:spPr>
            <a:ln w="28575" cap="rnd">
              <a:solidFill>
                <a:schemeClr val="accent1"/>
              </a:solidFill>
              <a:round/>
            </a:ln>
            <a:effectLst/>
          </c:spPr>
          <c:marker>
            <c:symbol val="circle"/>
            <c:size val="6"/>
            <c:spPr>
              <a:solidFill>
                <a:srgbClr val="92D050"/>
              </a:solidFill>
              <a:ln w="9525">
                <a:solidFill>
                  <a:schemeClr val="accent1"/>
                </a:solidFill>
              </a:ln>
              <a:effectLst/>
            </c:spPr>
          </c:marker>
          <c:dLbls>
            <c:dLbl>
              <c:idx val="0"/>
              <c:layout>
                <c:manualLayout>
                  <c:x val="1.5419593044510568E-2"/>
                  <c:y val="-0.11755070546737208"/>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116-433F-9221-292BE95F50A4}"/>
                </c:ext>
              </c:extLst>
            </c:dLbl>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errBars>
            <c:errDir val="y"/>
            <c:errBarType val="both"/>
            <c:errValType val="cust"/>
            <c:noEndCap val="0"/>
            <c:plus>
              <c:numRef>
                <c:f>'mili Pc % '!$E$10</c:f>
                <c:numCache>
                  <c:formatCode>General</c:formatCode>
                  <c:ptCount val="1"/>
                  <c:pt idx="0">
                    <c:v>0.06</c:v>
                  </c:pt>
                </c:numCache>
              </c:numRef>
            </c:plus>
            <c:minus>
              <c:numRef>
                <c:f>'mili Pc % '!$E$10</c:f>
                <c:numCache>
                  <c:formatCode>General</c:formatCode>
                  <c:ptCount val="1"/>
                  <c:pt idx="0">
                    <c:v>0.06</c:v>
                  </c:pt>
                </c:numCache>
              </c:numRef>
            </c:minus>
            <c:spPr>
              <a:noFill/>
              <a:ln w="22225" cap="flat" cmpd="sng" algn="ctr">
                <a:solidFill>
                  <a:srgbClr val="0070C0"/>
                </a:solidFill>
                <a:round/>
              </a:ln>
              <a:effectLst/>
            </c:spPr>
          </c:errBars>
          <c:val>
            <c:numRef>
              <c:f>'mili Pc % '!$D$10</c:f>
              <c:numCache>
                <c:formatCode>0.00\ "mg"</c:formatCode>
                <c:ptCount val="1"/>
                <c:pt idx="0">
                  <c:v>#N/A</c:v>
                </c:pt>
              </c:numCache>
            </c:numRef>
          </c:val>
          <c:smooth val="0"/>
          <c:extLst>
            <c:ext xmlns:c16="http://schemas.microsoft.com/office/drawing/2014/chart" uri="{C3380CC4-5D6E-409C-BE32-E72D297353CC}">
              <c16:uniqueId val="{00000001-E44A-4CDA-9D54-30E6FCA2AF2E}"/>
            </c:ext>
          </c:extLst>
        </c:ser>
        <c:ser>
          <c:idx val="1"/>
          <c:order val="1"/>
          <c:tx>
            <c:strRef>
              <c:f>'mili Pc % '!$O$6</c:f>
              <c:strCache>
                <c:ptCount val="1"/>
                <c:pt idx="0">
                  <c:v> ± EMP</c:v>
                </c:pt>
              </c:strCache>
            </c:strRef>
          </c:tx>
          <c:spPr>
            <a:ln w="28575" cap="rnd">
              <a:solidFill>
                <a:srgbClr val="FF0000"/>
              </a:solidFill>
              <a:round/>
            </a:ln>
            <a:effectLst/>
          </c:spPr>
          <c:marker>
            <c:symbol val="none"/>
          </c:marker>
          <c:dLbls>
            <c:delete val="1"/>
          </c:dLbls>
          <c:val>
            <c:numRef>
              <c:f>'mili Pc % '!$O$9:$Q$9</c:f>
              <c:numCache>
                <c:formatCode>0.00</c:formatCode>
                <c:ptCount val="3"/>
                <c:pt idx="0">
                  <c:v>0.2</c:v>
                </c:pt>
                <c:pt idx="1">
                  <c:v>0.2</c:v>
                </c:pt>
                <c:pt idx="2">
                  <c:v>0.2</c:v>
                </c:pt>
              </c:numCache>
            </c:numRef>
          </c:val>
          <c:smooth val="0"/>
          <c:extLst>
            <c:ext xmlns:c16="http://schemas.microsoft.com/office/drawing/2014/chart" uri="{C3380CC4-5D6E-409C-BE32-E72D297353CC}">
              <c16:uniqueId val="{00000002-E44A-4CDA-9D54-30E6FCA2AF2E}"/>
            </c:ext>
          </c:extLst>
        </c:ser>
        <c:ser>
          <c:idx val="2"/>
          <c:order val="2"/>
          <c:tx>
            <c:strRef>
              <c:f>'mili Pc % '!$R$6</c:f>
              <c:strCache>
                <c:ptCount val="1"/>
                <c:pt idx="0">
                  <c:v> ± EMP</c:v>
                </c:pt>
              </c:strCache>
            </c:strRef>
          </c:tx>
          <c:spPr>
            <a:ln w="28575" cap="rnd">
              <a:solidFill>
                <a:srgbClr val="FF0000"/>
              </a:solidFill>
              <a:round/>
            </a:ln>
            <a:effectLst/>
          </c:spPr>
          <c:marker>
            <c:symbol val="none"/>
          </c:marker>
          <c:dLbls>
            <c:delete val="1"/>
          </c:dLbls>
          <c:val>
            <c:numRef>
              <c:f>'mili Pc % '!$R$9:$T$9</c:f>
              <c:numCache>
                <c:formatCode>0.00</c:formatCode>
                <c:ptCount val="3"/>
                <c:pt idx="0">
                  <c:v>-0.2</c:v>
                </c:pt>
                <c:pt idx="1">
                  <c:v>-0.2</c:v>
                </c:pt>
                <c:pt idx="2">
                  <c:v>-0.2</c:v>
                </c:pt>
              </c:numCache>
            </c:numRef>
          </c:val>
          <c:smooth val="0"/>
          <c:extLst>
            <c:ext xmlns:c16="http://schemas.microsoft.com/office/drawing/2014/chart" uri="{C3380CC4-5D6E-409C-BE32-E72D297353CC}">
              <c16:uniqueId val="{00000003-E44A-4CDA-9D54-30E6FCA2AF2E}"/>
            </c:ext>
          </c:extLst>
        </c:ser>
        <c:dLbls>
          <c:dLblPos val="t"/>
          <c:showLegendKey val="0"/>
          <c:showVal val="1"/>
          <c:showCatName val="0"/>
          <c:showSerName val="0"/>
          <c:showPercent val="0"/>
          <c:showBubbleSize val="0"/>
        </c:dLbls>
        <c:marker val="1"/>
        <c:smooth val="0"/>
        <c:axId val="197575424"/>
        <c:axId val="197576960"/>
      </c:lineChart>
      <c:dateAx>
        <c:axId val="197575424"/>
        <c:scaling>
          <c:orientation val="minMax"/>
        </c:scaling>
        <c:delete val="0"/>
        <c:axPos val="b"/>
        <c:majorTickMark val="none"/>
        <c:minorTickMark val="none"/>
        <c:tickLblPos val="none"/>
        <c:spPr>
          <a:solidFill>
            <a:schemeClr val="bg1"/>
          </a:solidFill>
          <a:ln w="12700" cap="flat" cmpd="sng" algn="ctr">
            <a:solidFill>
              <a:srgbClr val="00B0F0">
                <a:alpha val="98000"/>
              </a:srgbClr>
            </a:solidFill>
            <a:round/>
          </a:ln>
          <a:effectLst>
            <a:glow>
              <a:srgbClr val="FFFF00">
                <a:alpha val="93000"/>
              </a:srgbClr>
            </a:glow>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197576960"/>
        <c:crosses val="autoZero"/>
        <c:auto val="0"/>
        <c:lblOffset val="100"/>
        <c:baseTimeUnit val="days"/>
        <c:majorUnit val="1"/>
      </c:dateAx>
      <c:valAx>
        <c:axId val="197576960"/>
        <c:scaling>
          <c:orientation val="minMax"/>
          <c:max val="0.25"/>
          <c:min val="-0.25"/>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r>
                  <a:rPr lang="es-CO"/>
                  <a:t>Error en masa convencional</a:t>
                </a:r>
              </a:p>
            </c:rich>
          </c:tx>
          <c:layout>
            <c:manualLayout>
              <c:xMode val="edge"/>
              <c:yMode val="edge"/>
              <c:x val="2.3869556481850931E-2"/>
              <c:y val="8.8691212950741352E-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endParaRPr lang="es-CO"/>
            </a:p>
          </c:txPr>
        </c:title>
        <c:numFmt formatCode="0.00\ &quot;mg&quot;"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197575424"/>
        <c:crossesAt val="1"/>
        <c:crossBetween val="between"/>
        <c:minorUnit val="0.1"/>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accent6">
        <a:lumMod val="20000"/>
        <a:lumOff val="80000"/>
      </a:schemeClr>
    </a:solidFill>
    <a:ln w="12700" cap="flat" cmpd="sng" algn="ctr">
      <a:solidFill>
        <a:schemeClr val="accent2"/>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r>
              <a:rPr lang="en-US"/>
              <a:t>2 mg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endParaRPr lang="es-CO"/>
        </a:p>
      </c:txPr>
    </c:title>
    <c:autoTitleDeleted val="0"/>
    <c:plotArea>
      <c:layout>
        <c:manualLayout>
          <c:layoutTarget val="inner"/>
          <c:xMode val="edge"/>
          <c:yMode val="edge"/>
          <c:x val="0.21190239059451396"/>
          <c:y val="0.27784722685881863"/>
          <c:w val="0.7562171585857882"/>
          <c:h val="0.68632714797105399"/>
        </c:manualLayout>
      </c:layout>
      <c:lineChart>
        <c:grouping val="standard"/>
        <c:varyColors val="0"/>
        <c:ser>
          <c:idx val="0"/>
          <c:order val="0"/>
          <c:tx>
            <c:strRef>
              <c:f>'mili Pc % '!$D$6</c:f>
              <c:strCache>
                <c:ptCount val="1"/>
                <c:pt idx="0">
                  <c:v>Error en masa convencional </c:v>
                </c:pt>
              </c:strCache>
            </c:strRef>
          </c:tx>
          <c:spPr>
            <a:ln w="28575" cap="rnd">
              <a:solidFill>
                <a:schemeClr val="accent1"/>
              </a:solidFill>
              <a:round/>
            </a:ln>
            <a:effectLst/>
          </c:spPr>
          <c:marker>
            <c:symbol val="circle"/>
            <c:size val="6"/>
            <c:spPr>
              <a:solidFill>
                <a:srgbClr val="92D050"/>
              </a:solidFill>
              <a:ln w="9525">
                <a:solidFill>
                  <a:schemeClr val="accent1"/>
                </a:solidFill>
              </a:ln>
              <a:effectLst/>
            </c:spPr>
          </c:marker>
          <c:dLbls>
            <c:dLbl>
              <c:idx val="0"/>
              <c:layout>
                <c:manualLayout>
                  <c:x val="-9.8968035017811054E-3"/>
                  <c:y val="-0.10635141093474426"/>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D76-421C-B99C-243B61FB3BC9}"/>
                </c:ext>
              </c:extLst>
            </c:dLbl>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errBars>
            <c:errDir val="y"/>
            <c:errBarType val="both"/>
            <c:errValType val="cust"/>
            <c:noEndCap val="0"/>
            <c:plus>
              <c:numRef>
                <c:f>'mili Pc % '!$E$9</c:f>
                <c:numCache>
                  <c:formatCode>General</c:formatCode>
                  <c:ptCount val="1"/>
                  <c:pt idx="0">
                    <c:v>0.06</c:v>
                  </c:pt>
                </c:numCache>
              </c:numRef>
            </c:plus>
            <c:minus>
              <c:numRef>
                <c:f>'mili Pc % '!$E$9</c:f>
                <c:numCache>
                  <c:formatCode>General</c:formatCode>
                  <c:ptCount val="1"/>
                  <c:pt idx="0">
                    <c:v>0.06</c:v>
                  </c:pt>
                </c:numCache>
              </c:numRef>
            </c:minus>
            <c:spPr>
              <a:noFill/>
              <a:ln w="22225" cap="flat" cmpd="sng" algn="ctr">
                <a:solidFill>
                  <a:srgbClr val="0070C0"/>
                </a:solidFill>
                <a:round/>
              </a:ln>
              <a:effectLst/>
            </c:spPr>
          </c:errBars>
          <c:val>
            <c:numRef>
              <c:f>'mili Pc % '!$D$9</c:f>
              <c:numCache>
                <c:formatCode>0.00\ "mg"</c:formatCode>
                <c:ptCount val="1"/>
                <c:pt idx="0">
                  <c:v>#N/A</c:v>
                </c:pt>
              </c:numCache>
            </c:numRef>
          </c:val>
          <c:smooth val="0"/>
          <c:extLst>
            <c:ext xmlns:c16="http://schemas.microsoft.com/office/drawing/2014/chart" uri="{C3380CC4-5D6E-409C-BE32-E72D297353CC}">
              <c16:uniqueId val="{00000001-AB03-40BB-9423-5770C889BDB5}"/>
            </c:ext>
          </c:extLst>
        </c:ser>
        <c:ser>
          <c:idx val="1"/>
          <c:order val="1"/>
          <c:tx>
            <c:strRef>
              <c:f>'mili Pc % '!$O$6</c:f>
              <c:strCache>
                <c:ptCount val="1"/>
                <c:pt idx="0">
                  <c:v> ± EMP</c:v>
                </c:pt>
              </c:strCache>
            </c:strRef>
          </c:tx>
          <c:spPr>
            <a:ln w="28575" cap="rnd">
              <a:solidFill>
                <a:srgbClr val="FF0000"/>
              </a:solidFill>
              <a:round/>
            </a:ln>
            <a:effectLst/>
          </c:spPr>
          <c:marker>
            <c:symbol val="none"/>
          </c:marker>
          <c:dLbls>
            <c:delete val="1"/>
          </c:dLbls>
          <c:val>
            <c:numRef>
              <c:f>'mili Pc % '!$O$8:$Q$8</c:f>
              <c:numCache>
                <c:formatCode>0.00</c:formatCode>
                <c:ptCount val="3"/>
                <c:pt idx="0">
                  <c:v>0.2</c:v>
                </c:pt>
                <c:pt idx="1">
                  <c:v>0.2</c:v>
                </c:pt>
                <c:pt idx="2">
                  <c:v>0.2</c:v>
                </c:pt>
              </c:numCache>
            </c:numRef>
          </c:val>
          <c:smooth val="0"/>
          <c:extLst>
            <c:ext xmlns:c16="http://schemas.microsoft.com/office/drawing/2014/chart" uri="{C3380CC4-5D6E-409C-BE32-E72D297353CC}">
              <c16:uniqueId val="{00000002-AB03-40BB-9423-5770C889BDB5}"/>
            </c:ext>
          </c:extLst>
        </c:ser>
        <c:ser>
          <c:idx val="2"/>
          <c:order val="2"/>
          <c:tx>
            <c:strRef>
              <c:f>'mili Pc % '!$R$6</c:f>
              <c:strCache>
                <c:ptCount val="1"/>
                <c:pt idx="0">
                  <c:v> ± EMP</c:v>
                </c:pt>
              </c:strCache>
            </c:strRef>
          </c:tx>
          <c:spPr>
            <a:ln w="28575" cap="rnd">
              <a:solidFill>
                <a:srgbClr val="FF0000"/>
              </a:solidFill>
              <a:round/>
            </a:ln>
            <a:effectLst/>
          </c:spPr>
          <c:marker>
            <c:symbol val="none"/>
          </c:marker>
          <c:dLbls>
            <c:delete val="1"/>
          </c:dLbls>
          <c:val>
            <c:numRef>
              <c:f>'mili Pc % '!$R$8:$T$8</c:f>
              <c:numCache>
                <c:formatCode>0.00</c:formatCode>
                <c:ptCount val="3"/>
                <c:pt idx="0">
                  <c:v>-0.2</c:v>
                </c:pt>
                <c:pt idx="1">
                  <c:v>-0.2</c:v>
                </c:pt>
                <c:pt idx="2">
                  <c:v>-0.2</c:v>
                </c:pt>
              </c:numCache>
            </c:numRef>
          </c:val>
          <c:smooth val="0"/>
          <c:extLst>
            <c:ext xmlns:c16="http://schemas.microsoft.com/office/drawing/2014/chart" uri="{C3380CC4-5D6E-409C-BE32-E72D297353CC}">
              <c16:uniqueId val="{00000003-AB03-40BB-9423-5770C889BDB5}"/>
            </c:ext>
          </c:extLst>
        </c:ser>
        <c:dLbls>
          <c:dLblPos val="t"/>
          <c:showLegendKey val="0"/>
          <c:showVal val="1"/>
          <c:showCatName val="0"/>
          <c:showSerName val="0"/>
          <c:showPercent val="0"/>
          <c:showBubbleSize val="0"/>
        </c:dLbls>
        <c:marker val="1"/>
        <c:smooth val="0"/>
        <c:axId val="198261376"/>
        <c:axId val="198275456"/>
      </c:lineChart>
      <c:dateAx>
        <c:axId val="198261376"/>
        <c:scaling>
          <c:orientation val="minMax"/>
        </c:scaling>
        <c:delete val="0"/>
        <c:axPos val="b"/>
        <c:majorTickMark val="none"/>
        <c:minorTickMark val="none"/>
        <c:tickLblPos val="none"/>
        <c:spPr>
          <a:solidFill>
            <a:schemeClr val="bg1"/>
          </a:solidFill>
          <a:ln w="12700" cap="flat" cmpd="sng" algn="ctr">
            <a:solidFill>
              <a:srgbClr val="00B0F0">
                <a:alpha val="98000"/>
              </a:srgbClr>
            </a:solidFill>
            <a:round/>
          </a:ln>
          <a:effectLst>
            <a:glow>
              <a:srgbClr val="FFFF00">
                <a:alpha val="93000"/>
              </a:srgbClr>
            </a:glow>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198275456"/>
        <c:crosses val="autoZero"/>
        <c:auto val="0"/>
        <c:lblOffset val="100"/>
        <c:baseTimeUnit val="days"/>
        <c:majorUnit val="1"/>
      </c:dateAx>
      <c:valAx>
        <c:axId val="198275456"/>
        <c:scaling>
          <c:orientation val="minMax"/>
          <c:min val="-0.25"/>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r>
                  <a:rPr lang="es-CO"/>
                  <a:t>Error en masa convencional</a:t>
                </a:r>
              </a:p>
            </c:rich>
          </c:tx>
          <c:layout>
            <c:manualLayout>
              <c:xMode val="edge"/>
              <c:yMode val="edge"/>
              <c:x val="1.9908013478628535E-2"/>
              <c:y val="0.10173645528922946"/>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endParaRPr lang="es-CO"/>
            </a:p>
          </c:txPr>
        </c:title>
        <c:numFmt formatCode="0.00\ &quot;mg&quot;"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198261376"/>
        <c:crossesAt val="1"/>
        <c:crossBetween val="between"/>
        <c:majorUnit val="0.1"/>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accent6">
        <a:lumMod val="20000"/>
        <a:lumOff val="80000"/>
      </a:schemeClr>
    </a:solidFill>
    <a:ln w="12700" cap="flat" cmpd="sng" algn="ctr">
      <a:solidFill>
        <a:schemeClr val="accent2"/>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r>
              <a:rPr lang="en-US"/>
              <a:t>10 mg</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endParaRPr lang="es-CO"/>
        </a:p>
      </c:txPr>
    </c:title>
    <c:autoTitleDeleted val="0"/>
    <c:plotArea>
      <c:layout>
        <c:manualLayout>
          <c:layoutTarget val="inner"/>
          <c:xMode val="edge"/>
          <c:yMode val="edge"/>
          <c:x val="0.21190239059451396"/>
          <c:y val="0.27784722685881863"/>
          <c:w val="0.7562171585857882"/>
          <c:h val="0.68632714797105399"/>
        </c:manualLayout>
      </c:layout>
      <c:lineChart>
        <c:grouping val="standard"/>
        <c:varyColors val="0"/>
        <c:ser>
          <c:idx val="0"/>
          <c:order val="0"/>
          <c:tx>
            <c:strRef>
              <c:f>'mili Pc % '!$D$6</c:f>
              <c:strCache>
                <c:ptCount val="1"/>
                <c:pt idx="0">
                  <c:v>Error en masa convencional </c:v>
                </c:pt>
              </c:strCache>
            </c:strRef>
          </c:tx>
          <c:spPr>
            <a:ln w="28575" cap="rnd">
              <a:solidFill>
                <a:schemeClr val="accent1"/>
              </a:solidFill>
              <a:round/>
            </a:ln>
            <a:effectLst/>
          </c:spPr>
          <c:marker>
            <c:symbol val="circle"/>
            <c:size val="6"/>
            <c:spPr>
              <a:solidFill>
                <a:srgbClr val="92D050"/>
              </a:solidFill>
              <a:ln w="9525">
                <a:solidFill>
                  <a:schemeClr val="accent1"/>
                </a:solidFill>
              </a:ln>
              <a:effectLst/>
            </c:spPr>
          </c:marker>
          <c:dLbls>
            <c:dLbl>
              <c:idx val="0"/>
              <c:layout>
                <c:manualLayout>
                  <c:x val="6.9115461337706352E-2"/>
                  <c:y val="-6.715388007054673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4D8-4E76-8EBA-8F525781D372}"/>
                </c:ext>
              </c:extLst>
            </c:dLbl>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errBars>
            <c:errDir val="y"/>
            <c:errBarType val="both"/>
            <c:errValType val="cust"/>
            <c:noEndCap val="0"/>
            <c:plus>
              <c:numRef>
                <c:f>'mili Pc % '!$E$11</c:f>
                <c:numCache>
                  <c:formatCode>General</c:formatCode>
                  <c:ptCount val="1"/>
                  <c:pt idx="0">
                    <c:v>0.08</c:v>
                  </c:pt>
                </c:numCache>
              </c:numRef>
            </c:plus>
            <c:minus>
              <c:numRef>
                <c:f>'mili Pc % '!$E$11</c:f>
                <c:numCache>
                  <c:formatCode>General</c:formatCode>
                  <c:ptCount val="1"/>
                  <c:pt idx="0">
                    <c:v>0.08</c:v>
                  </c:pt>
                </c:numCache>
              </c:numRef>
            </c:minus>
            <c:spPr>
              <a:noFill/>
              <a:ln w="22225" cap="flat" cmpd="sng" algn="ctr">
                <a:solidFill>
                  <a:srgbClr val="0070C0"/>
                </a:solidFill>
                <a:round/>
              </a:ln>
              <a:effectLst/>
            </c:spPr>
          </c:errBars>
          <c:val>
            <c:numRef>
              <c:f>'mili Pc % '!$D$11</c:f>
              <c:numCache>
                <c:formatCode>0.00\ "mg"</c:formatCode>
                <c:ptCount val="1"/>
                <c:pt idx="0">
                  <c:v>#N/A</c:v>
                </c:pt>
              </c:numCache>
            </c:numRef>
          </c:val>
          <c:smooth val="0"/>
          <c:extLst>
            <c:ext xmlns:c16="http://schemas.microsoft.com/office/drawing/2014/chart" uri="{C3380CC4-5D6E-409C-BE32-E72D297353CC}">
              <c16:uniqueId val="{00000001-14D8-4E76-8EBA-8F525781D372}"/>
            </c:ext>
          </c:extLst>
        </c:ser>
        <c:ser>
          <c:idx val="1"/>
          <c:order val="1"/>
          <c:tx>
            <c:strRef>
              <c:f>'mili Pc % '!$O$6</c:f>
              <c:strCache>
                <c:ptCount val="1"/>
                <c:pt idx="0">
                  <c:v> ± EMP</c:v>
                </c:pt>
              </c:strCache>
            </c:strRef>
          </c:tx>
          <c:spPr>
            <a:ln w="28575" cap="rnd">
              <a:solidFill>
                <a:srgbClr val="FF0000"/>
              </a:solidFill>
              <a:round/>
            </a:ln>
            <a:effectLst/>
          </c:spPr>
          <c:marker>
            <c:symbol val="none"/>
          </c:marker>
          <c:dLbls>
            <c:delete val="1"/>
          </c:dLbls>
          <c:val>
            <c:numRef>
              <c:f>'mili Pc % '!$O$11:$Q$11</c:f>
              <c:numCache>
                <c:formatCode>0.00</c:formatCode>
                <c:ptCount val="3"/>
                <c:pt idx="0">
                  <c:v>0.25</c:v>
                </c:pt>
                <c:pt idx="1">
                  <c:v>0.25</c:v>
                </c:pt>
                <c:pt idx="2">
                  <c:v>0.25</c:v>
                </c:pt>
              </c:numCache>
            </c:numRef>
          </c:val>
          <c:smooth val="0"/>
          <c:extLst>
            <c:ext xmlns:c16="http://schemas.microsoft.com/office/drawing/2014/chart" uri="{C3380CC4-5D6E-409C-BE32-E72D297353CC}">
              <c16:uniqueId val="{00000002-14D8-4E76-8EBA-8F525781D372}"/>
            </c:ext>
          </c:extLst>
        </c:ser>
        <c:ser>
          <c:idx val="2"/>
          <c:order val="2"/>
          <c:tx>
            <c:strRef>
              <c:f>'mili Pc % '!$R$6</c:f>
              <c:strCache>
                <c:ptCount val="1"/>
                <c:pt idx="0">
                  <c:v> ± EMP</c:v>
                </c:pt>
              </c:strCache>
            </c:strRef>
          </c:tx>
          <c:spPr>
            <a:ln w="28575" cap="rnd">
              <a:solidFill>
                <a:srgbClr val="FF0000"/>
              </a:solidFill>
              <a:round/>
            </a:ln>
            <a:effectLst/>
          </c:spPr>
          <c:marker>
            <c:symbol val="none"/>
          </c:marker>
          <c:dLbls>
            <c:delete val="1"/>
          </c:dLbls>
          <c:val>
            <c:numRef>
              <c:f>'mili Pc % '!$R$11:$T$11</c:f>
              <c:numCache>
                <c:formatCode>0.00</c:formatCode>
                <c:ptCount val="3"/>
                <c:pt idx="0">
                  <c:v>-0.25</c:v>
                </c:pt>
                <c:pt idx="1">
                  <c:v>-0.25</c:v>
                </c:pt>
                <c:pt idx="2">
                  <c:v>-0.25</c:v>
                </c:pt>
              </c:numCache>
            </c:numRef>
          </c:val>
          <c:smooth val="0"/>
          <c:extLst>
            <c:ext xmlns:c16="http://schemas.microsoft.com/office/drawing/2014/chart" uri="{C3380CC4-5D6E-409C-BE32-E72D297353CC}">
              <c16:uniqueId val="{00000003-14D8-4E76-8EBA-8F525781D372}"/>
            </c:ext>
          </c:extLst>
        </c:ser>
        <c:dLbls>
          <c:dLblPos val="t"/>
          <c:showLegendKey val="0"/>
          <c:showVal val="1"/>
          <c:showCatName val="0"/>
          <c:showSerName val="0"/>
          <c:showPercent val="0"/>
          <c:showBubbleSize val="0"/>
        </c:dLbls>
        <c:marker val="1"/>
        <c:smooth val="0"/>
        <c:axId val="198337280"/>
        <c:axId val="198338816"/>
      </c:lineChart>
      <c:dateAx>
        <c:axId val="198337280"/>
        <c:scaling>
          <c:orientation val="minMax"/>
        </c:scaling>
        <c:delete val="0"/>
        <c:axPos val="b"/>
        <c:majorTickMark val="none"/>
        <c:minorTickMark val="none"/>
        <c:tickLblPos val="none"/>
        <c:spPr>
          <a:solidFill>
            <a:schemeClr val="bg1"/>
          </a:solidFill>
          <a:ln w="12700" cap="flat" cmpd="sng" algn="ctr">
            <a:solidFill>
              <a:srgbClr val="00B0F0">
                <a:alpha val="98000"/>
              </a:srgbClr>
            </a:solidFill>
            <a:round/>
          </a:ln>
          <a:effectLst>
            <a:glow>
              <a:srgbClr val="FFFF00">
                <a:alpha val="93000"/>
              </a:srgbClr>
            </a:glow>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198338816"/>
        <c:crosses val="autoZero"/>
        <c:auto val="0"/>
        <c:lblOffset val="100"/>
        <c:baseTimeUnit val="days"/>
        <c:majorUnit val="1"/>
      </c:dateAx>
      <c:valAx>
        <c:axId val="198338816"/>
        <c:scaling>
          <c:orientation val="minMax"/>
          <c:max val="0.35000000000000003"/>
          <c:min val="-0.35000000000000003"/>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r>
                  <a:rPr lang="es-CO"/>
                  <a:t>Error en masa convencional</a:t>
                </a:r>
              </a:p>
            </c:rich>
          </c:tx>
          <c:layout>
            <c:manualLayout>
              <c:xMode val="edge"/>
              <c:yMode val="edge"/>
              <c:x val="2.3869556481850931E-2"/>
              <c:y val="8.8691212950741352E-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endParaRPr lang="es-CO"/>
            </a:p>
          </c:txPr>
        </c:title>
        <c:numFmt formatCode="0.00\ &quot;mg&quot;"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198337280"/>
        <c:crossesAt val="1"/>
        <c:crossBetween val="between"/>
        <c:minorUnit val="0.1"/>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accent6">
        <a:lumMod val="20000"/>
        <a:lumOff val="80000"/>
      </a:schemeClr>
    </a:solidFill>
    <a:ln w="12700" cap="flat" cmpd="sng" algn="ctr">
      <a:solidFill>
        <a:schemeClr val="accent2"/>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r>
              <a:rPr lang="en-US"/>
              <a:t>20 mg</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endParaRPr lang="es-CO"/>
        </a:p>
      </c:txPr>
    </c:title>
    <c:autoTitleDeleted val="0"/>
    <c:plotArea>
      <c:layout/>
      <c:lineChart>
        <c:grouping val="standard"/>
        <c:varyColors val="0"/>
        <c:ser>
          <c:idx val="0"/>
          <c:order val="0"/>
          <c:tx>
            <c:strRef>
              <c:f>'mili Pc % '!$D$6</c:f>
              <c:strCache>
                <c:ptCount val="1"/>
                <c:pt idx="0">
                  <c:v>Error en masa convencional </c:v>
                </c:pt>
              </c:strCache>
            </c:strRef>
          </c:tx>
          <c:spPr>
            <a:ln w="28575" cap="rnd">
              <a:solidFill>
                <a:schemeClr val="accent1"/>
              </a:solidFill>
              <a:round/>
            </a:ln>
            <a:effectLst/>
          </c:spPr>
          <c:marker>
            <c:symbol val="circle"/>
            <c:size val="6"/>
            <c:spPr>
              <a:solidFill>
                <a:srgbClr val="92D050"/>
              </a:solidFill>
              <a:ln w="9525">
                <a:solidFill>
                  <a:schemeClr val="accent1"/>
                </a:solidFill>
              </a:ln>
              <a:effectLst/>
            </c:spPr>
          </c:marker>
          <c:dLbls>
            <c:dLbl>
              <c:idx val="0"/>
              <c:layout>
                <c:manualLayout>
                  <c:x val="5.9125877409977955E-2"/>
                  <c:y val="-3.355599647266314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5E3-4B51-A117-0DFA9ECBC547}"/>
                </c:ext>
              </c:extLst>
            </c:dLbl>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errBars>
            <c:errDir val="y"/>
            <c:errBarType val="both"/>
            <c:errValType val="cust"/>
            <c:noEndCap val="0"/>
            <c:plus>
              <c:numRef>
                <c:f>'mili Pc % '!$E$12</c:f>
                <c:numCache>
                  <c:formatCode>General</c:formatCode>
                  <c:ptCount val="1"/>
                  <c:pt idx="0">
                    <c:v>0.1</c:v>
                  </c:pt>
                </c:numCache>
              </c:numRef>
            </c:plus>
            <c:minus>
              <c:numRef>
                <c:f>'mili Pc % '!$E$12</c:f>
                <c:numCache>
                  <c:formatCode>General</c:formatCode>
                  <c:ptCount val="1"/>
                  <c:pt idx="0">
                    <c:v>0.1</c:v>
                  </c:pt>
                </c:numCache>
              </c:numRef>
            </c:minus>
            <c:spPr>
              <a:noFill/>
              <a:ln w="22225" cap="flat" cmpd="sng" algn="ctr">
                <a:solidFill>
                  <a:srgbClr val="0070C0"/>
                </a:solidFill>
                <a:round/>
              </a:ln>
              <a:effectLst/>
            </c:spPr>
          </c:errBars>
          <c:val>
            <c:numRef>
              <c:f>'mili Pc % '!$D$12</c:f>
              <c:numCache>
                <c:formatCode>0.00\ "mg"</c:formatCode>
                <c:ptCount val="1"/>
                <c:pt idx="0">
                  <c:v>#N/A</c:v>
                </c:pt>
              </c:numCache>
            </c:numRef>
          </c:val>
          <c:smooth val="0"/>
          <c:extLst>
            <c:ext xmlns:c16="http://schemas.microsoft.com/office/drawing/2014/chart" uri="{C3380CC4-5D6E-409C-BE32-E72D297353CC}">
              <c16:uniqueId val="{00000001-B5E3-4B51-A117-0DFA9ECBC547}"/>
            </c:ext>
          </c:extLst>
        </c:ser>
        <c:ser>
          <c:idx val="1"/>
          <c:order val="1"/>
          <c:tx>
            <c:strRef>
              <c:f>'mili Pc % '!$O$6</c:f>
              <c:strCache>
                <c:ptCount val="1"/>
                <c:pt idx="0">
                  <c:v> ± EMP</c:v>
                </c:pt>
              </c:strCache>
            </c:strRef>
          </c:tx>
          <c:spPr>
            <a:ln w="28575" cap="rnd">
              <a:solidFill>
                <a:srgbClr val="FF0000"/>
              </a:solidFill>
              <a:round/>
            </a:ln>
            <a:effectLst/>
          </c:spPr>
          <c:marker>
            <c:symbol val="none"/>
          </c:marker>
          <c:dLbls>
            <c:delete val="1"/>
          </c:dLbls>
          <c:val>
            <c:numRef>
              <c:f>'mili Pc % '!$O$12:$Q$12</c:f>
              <c:numCache>
                <c:formatCode>0.0</c:formatCode>
                <c:ptCount val="3"/>
                <c:pt idx="0">
                  <c:v>0.3</c:v>
                </c:pt>
                <c:pt idx="1">
                  <c:v>0.3</c:v>
                </c:pt>
                <c:pt idx="2">
                  <c:v>0.3</c:v>
                </c:pt>
              </c:numCache>
            </c:numRef>
          </c:val>
          <c:smooth val="0"/>
          <c:extLst>
            <c:ext xmlns:c16="http://schemas.microsoft.com/office/drawing/2014/chart" uri="{C3380CC4-5D6E-409C-BE32-E72D297353CC}">
              <c16:uniqueId val="{00000002-B5E3-4B51-A117-0DFA9ECBC547}"/>
            </c:ext>
          </c:extLst>
        </c:ser>
        <c:ser>
          <c:idx val="2"/>
          <c:order val="2"/>
          <c:tx>
            <c:strRef>
              <c:f>'mili Pc % '!$R$6:$T$6</c:f>
              <c:strCache>
                <c:ptCount val="3"/>
                <c:pt idx="0">
                  <c:v> ± EMP</c:v>
                </c:pt>
              </c:strCache>
            </c:strRef>
          </c:tx>
          <c:spPr>
            <a:ln w="28575" cap="rnd">
              <a:solidFill>
                <a:srgbClr val="FF0000"/>
              </a:solidFill>
              <a:round/>
            </a:ln>
            <a:effectLst/>
          </c:spPr>
          <c:marker>
            <c:symbol val="none"/>
          </c:marker>
          <c:dLbls>
            <c:delete val="1"/>
          </c:dLbls>
          <c:val>
            <c:numRef>
              <c:f>'mili Pc % '!$R$12:$T$12</c:f>
              <c:numCache>
                <c:formatCode>0.0</c:formatCode>
                <c:ptCount val="3"/>
                <c:pt idx="0">
                  <c:v>-0.3</c:v>
                </c:pt>
                <c:pt idx="1">
                  <c:v>-0.3</c:v>
                </c:pt>
                <c:pt idx="2">
                  <c:v>-0.3</c:v>
                </c:pt>
              </c:numCache>
            </c:numRef>
          </c:val>
          <c:smooth val="0"/>
          <c:extLst>
            <c:ext xmlns:c16="http://schemas.microsoft.com/office/drawing/2014/chart" uri="{C3380CC4-5D6E-409C-BE32-E72D297353CC}">
              <c16:uniqueId val="{00000004-B5E3-4B51-A117-0DFA9ECBC547}"/>
            </c:ext>
          </c:extLst>
        </c:ser>
        <c:dLbls>
          <c:dLblPos val="t"/>
          <c:showLegendKey val="0"/>
          <c:showVal val="1"/>
          <c:showCatName val="0"/>
          <c:showSerName val="0"/>
          <c:showPercent val="0"/>
          <c:showBubbleSize val="0"/>
        </c:dLbls>
        <c:marker val="1"/>
        <c:smooth val="0"/>
        <c:axId val="197986944"/>
        <c:axId val="198017408"/>
      </c:lineChart>
      <c:dateAx>
        <c:axId val="197986944"/>
        <c:scaling>
          <c:orientation val="minMax"/>
        </c:scaling>
        <c:delete val="0"/>
        <c:axPos val="b"/>
        <c:majorTickMark val="none"/>
        <c:minorTickMark val="none"/>
        <c:tickLblPos val="none"/>
        <c:spPr>
          <a:solidFill>
            <a:schemeClr val="bg1"/>
          </a:solidFill>
          <a:ln w="12700" cap="flat" cmpd="sng" algn="ctr">
            <a:solidFill>
              <a:srgbClr val="00B0F0">
                <a:alpha val="98000"/>
              </a:srgbClr>
            </a:solidFill>
            <a:round/>
          </a:ln>
          <a:effectLst>
            <a:glow>
              <a:srgbClr val="FFFF00">
                <a:alpha val="93000"/>
              </a:srgbClr>
            </a:glow>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198017408"/>
        <c:crosses val="autoZero"/>
        <c:auto val="0"/>
        <c:lblOffset val="100"/>
        <c:baseTimeUnit val="days"/>
        <c:majorUnit val="1"/>
      </c:dateAx>
      <c:valAx>
        <c:axId val="19801740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r>
                  <a:rPr lang="es-CO"/>
                  <a:t>Error en masa convencional</a:t>
                </a:r>
              </a:p>
            </c:rich>
          </c:tx>
          <c:layout>
            <c:manualLayout>
              <c:xMode val="edge"/>
              <c:yMode val="edge"/>
              <c:x val="3.9850563524622316E-2"/>
              <c:y val="0.11799421695162476"/>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endParaRPr lang="es-CO"/>
            </a:p>
          </c:txPr>
        </c:title>
        <c:numFmt formatCode="0.00\ &quot;mg&quot;"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197986944"/>
        <c:crossesAt val="1"/>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accent6">
        <a:lumMod val="20000"/>
        <a:lumOff val="80000"/>
      </a:schemeClr>
    </a:solidFill>
    <a:ln w="12700" cap="flat" cmpd="sng" algn="ctr">
      <a:solidFill>
        <a:schemeClr val="accent2"/>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800" b="1" i="0" u="none" strike="noStrike" kern="1200" baseline="0">
              <a:solidFill>
                <a:schemeClr val="dk1"/>
              </a:solidFill>
              <a:latin typeface="+mn-lt"/>
              <a:ea typeface="+mn-ea"/>
              <a:cs typeface="+mn-cs"/>
            </a:defRPr>
          </a:pPr>
          <a:endParaRPr lang="es-CO"/>
        </a:p>
      </c:txPr>
    </c:title>
    <c:autoTitleDeleted val="0"/>
    <c:plotArea>
      <c:layout/>
      <c:barChart>
        <c:barDir val="col"/>
        <c:grouping val="clustered"/>
        <c:varyColors val="0"/>
        <c:ser>
          <c:idx val="0"/>
          <c:order val="0"/>
          <c:tx>
            <c:strRef>
              <c:f>'1 mg % '!$G$58</c:f>
              <c:strCache>
                <c:ptCount val="1"/>
                <c:pt idx="0">
                  <c:v>Aporte a la Incertidumbre</c:v>
                </c:pt>
              </c:strCache>
            </c:strRef>
          </c:tx>
          <c:spPr>
            <a:solidFill>
              <a:schemeClr val="accent2">
                <a:alpha val="85000"/>
              </a:schemeClr>
            </a:solidFill>
            <a:ln w="9525" cap="flat" cmpd="sng" algn="ctr">
              <a:solidFill>
                <a:schemeClr val="lt1">
                  <a:alpha val="50000"/>
                </a:schemeClr>
              </a:solidFill>
              <a:round/>
            </a:ln>
            <a:effectLst/>
          </c:spPr>
          <c:invertIfNegative val="0"/>
          <c:dLbls>
            <c:dLbl>
              <c:idx val="0"/>
              <c:layout>
                <c:manualLayout>
                  <c:x val="5.8076231684837075E-3"/>
                  <c:y val="-1.0880458124555947E-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DE8-4016-B029-D57B74756A78}"/>
                </c:ext>
              </c:extLst>
            </c:dLbl>
            <c:dLbl>
              <c:idx val="1"/>
              <c:layout>
                <c:manualLayout>
                  <c:x val="0"/>
                  <c:y val="4.240515390121689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DE8-4016-B029-D57B74756A78}"/>
                </c:ext>
              </c:extLst>
            </c:dLbl>
            <c:dLbl>
              <c:idx val="2"/>
              <c:layout>
                <c:manualLayout>
                  <c:x val="0"/>
                  <c:y val="-9.454488188976377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DE8-4016-B029-D57B74756A78}"/>
                </c:ext>
              </c:extLst>
            </c:dLbl>
            <c:dLbl>
              <c:idx val="3"/>
              <c:layout>
                <c:manualLayout>
                  <c:x val="0"/>
                  <c:y val="2.320400858983469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DE8-4016-B029-D57B74756A78}"/>
                </c:ext>
              </c:extLst>
            </c:dLbl>
            <c:spPr>
              <a:noFill/>
              <a:ln>
                <a:noFill/>
              </a:ln>
              <a:effectLst/>
            </c:spPr>
            <c:txPr>
              <a:bodyPr rot="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('RT03-F13 (mg)% '!$A$59,'RT03-F13 (mg)% '!$A$62,'RT03-F13 (mg)% '!$A$66:$A$68)</c:f>
              <c:strCache>
                <c:ptCount val="5"/>
                <c:pt idx="0">
                  <c:v>Proceso de pesaje</c:v>
                </c:pt>
                <c:pt idx="1">
                  <c:v>Pesa de referencia</c:v>
                </c:pt>
                <c:pt idx="2">
                  <c:v>Corrección por empuje del aire</c:v>
                </c:pt>
                <c:pt idx="3">
                  <c:v>Resolución balanza</c:v>
                </c:pt>
                <c:pt idx="4">
                  <c:v>Incertidumbre por repetibilidad del método</c:v>
                </c:pt>
              </c:strCache>
            </c:strRef>
          </c:cat>
          <c:val>
            <c:numRef>
              <c:f>('1 mg % '!$G$59,'1 mg % '!$G$62,'1 mg % '!$G$66:$G$67,'1 mg % '!$G$68)</c:f>
              <c:numCache>
                <c:formatCode>0%</c:formatCode>
                <c:ptCount val="5"/>
                <c:pt idx="0">
                  <c:v>0</c:v>
                </c:pt>
                <c:pt idx="1">
                  <c:v>#N/A</c:v>
                </c:pt>
                <c:pt idx="2">
                  <c:v>#N/A</c:v>
                </c:pt>
                <c:pt idx="3">
                  <c:v>#N/A</c:v>
                </c:pt>
                <c:pt idx="4">
                  <c:v>0</c:v>
                </c:pt>
              </c:numCache>
            </c:numRef>
          </c:val>
          <c:extLst>
            <c:ext xmlns:c16="http://schemas.microsoft.com/office/drawing/2014/chart" uri="{C3380CC4-5D6E-409C-BE32-E72D297353CC}">
              <c16:uniqueId val="{00000004-0DE8-4016-B029-D57B74756A78}"/>
            </c:ext>
          </c:extLst>
        </c:ser>
        <c:dLbls>
          <c:dLblPos val="inEnd"/>
          <c:showLegendKey val="0"/>
          <c:showVal val="1"/>
          <c:showCatName val="0"/>
          <c:showSerName val="0"/>
          <c:showPercent val="0"/>
          <c:showBubbleSize val="0"/>
        </c:dLbls>
        <c:gapWidth val="65"/>
        <c:axId val="190376576"/>
        <c:axId val="190387712"/>
      </c:barChart>
      <c:catAx>
        <c:axId val="190376576"/>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solidFill>
                <a:latin typeface="+mn-lt"/>
                <a:ea typeface="+mn-ea"/>
                <a:cs typeface="+mn-cs"/>
              </a:defRPr>
            </a:pPr>
            <a:endParaRPr lang="es-CO"/>
          </a:p>
        </c:txPr>
        <c:crossAx val="190387712"/>
        <c:crosses val="autoZero"/>
        <c:auto val="1"/>
        <c:lblAlgn val="ctr"/>
        <c:lblOffset val="100"/>
        <c:noMultiLvlLbl val="0"/>
      </c:catAx>
      <c:valAx>
        <c:axId val="190387712"/>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 sourceLinked="1"/>
        <c:majorTickMark val="none"/>
        <c:minorTickMark val="none"/>
        <c:tickLblPos val="nextTo"/>
        <c:crossAx val="190376576"/>
        <c:crosses val="autoZero"/>
        <c:crossBetween val="between"/>
      </c:valAx>
      <c:spPr>
        <a:noFill/>
        <a:ln>
          <a:noFill/>
        </a:ln>
        <a:effectLst/>
      </c:spPr>
    </c:plotArea>
    <c:plotVisOnly val="1"/>
    <c:dispBlanksAs val="gap"/>
    <c:showDLblsOverMax val="0"/>
  </c:chart>
  <c:spPr>
    <a:solidFill>
      <a:schemeClr val="accent6">
        <a:lumMod val="40000"/>
        <a:lumOff val="60000"/>
      </a:schemeClr>
    </a:solidFill>
    <a:ln w="12700" cap="flat" cmpd="sng" algn="ctr">
      <a:solidFill>
        <a:schemeClr val="dk1"/>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r>
              <a:rPr lang="en-US"/>
              <a:t>20 mg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endParaRPr lang="es-CO"/>
        </a:p>
      </c:txPr>
    </c:title>
    <c:autoTitleDeleted val="0"/>
    <c:plotArea>
      <c:layout/>
      <c:lineChart>
        <c:grouping val="standard"/>
        <c:varyColors val="0"/>
        <c:ser>
          <c:idx val="0"/>
          <c:order val="0"/>
          <c:tx>
            <c:strRef>
              <c:f>'mili Pc % '!$D$6</c:f>
              <c:strCache>
                <c:ptCount val="1"/>
                <c:pt idx="0">
                  <c:v>Error en masa convencional </c:v>
                </c:pt>
              </c:strCache>
            </c:strRef>
          </c:tx>
          <c:spPr>
            <a:ln w="28575" cap="rnd">
              <a:solidFill>
                <a:schemeClr val="accent1"/>
              </a:solidFill>
              <a:round/>
            </a:ln>
            <a:effectLst/>
          </c:spPr>
          <c:marker>
            <c:symbol val="circle"/>
            <c:size val="6"/>
            <c:spPr>
              <a:solidFill>
                <a:srgbClr val="92D050"/>
              </a:solidFill>
              <a:ln w="9525">
                <a:solidFill>
                  <a:schemeClr val="accent1"/>
                </a:solidFill>
              </a:ln>
              <a:effectLst/>
            </c:spPr>
          </c:marker>
          <c:dLbls>
            <c:dLbl>
              <c:idx val="0"/>
              <c:layout>
                <c:manualLayout>
                  <c:x val="8.366209591750098E-3"/>
                  <c:y val="-7.275352733686071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3FF-44E9-AF3D-3880C203B880}"/>
                </c:ext>
              </c:extLst>
            </c:dLbl>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errBars>
            <c:errDir val="y"/>
            <c:errBarType val="both"/>
            <c:errValType val="cust"/>
            <c:noEndCap val="0"/>
            <c:plus>
              <c:numRef>
                <c:f>'mili Pc % '!$E$13</c:f>
                <c:numCache>
                  <c:formatCode>General</c:formatCode>
                  <c:ptCount val="1"/>
                  <c:pt idx="0">
                    <c:v>0.1</c:v>
                  </c:pt>
                </c:numCache>
              </c:numRef>
            </c:plus>
            <c:minus>
              <c:numRef>
                <c:f>'mili Pc % '!$E$13</c:f>
                <c:numCache>
                  <c:formatCode>General</c:formatCode>
                  <c:ptCount val="1"/>
                  <c:pt idx="0">
                    <c:v>0.1</c:v>
                  </c:pt>
                </c:numCache>
              </c:numRef>
            </c:minus>
            <c:spPr>
              <a:noFill/>
              <a:ln w="22225" cap="flat" cmpd="sng" algn="ctr">
                <a:solidFill>
                  <a:srgbClr val="0070C0"/>
                </a:solidFill>
                <a:round/>
              </a:ln>
              <a:effectLst/>
            </c:spPr>
          </c:errBars>
          <c:val>
            <c:numRef>
              <c:f>'mili Pc % '!$D$13</c:f>
              <c:numCache>
                <c:formatCode>0.00\ "mg"</c:formatCode>
                <c:ptCount val="1"/>
                <c:pt idx="0">
                  <c:v>#N/A</c:v>
                </c:pt>
              </c:numCache>
            </c:numRef>
          </c:val>
          <c:smooth val="0"/>
          <c:extLst>
            <c:ext xmlns:c16="http://schemas.microsoft.com/office/drawing/2014/chart" uri="{C3380CC4-5D6E-409C-BE32-E72D297353CC}">
              <c16:uniqueId val="{00000001-C3FF-44E9-AF3D-3880C203B880}"/>
            </c:ext>
          </c:extLst>
        </c:ser>
        <c:ser>
          <c:idx val="1"/>
          <c:order val="1"/>
          <c:tx>
            <c:strRef>
              <c:f>'mili Pc % '!$O$6</c:f>
              <c:strCache>
                <c:ptCount val="1"/>
                <c:pt idx="0">
                  <c:v> ± EMP</c:v>
                </c:pt>
              </c:strCache>
            </c:strRef>
          </c:tx>
          <c:spPr>
            <a:ln w="28575" cap="rnd">
              <a:solidFill>
                <a:srgbClr val="FF0000"/>
              </a:solidFill>
              <a:round/>
            </a:ln>
            <a:effectLst/>
          </c:spPr>
          <c:marker>
            <c:symbol val="none"/>
          </c:marker>
          <c:dLbls>
            <c:delete val="1"/>
          </c:dLbls>
          <c:val>
            <c:numRef>
              <c:f>'mili Pc % '!$O$13:$Q$13</c:f>
              <c:numCache>
                <c:formatCode>0.0</c:formatCode>
                <c:ptCount val="3"/>
                <c:pt idx="0">
                  <c:v>0.3</c:v>
                </c:pt>
                <c:pt idx="1">
                  <c:v>0.3</c:v>
                </c:pt>
                <c:pt idx="2">
                  <c:v>0.3</c:v>
                </c:pt>
              </c:numCache>
            </c:numRef>
          </c:val>
          <c:smooth val="0"/>
          <c:extLst>
            <c:ext xmlns:c16="http://schemas.microsoft.com/office/drawing/2014/chart" uri="{C3380CC4-5D6E-409C-BE32-E72D297353CC}">
              <c16:uniqueId val="{00000002-C3FF-44E9-AF3D-3880C203B880}"/>
            </c:ext>
          </c:extLst>
        </c:ser>
        <c:ser>
          <c:idx val="2"/>
          <c:order val="2"/>
          <c:tx>
            <c:strRef>
              <c:f>'mili Pc % '!$R$6:$T$6</c:f>
              <c:strCache>
                <c:ptCount val="3"/>
                <c:pt idx="0">
                  <c:v> ± EMP</c:v>
                </c:pt>
              </c:strCache>
            </c:strRef>
          </c:tx>
          <c:spPr>
            <a:ln w="28575" cap="rnd">
              <a:solidFill>
                <a:srgbClr val="FF0000"/>
              </a:solidFill>
              <a:round/>
            </a:ln>
            <a:effectLst/>
          </c:spPr>
          <c:marker>
            <c:symbol val="none"/>
          </c:marker>
          <c:dLbls>
            <c:delete val="1"/>
          </c:dLbls>
          <c:val>
            <c:numRef>
              <c:f>'mili Pc % '!$R$13:$T$13</c:f>
              <c:numCache>
                <c:formatCode>0.0</c:formatCode>
                <c:ptCount val="3"/>
                <c:pt idx="0">
                  <c:v>-0.3</c:v>
                </c:pt>
                <c:pt idx="1">
                  <c:v>-0.3</c:v>
                </c:pt>
                <c:pt idx="2">
                  <c:v>-0.3</c:v>
                </c:pt>
              </c:numCache>
            </c:numRef>
          </c:val>
          <c:smooth val="0"/>
          <c:extLst>
            <c:ext xmlns:c16="http://schemas.microsoft.com/office/drawing/2014/chart" uri="{C3380CC4-5D6E-409C-BE32-E72D297353CC}">
              <c16:uniqueId val="{00000003-C3FF-44E9-AF3D-3880C203B880}"/>
            </c:ext>
          </c:extLst>
        </c:ser>
        <c:dLbls>
          <c:dLblPos val="t"/>
          <c:showLegendKey val="0"/>
          <c:showVal val="1"/>
          <c:showCatName val="0"/>
          <c:showSerName val="0"/>
          <c:showPercent val="0"/>
          <c:showBubbleSize val="0"/>
        </c:dLbls>
        <c:marker val="1"/>
        <c:smooth val="0"/>
        <c:axId val="198058752"/>
        <c:axId val="198060288"/>
      </c:lineChart>
      <c:dateAx>
        <c:axId val="198058752"/>
        <c:scaling>
          <c:orientation val="minMax"/>
        </c:scaling>
        <c:delete val="0"/>
        <c:axPos val="b"/>
        <c:majorTickMark val="none"/>
        <c:minorTickMark val="none"/>
        <c:tickLblPos val="none"/>
        <c:spPr>
          <a:solidFill>
            <a:schemeClr val="bg1"/>
          </a:solidFill>
          <a:ln w="12700" cap="flat" cmpd="sng" algn="ctr">
            <a:solidFill>
              <a:srgbClr val="00B0F0">
                <a:alpha val="98000"/>
              </a:srgbClr>
            </a:solidFill>
            <a:round/>
          </a:ln>
          <a:effectLst>
            <a:glow>
              <a:srgbClr val="FFFF00">
                <a:alpha val="93000"/>
              </a:srgbClr>
            </a:glow>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198060288"/>
        <c:crosses val="autoZero"/>
        <c:auto val="0"/>
        <c:lblOffset val="100"/>
        <c:baseTimeUnit val="days"/>
        <c:majorUnit val="1"/>
      </c:dateAx>
      <c:valAx>
        <c:axId val="19806028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r>
                  <a:rPr lang="es-CO"/>
                  <a:t>Error en masa convencional</a:t>
                </a:r>
              </a:p>
            </c:rich>
          </c:tx>
          <c:layout>
            <c:manualLayout>
              <c:xMode val="edge"/>
              <c:yMode val="edge"/>
              <c:x val="3.9850563524622316E-2"/>
              <c:y val="0.11799421695162476"/>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endParaRPr lang="es-CO"/>
            </a:p>
          </c:txPr>
        </c:title>
        <c:numFmt formatCode="0.00\ &quot;mg&quot;"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198058752"/>
        <c:crossesAt val="1"/>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accent6">
        <a:lumMod val="20000"/>
        <a:lumOff val="80000"/>
      </a:schemeClr>
    </a:solidFill>
    <a:ln w="12700" cap="flat" cmpd="sng" algn="ctr">
      <a:solidFill>
        <a:schemeClr val="accent2"/>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r>
              <a:rPr lang="en-US"/>
              <a:t>50 mg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endParaRPr lang="es-CO"/>
        </a:p>
      </c:txPr>
    </c:title>
    <c:autoTitleDeleted val="0"/>
    <c:plotArea>
      <c:layout/>
      <c:lineChart>
        <c:grouping val="standard"/>
        <c:varyColors val="0"/>
        <c:ser>
          <c:idx val="0"/>
          <c:order val="0"/>
          <c:tx>
            <c:strRef>
              <c:f>'mili Pc % '!$D$6</c:f>
              <c:strCache>
                <c:ptCount val="1"/>
                <c:pt idx="0">
                  <c:v>Error en masa convencional </c:v>
                </c:pt>
              </c:strCache>
            </c:strRef>
          </c:tx>
          <c:spPr>
            <a:ln w="28575" cap="rnd">
              <a:solidFill>
                <a:schemeClr val="accent1"/>
              </a:solidFill>
              <a:round/>
            </a:ln>
            <a:effectLst/>
          </c:spPr>
          <c:marker>
            <c:symbol val="circle"/>
            <c:size val="6"/>
            <c:spPr>
              <a:solidFill>
                <a:srgbClr val="92D050"/>
              </a:solidFill>
              <a:ln w="9525">
                <a:solidFill>
                  <a:schemeClr val="accent1"/>
                </a:solidFill>
              </a:ln>
              <a:effectLst/>
            </c:spPr>
          </c:marker>
          <c:dLbls>
            <c:dLbl>
              <c:idx val="0"/>
              <c:layout>
                <c:manualLayout>
                  <c:x val="6.2751567968422808E-2"/>
                  <c:y val="-7.275352733686071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714-4A91-94A5-9B44AA75CBF9}"/>
                </c:ext>
              </c:extLst>
            </c:dLbl>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errBars>
            <c:errDir val="y"/>
            <c:errBarType val="both"/>
            <c:errValType val="cust"/>
            <c:noEndCap val="0"/>
            <c:plus>
              <c:numRef>
                <c:f>'mili Pc % '!$E$14</c:f>
                <c:numCache>
                  <c:formatCode>General</c:formatCode>
                  <c:ptCount val="1"/>
                  <c:pt idx="0">
                    <c:v>0.12</c:v>
                  </c:pt>
                </c:numCache>
              </c:numRef>
            </c:plus>
            <c:minus>
              <c:numRef>
                <c:f>'mili Pc % '!$E$14</c:f>
                <c:numCache>
                  <c:formatCode>General</c:formatCode>
                  <c:ptCount val="1"/>
                  <c:pt idx="0">
                    <c:v>0.12</c:v>
                  </c:pt>
                </c:numCache>
              </c:numRef>
            </c:minus>
            <c:spPr>
              <a:noFill/>
              <a:ln w="22225" cap="flat" cmpd="sng" algn="ctr">
                <a:solidFill>
                  <a:srgbClr val="0070C0"/>
                </a:solidFill>
                <a:round/>
              </a:ln>
              <a:effectLst/>
            </c:spPr>
          </c:errBars>
          <c:val>
            <c:numRef>
              <c:f>'mili Pc % '!$D$14</c:f>
              <c:numCache>
                <c:formatCode>0.00\ "mg"</c:formatCode>
                <c:ptCount val="1"/>
                <c:pt idx="0">
                  <c:v>#N/A</c:v>
                </c:pt>
              </c:numCache>
            </c:numRef>
          </c:val>
          <c:smooth val="0"/>
          <c:extLst>
            <c:ext xmlns:c16="http://schemas.microsoft.com/office/drawing/2014/chart" uri="{C3380CC4-5D6E-409C-BE32-E72D297353CC}">
              <c16:uniqueId val="{00000001-F714-4A91-94A5-9B44AA75CBF9}"/>
            </c:ext>
          </c:extLst>
        </c:ser>
        <c:ser>
          <c:idx val="1"/>
          <c:order val="1"/>
          <c:tx>
            <c:strRef>
              <c:f>'mili Pc % '!$O$6</c:f>
              <c:strCache>
                <c:ptCount val="1"/>
                <c:pt idx="0">
                  <c:v> ± EMP</c:v>
                </c:pt>
              </c:strCache>
            </c:strRef>
          </c:tx>
          <c:spPr>
            <a:ln w="28575" cap="rnd">
              <a:solidFill>
                <a:srgbClr val="FF0000"/>
              </a:solidFill>
              <a:round/>
            </a:ln>
            <a:effectLst/>
          </c:spPr>
          <c:marker>
            <c:symbol val="none"/>
          </c:marker>
          <c:dLbls>
            <c:delete val="1"/>
          </c:dLbls>
          <c:val>
            <c:numRef>
              <c:f>'mili Pc % '!$O$14:$Q$14</c:f>
              <c:numCache>
                <c:formatCode>0.0</c:formatCode>
                <c:ptCount val="3"/>
                <c:pt idx="0">
                  <c:v>0.4</c:v>
                </c:pt>
                <c:pt idx="1">
                  <c:v>0.4</c:v>
                </c:pt>
                <c:pt idx="2">
                  <c:v>0.4</c:v>
                </c:pt>
              </c:numCache>
            </c:numRef>
          </c:val>
          <c:smooth val="0"/>
          <c:extLst>
            <c:ext xmlns:c16="http://schemas.microsoft.com/office/drawing/2014/chart" uri="{C3380CC4-5D6E-409C-BE32-E72D297353CC}">
              <c16:uniqueId val="{00000002-F714-4A91-94A5-9B44AA75CBF9}"/>
            </c:ext>
          </c:extLst>
        </c:ser>
        <c:ser>
          <c:idx val="2"/>
          <c:order val="2"/>
          <c:tx>
            <c:strRef>
              <c:f>'mili Pc % '!$R$6:$T$6</c:f>
              <c:strCache>
                <c:ptCount val="3"/>
                <c:pt idx="0">
                  <c:v> ± EMP</c:v>
                </c:pt>
              </c:strCache>
            </c:strRef>
          </c:tx>
          <c:spPr>
            <a:ln w="28575" cap="rnd">
              <a:solidFill>
                <a:srgbClr val="FF0000"/>
              </a:solidFill>
              <a:round/>
            </a:ln>
            <a:effectLst/>
          </c:spPr>
          <c:marker>
            <c:symbol val="none"/>
          </c:marker>
          <c:dLbls>
            <c:delete val="1"/>
          </c:dLbls>
          <c:val>
            <c:numRef>
              <c:f>'mili Pc % '!$R$14:$T$14</c:f>
              <c:numCache>
                <c:formatCode>0.0</c:formatCode>
                <c:ptCount val="3"/>
                <c:pt idx="0">
                  <c:v>-0.4</c:v>
                </c:pt>
                <c:pt idx="1">
                  <c:v>-0.4</c:v>
                </c:pt>
                <c:pt idx="2">
                  <c:v>-0.4</c:v>
                </c:pt>
              </c:numCache>
            </c:numRef>
          </c:val>
          <c:smooth val="0"/>
          <c:extLst>
            <c:ext xmlns:c16="http://schemas.microsoft.com/office/drawing/2014/chart" uri="{C3380CC4-5D6E-409C-BE32-E72D297353CC}">
              <c16:uniqueId val="{00000003-F714-4A91-94A5-9B44AA75CBF9}"/>
            </c:ext>
          </c:extLst>
        </c:ser>
        <c:dLbls>
          <c:dLblPos val="t"/>
          <c:showLegendKey val="0"/>
          <c:showVal val="1"/>
          <c:showCatName val="0"/>
          <c:showSerName val="0"/>
          <c:showPercent val="0"/>
          <c:showBubbleSize val="0"/>
        </c:dLbls>
        <c:marker val="1"/>
        <c:smooth val="0"/>
        <c:axId val="198101632"/>
        <c:axId val="198119808"/>
      </c:lineChart>
      <c:dateAx>
        <c:axId val="198101632"/>
        <c:scaling>
          <c:orientation val="minMax"/>
        </c:scaling>
        <c:delete val="0"/>
        <c:axPos val="b"/>
        <c:majorTickMark val="none"/>
        <c:minorTickMark val="none"/>
        <c:tickLblPos val="none"/>
        <c:spPr>
          <a:solidFill>
            <a:schemeClr val="bg1"/>
          </a:solidFill>
          <a:ln w="12700" cap="flat" cmpd="sng" algn="ctr">
            <a:solidFill>
              <a:srgbClr val="00B0F0">
                <a:alpha val="98000"/>
              </a:srgbClr>
            </a:solidFill>
            <a:round/>
          </a:ln>
          <a:effectLst>
            <a:glow>
              <a:srgbClr val="FFFF00">
                <a:alpha val="93000"/>
              </a:srgbClr>
            </a:glow>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198119808"/>
        <c:crosses val="autoZero"/>
        <c:auto val="0"/>
        <c:lblOffset val="100"/>
        <c:baseTimeUnit val="days"/>
        <c:majorUnit val="1"/>
      </c:dateAx>
      <c:valAx>
        <c:axId val="19811980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r>
                  <a:rPr lang="es-CO"/>
                  <a:t>Error en masa convencional</a:t>
                </a:r>
              </a:p>
            </c:rich>
          </c:tx>
          <c:layout>
            <c:manualLayout>
              <c:xMode val="edge"/>
              <c:yMode val="edge"/>
              <c:x val="3.9850563524622316E-2"/>
              <c:y val="0.11799421695162476"/>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endParaRPr lang="es-CO"/>
            </a:p>
          </c:txPr>
        </c:title>
        <c:numFmt formatCode="0.00\ &quot;mg&quot;"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198101632"/>
        <c:crossesAt val="1"/>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accent6">
        <a:lumMod val="20000"/>
        <a:lumOff val="80000"/>
      </a:schemeClr>
    </a:solidFill>
    <a:ln w="12700" cap="flat" cmpd="sng" algn="ctr">
      <a:solidFill>
        <a:schemeClr val="accent2"/>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r>
              <a:rPr lang="en-US"/>
              <a:t>100 mg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endParaRPr lang="es-CO"/>
        </a:p>
      </c:txPr>
    </c:title>
    <c:autoTitleDeleted val="0"/>
    <c:plotArea>
      <c:layout/>
      <c:lineChart>
        <c:grouping val="standard"/>
        <c:varyColors val="0"/>
        <c:ser>
          <c:idx val="0"/>
          <c:order val="0"/>
          <c:tx>
            <c:strRef>
              <c:f>'mili Pc % '!$D$6</c:f>
              <c:strCache>
                <c:ptCount val="1"/>
                <c:pt idx="0">
                  <c:v>Error en masa convencional </c:v>
                </c:pt>
              </c:strCache>
            </c:strRef>
          </c:tx>
          <c:spPr>
            <a:ln w="28575" cap="rnd">
              <a:solidFill>
                <a:schemeClr val="accent1"/>
              </a:solidFill>
              <a:round/>
            </a:ln>
            <a:effectLst/>
          </c:spPr>
          <c:marker>
            <c:symbol val="circle"/>
            <c:size val="6"/>
            <c:spPr>
              <a:solidFill>
                <a:srgbClr val="92D050"/>
              </a:solidFill>
              <a:ln w="9525">
                <a:solidFill>
                  <a:schemeClr val="accent1"/>
                </a:solidFill>
              </a:ln>
              <a:effectLst/>
            </c:spPr>
          </c:marker>
          <c:dLbls>
            <c:dLbl>
              <c:idx val="0"/>
              <c:layout>
                <c:manualLayout>
                  <c:x val="6.286553345397064E-2"/>
                  <c:y val="-8.395282186948853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161-4E0E-B43B-E5B381CE3B8B}"/>
                </c:ext>
              </c:extLst>
            </c:dLbl>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errBars>
            <c:errDir val="y"/>
            <c:errBarType val="both"/>
            <c:errValType val="cust"/>
            <c:noEndCap val="0"/>
            <c:plus>
              <c:numRef>
                <c:f>'mili Pc % '!$E$15</c:f>
                <c:numCache>
                  <c:formatCode>General</c:formatCode>
                  <c:ptCount val="1"/>
                  <c:pt idx="0">
                    <c:v>0.16</c:v>
                  </c:pt>
                </c:numCache>
              </c:numRef>
            </c:plus>
            <c:minus>
              <c:numRef>
                <c:f>'mili Pc % '!$E$15</c:f>
                <c:numCache>
                  <c:formatCode>General</c:formatCode>
                  <c:ptCount val="1"/>
                  <c:pt idx="0">
                    <c:v>0.16</c:v>
                  </c:pt>
                </c:numCache>
              </c:numRef>
            </c:minus>
            <c:spPr>
              <a:noFill/>
              <a:ln w="22225" cap="flat" cmpd="sng" algn="ctr">
                <a:solidFill>
                  <a:srgbClr val="0070C0"/>
                </a:solidFill>
                <a:round/>
              </a:ln>
              <a:effectLst/>
            </c:spPr>
          </c:errBars>
          <c:val>
            <c:numRef>
              <c:f>'mili Pc % '!$D$15</c:f>
              <c:numCache>
                <c:formatCode>0.00\ "mg"</c:formatCode>
                <c:ptCount val="1"/>
                <c:pt idx="0">
                  <c:v>#N/A</c:v>
                </c:pt>
              </c:numCache>
            </c:numRef>
          </c:val>
          <c:smooth val="0"/>
          <c:extLst>
            <c:ext xmlns:c16="http://schemas.microsoft.com/office/drawing/2014/chart" uri="{C3380CC4-5D6E-409C-BE32-E72D297353CC}">
              <c16:uniqueId val="{00000001-6161-4E0E-B43B-E5B381CE3B8B}"/>
            </c:ext>
          </c:extLst>
        </c:ser>
        <c:ser>
          <c:idx val="1"/>
          <c:order val="1"/>
          <c:tx>
            <c:strRef>
              <c:f>'mili Pc % '!$O$6</c:f>
              <c:strCache>
                <c:ptCount val="1"/>
                <c:pt idx="0">
                  <c:v> ± EMP</c:v>
                </c:pt>
              </c:strCache>
            </c:strRef>
          </c:tx>
          <c:spPr>
            <a:ln w="28575" cap="rnd">
              <a:solidFill>
                <a:srgbClr val="FF0000"/>
              </a:solidFill>
              <a:round/>
            </a:ln>
            <a:effectLst/>
          </c:spPr>
          <c:marker>
            <c:symbol val="none"/>
          </c:marker>
          <c:dLbls>
            <c:delete val="1"/>
          </c:dLbls>
          <c:val>
            <c:numRef>
              <c:f>'mili Pc % '!$O$15:$Q$15</c:f>
              <c:numCache>
                <c:formatCode>0.0</c:formatCode>
                <c:ptCount val="3"/>
                <c:pt idx="0">
                  <c:v>0.5</c:v>
                </c:pt>
                <c:pt idx="1">
                  <c:v>0.5</c:v>
                </c:pt>
                <c:pt idx="2">
                  <c:v>0.5</c:v>
                </c:pt>
              </c:numCache>
            </c:numRef>
          </c:val>
          <c:smooth val="0"/>
          <c:extLst>
            <c:ext xmlns:c16="http://schemas.microsoft.com/office/drawing/2014/chart" uri="{C3380CC4-5D6E-409C-BE32-E72D297353CC}">
              <c16:uniqueId val="{00000002-6161-4E0E-B43B-E5B381CE3B8B}"/>
            </c:ext>
          </c:extLst>
        </c:ser>
        <c:ser>
          <c:idx val="2"/>
          <c:order val="2"/>
          <c:tx>
            <c:strRef>
              <c:f>'mili Pc % '!$R$6:$T$6</c:f>
              <c:strCache>
                <c:ptCount val="3"/>
                <c:pt idx="0">
                  <c:v> ± EMP</c:v>
                </c:pt>
              </c:strCache>
            </c:strRef>
          </c:tx>
          <c:spPr>
            <a:ln w="28575" cap="rnd">
              <a:solidFill>
                <a:srgbClr val="FF0000"/>
              </a:solidFill>
              <a:round/>
            </a:ln>
            <a:effectLst/>
          </c:spPr>
          <c:marker>
            <c:symbol val="none"/>
          </c:marker>
          <c:dLbls>
            <c:delete val="1"/>
          </c:dLbls>
          <c:val>
            <c:numRef>
              <c:f>'mili Pc % '!$R$15:$T$15</c:f>
              <c:numCache>
                <c:formatCode>0.0</c:formatCode>
                <c:ptCount val="3"/>
                <c:pt idx="0">
                  <c:v>-0.5</c:v>
                </c:pt>
                <c:pt idx="1">
                  <c:v>-0.5</c:v>
                </c:pt>
                <c:pt idx="2">
                  <c:v>-0.5</c:v>
                </c:pt>
              </c:numCache>
            </c:numRef>
          </c:val>
          <c:smooth val="0"/>
          <c:extLst>
            <c:ext xmlns:c16="http://schemas.microsoft.com/office/drawing/2014/chart" uri="{C3380CC4-5D6E-409C-BE32-E72D297353CC}">
              <c16:uniqueId val="{00000003-6161-4E0E-B43B-E5B381CE3B8B}"/>
            </c:ext>
          </c:extLst>
        </c:ser>
        <c:dLbls>
          <c:dLblPos val="t"/>
          <c:showLegendKey val="0"/>
          <c:showVal val="1"/>
          <c:showCatName val="0"/>
          <c:showSerName val="0"/>
          <c:showPercent val="0"/>
          <c:showBubbleSize val="0"/>
        </c:dLbls>
        <c:marker val="1"/>
        <c:smooth val="0"/>
        <c:axId val="198169344"/>
        <c:axId val="198170880"/>
      </c:lineChart>
      <c:dateAx>
        <c:axId val="198169344"/>
        <c:scaling>
          <c:orientation val="minMax"/>
        </c:scaling>
        <c:delete val="0"/>
        <c:axPos val="b"/>
        <c:majorTickMark val="none"/>
        <c:minorTickMark val="none"/>
        <c:tickLblPos val="none"/>
        <c:spPr>
          <a:solidFill>
            <a:schemeClr val="bg1"/>
          </a:solidFill>
          <a:ln w="12700" cap="flat" cmpd="sng" algn="ctr">
            <a:solidFill>
              <a:srgbClr val="00B0F0">
                <a:alpha val="98000"/>
              </a:srgbClr>
            </a:solidFill>
            <a:round/>
          </a:ln>
          <a:effectLst>
            <a:glow>
              <a:srgbClr val="FFFF00">
                <a:alpha val="93000"/>
              </a:srgbClr>
            </a:glow>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198170880"/>
        <c:crosses val="autoZero"/>
        <c:auto val="0"/>
        <c:lblOffset val="100"/>
        <c:baseTimeUnit val="days"/>
        <c:majorUnit val="1"/>
      </c:dateAx>
      <c:valAx>
        <c:axId val="19817088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r>
                  <a:rPr lang="es-CO"/>
                  <a:t>Error en masa convencional</a:t>
                </a:r>
              </a:p>
            </c:rich>
          </c:tx>
          <c:layout>
            <c:manualLayout>
              <c:xMode val="edge"/>
              <c:yMode val="edge"/>
              <c:x val="3.9850563524622316E-2"/>
              <c:y val="0.11799421695162476"/>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endParaRPr lang="es-CO"/>
            </a:p>
          </c:txPr>
        </c:title>
        <c:numFmt formatCode="0.00\ &quot;mg&quot;"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198169344"/>
        <c:crossesAt val="1"/>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accent6">
        <a:lumMod val="20000"/>
        <a:lumOff val="80000"/>
      </a:schemeClr>
    </a:solidFill>
    <a:ln w="12700" cap="flat" cmpd="sng" algn="ctr">
      <a:solidFill>
        <a:schemeClr val="accent2"/>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r>
              <a:rPr lang="en-US"/>
              <a:t>200 mg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endParaRPr lang="es-CO"/>
        </a:p>
      </c:txPr>
    </c:title>
    <c:autoTitleDeleted val="0"/>
    <c:plotArea>
      <c:layout/>
      <c:lineChart>
        <c:grouping val="standard"/>
        <c:varyColors val="0"/>
        <c:ser>
          <c:idx val="0"/>
          <c:order val="0"/>
          <c:tx>
            <c:strRef>
              <c:f>'mili Pc % '!$D$6</c:f>
              <c:strCache>
                <c:ptCount val="1"/>
                <c:pt idx="0">
                  <c:v>Error en masa convencional </c:v>
                </c:pt>
              </c:strCache>
            </c:strRef>
          </c:tx>
          <c:spPr>
            <a:ln w="28575" cap="rnd">
              <a:solidFill>
                <a:schemeClr val="accent1"/>
              </a:solidFill>
              <a:round/>
            </a:ln>
            <a:effectLst/>
          </c:spPr>
          <c:marker>
            <c:symbol val="circle"/>
            <c:size val="6"/>
            <c:spPr>
              <a:solidFill>
                <a:srgbClr val="92D050"/>
              </a:solidFill>
              <a:ln w="9525">
                <a:solidFill>
                  <a:schemeClr val="accent1"/>
                </a:solidFill>
              </a:ln>
              <a:effectLst/>
            </c:spPr>
          </c:marker>
          <c:dLbls>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errBars>
            <c:errDir val="y"/>
            <c:errBarType val="both"/>
            <c:errValType val="cust"/>
            <c:noEndCap val="0"/>
            <c:plus>
              <c:numRef>
                <c:f>'mili Pc % '!$E$16</c:f>
                <c:numCache>
                  <c:formatCode>General</c:formatCode>
                  <c:ptCount val="1"/>
                  <c:pt idx="0">
                    <c:v>0.2</c:v>
                  </c:pt>
                </c:numCache>
              </c:numRef>
            </c:plus>
            <c:minus>
              <c:numRef>
                <c:f>'mili Pc % '!$E$16</c:f>
                <c:numCache>
                  <c:formatCode>General</c:formatCode>
                  <c:ptCount val="1"/>
                  <c:pt idx="0">
                    <c:v>0.2</c:v>
                  </c:pt>
                </c:numCache>
              </c:numRef>
            </c:minus>
            <c:spPr>
              <a:noFill/>
              <a:ln w="22225" cap="flat" cmpd="sng" algn="ctr">
                <a:solidFill>
                  <a:srgbClr val="0070C0"/>
                </a:solidFill>
                <a:round/>
              </a:ln>
              <a:effectLst/>
            </c:spPr>
          </c:errBars>
          <c:val>
            <c:numRef>
              <c:f>'mili Pc % '!$D$16</c:f>
              <c:numCache>
                <c:formatCode>0.00\ "mg"</c:formatCode>
                <c:ptCount val="1"/>
                <c:pt idx="0">
                  <c:v>#N/A</c:v>
                </c:pt>
              </c:numCache>
            </c:numRef>
          </c:val>
          <c:smooth val="0"/>
          <c:extLst>
            <c:ext xmlns:c16="http://schemas.microsoft.com/office/drawing/2014/chart" uri="{C3380CC4-5D6E-409C-BE32-E72D297353CC}">
              <c16:uniqueId val="{00000001-6DD4-4B0D-A3A1-E000829941E5}"/>
            </c:ext>
          </c:extLst>
        </c:ser>
        <c:ser>
          <c:idx val="1"/>
          <c:order val="1"/>
          <c:tx>
            <c:strRef>
              <c:f>'mili Pc % '!$O$6</c:f>
              <c:strCache>
                <c:ptCount val="1"/>
                <c:pt idx="0">
                  <c:v> ± EMP</c:v>
                </c:pt>
              </c:strCache>
            </c:strRef>
          </c:tx>
          <c:spPr>
            <a:ln w="28575" cap="rnd">
              <a:solidFill>
                <a:srgbClr val="FF0000"/>
              </a:solidFill>
              <a:round/>
            </a:ln>
            <a:effectLst/>
          </c:spPr>
          <c:marker>
            <c:symbol val="none"/>
          </c:marker>
          <c:dLbls>
            <c:delete val="1"/>
          </c:dLbls>
          <c:val>
            <c:numRef>
              <c:f>'mili Pc % '!$O$16:$Q$16</c:f>
              <c:numCache>
                <c:formatCode>0.0</c:formatCode>
                <c:ptCount val="3"/>
                <c:pt idx="0">
                  <c:v>0.6</c:v>
                </c:pt>
                <c:pt idx="1">
                  <c:v>0.6</c:v>
                </c:pt>
                <c:pt idx="2">
                  <c:v>0.6</c:v>
                </c:pt>
              </c:numCache>
            </c:numRef>
          </c:val>
          <c:smooth val="0"/>
          <c:extLst>
            <c:ext xmlns:c16="http://schemas.microsoft.com/office/drawing/2014/chart" uri="{C3380CC4-5D6E-409C-BE32-E72D297353CC}">
              <c16:uniqueId val="{00000002-6DD4-4B0D-A3A1-E000829941E5}"/>
            </c:ext>
          </c:extLst>
        </c:ser>
        <c:ser>
          <c:idx val="2"/>
          <c:order val="2"/>
          <c:tx>
            <c:strRef>
              <c:f>'mili Pc % '!$R$6:$T$6</c:f>
              <c:strCache>
                <c:ptCount val="3"/>
                <c:pt idx="0">
                  <c:v> ± EMP</c:v>
                </c:pt>
              </c:strCache>
            </c:strRef>
          </c:tx>
          <c:spPr>
            <a:ln w="28575" cap="rnd">
              <a:solidFill>
                <a:srgbClr val="FF0000"/>
              </a:solidFill>
              <a:round/>
            </a:ln>
            <a:effectLst/>
          </c:spPr>
          <c:marker>
            <c:symbol val="none"/>
          </c:marker>
          <c:dLbls>
            <c:delete val="1"/>
          </c:dLbls>
          <c:val>
            <c:numRef>
              <c:f>'mili Pc % '!$R$16:$T$16</c:f>
              <c:numCache>
                <c:formatCode>0.0</c:formatCode>
                <c:ptCount val="3"/>
                <c:pt idx="0">
                  <c:v>-0.6</c:v>
                </c:pt>
                <c:pt idx="1">
                  <c:v>-0.6</c:v>
                </c:pt>
                <c:pt idx="2">
                  <c:v>-0.6</c:v>
                </c:pt>
              </c:numCache>
            </c:numRef>
          </c:val>
          <c:smooth val="0"/>
          <c:extLst>
            <c:ext xmlns:c16="http://schemas.microsoft.com/office/drawing/2014/chart" uri="{C3380CC4-5D6E-409C-BE32-E72D297353CC}">
              <c16:uniqueId val="{00000003-6DD4-4B0D-A3A1-E000829941E5}"/>
            </c:ext>
          </c:extLst>
        </c:ser>
        <c:dLbls>
          <c:dLblPos val="t"/>
          <c:showLegendKey val="0"/>
          <c:showVal val="1"/>
          <c:showCatName val="0"/>
          <c:showSerName val="0"/>
          <c:showPercent val="0"/>
          <c:showBubbleSize val="0"/>
        </c:dLbls>
        <c:marker val="1"/>
        <c:smooth val="0"/>
        <c:axId val="198686976"/>
        <c:axId val="198696960"/>
      </c:lineChart>
      <c:dateAx>
        <c:axId val="198686976"/>
        <c:scaling>
          <c:orientation val="minMax"/>
        </c:scaling>
        <c:delete val="0"/>
        <c:axPos val="b"/>
        <c:majorTickMark val="none"/>
        <c:minorTickMark val="none"/>
        <c:tickLblPos val="none"/>
        <c:spPr>
          <a:solidFill>
            <a:schemeClr val="bg1"/>
          </a:solidFill>
          <a:ln w="12700" cap="flat" cmpd="sng" algn="ctr">
            <a:solidFill>
              <a:srgbClr val="00B0F0">
                <a:alpha val="98000"/>
              </a:srgbClr>
            </a:solidFill>
            <a:round/>
          </a:ln>
          <a:effectLst>
            <a:glow>
              <a:srgbClr val="FFFF00">
                <a:alpha val="93000"/>
              </a:srgbClr>
            </a:glow>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198696960"/>
        <c:crosses val="autoZero"/>
        <c:auto val="0"/>
        <c:lblOffset val="100"/>
        <c:baseTimeUnit val="days"/>
        <c:majorUnit val="1"/>
      </c:dateAx>
      <c:valAx>
        <c:axId val="19869696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r>
                  <a:rPr lang="es-CO"/>
                  <a:t>Error en masa convencional</a:t>
                </a:r>
              </a:p>
            </c:rich>
          </c:tx>
          <c:layout>
            <c:manualLayout>
              <c:xMode val="edge"/>
              <c:yMode val="edge"/>
              <c:x val="3.9850563524622316E-2"/>
              <c:y val="0.11799421695162476"/>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endParaRPr lang="es-CO"/>
            </a:p>
          </c:txPr>
        </c:title>
        <c:numFmt formatCode="0.00\ &quot;mg&quot;"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198686976"/>
        <c:crossesAt val="1"/>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accent6">
        <a:lumMod val="20000"/>
        <a:lumOff val="80000"/>
      </a:schemeClr>
    </a:solidFill>
    <a:ln w="12700" cap="flat" cmpd="sng" algn="ctr">
      <a:solidFill>
        <a:schemeClr val="accent2"/>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r>
              <a:rPr lang="en-US"/>
              <a:t>200 mg *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endParaRPr lang="es-CO"/>
        </a:p>
      </c:txPr>
    </c:title>
    <c:autoTitleDeleted val="0"/>
    <c:plotArea>
      <c:layout/>
      <c:lineChart>
        <c:grouping val="standard"/>
        <c:varyColors val="0"/>
        <c:ser>
          <c:idx val="0"/>
          <c:order val="0"/>
          <c:tx>
            <c:strRef>
              <c:f>'mili Pc % '!$D$6</c:f>
              <c:strCache>
                <c:ptCount val="1"/>
                <c:pt idx="0">
                  <c:v>Error en masa convencional </c:v>
                </c:pt>
              </c:strCache>
            </c:strRef>
          </c:tx>
          <c:spPr>
            <a:ln w="28575" cap="rnd">
              <a:solidFill>
                <a:schemeClr val="accent1"/>
              </a:solidFill>
              <a:round/>
            </a:ln>
            <a:effectLst/>
          </c:spPr>
          <c:marker>
            <c:symbol val="circle"/>
            <c:size val="6"/>
            <c:spPr>
              <a:solidFill>
                <a:srgbClr val="92D050"/>
              </a:solidFill>
              <a:ln w="9525">
                <a:solidFill>
                  <a:schemeClr val="accent1"/>
                </a:solidFill>
              </a:ln>
              <a:effectLst/>
            </c:spPr>
          </c:marker>
          <c:dLbls>
            <c:dLbl>
              <c:idx val="0"/>
              <c:layout>
                <c:manualLayout>
                  <c:x val="3.7439606272796397E-2"/>
                  <c:y val="-7.275352733686067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88A-4E6C-99B1-DCFBA373039C}"/>
                </c:ext>
              </c:extLst>
            </c:dLbl>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errBars>
            <c:errDir val="y"/>
            <c:errBarType val="both"/>
            <c:errValType val="cust"/>
            <c:noEndCap val="0"/>
            <c:plus>
              <c:numRef>
                <c:f>'mili Pc % '!$E$17</c:f>
                <c:numCache>
                  <c:formatCode>General</c:formatCode>
                  <c:ptCount val="1"/>
                  <c:pt idx="0">
                    <c:v>0.2</c:v>
                  </c:pt>
                </c:numCache>
              </c:numRef>
            </c:plus>
            <c:minus>
              <c:numRef>
                <c:f>'mili Pc % '!$E$17</c:f>
                <c:numCache>
                  <c:formatCode>General</c:formatCode>
                  <c:ptCount val="1"/>
                  <c:pt idx="0">
                    <c:v>0.2</c:v>
                  </c:pt>
                </c:numCache>
              </c:numRef>
            </c:minus>
            <c:spPr>
              <a:noFill/>
              <a:ln w="22225" cap="flat" cmpd="sng" algn="ctr">
                <a:solidFill>
                  <a:srgbClr val="0070C0"/>
                </a:solidFill>
                <a:round/>
              </a:ln>
              <a:effectLst/>
            </c:spPr>
          </c:errBars>
          <c:val>
            <c:numRef>
              <c:f>'mili Pc % '!$D$17</c:f>
              <c:numCache>
                <c:formatCode>0.00\ "mg"</c:formatCode>
                <c:ptCount val="1"/>
                <c:pt idx="0">
                  <c:v>#N/A</c:v>
                </c:pt>
              </c:numCache>
            </c:numRef>
          </c:val>
          <c:smooth val="0"/>
          <c:extLst>
            <c:ext xmlns:c16="http://schemas.microsoft.com/office/drawing/2014/chart" uri="{C3380CC4-5D6E-409C-BE32-E72D297353CC}">
              <c16:uniqueId val="{00000000-B88A-4E6C-99B1-DCFBA373039C}"/>
            </c:ext>
          </c:extLst>
        </c:ser>
        <c:ser>
          <c:idx val="1"/>
          <c:order val="1"/>
          <c:tx>
            <c:strRef>
              <c:f>'mili Pc % '!$O$6</c:f>
              <c:strCache>
                <c:ptCount val="1"/>
                <c:pt idx="0">
                  <c:v> ± EMP</c:v>
                </c:pt>
              </c:strCache>
            </c:strRef>
          </c:tx>
          <c:spPr>
            <a:ln w="28575" cap="rnd">
              <a:solidFill>
                <a:srgbClr val="FF0000"/>
              </a:solidFill>
              <a:round/>
            </a:ln>
            <a:effectLst/>
          </c:spPr>
          <c:marker>
            <c:symbol val="none"/>
          </c:marker>
          <c:dLbls>
            <c:delete val="1"/>
          </c:dLbls>
          <c:val>
            <c:numRef>
              <c:f>'mili Pc % '!$O$17:$Q$17</c:f>
              <c:numCache>
                <c:formatCode>0.0</c:formatCode>
                <c:ptCount val="3"/>
                <c:pt idx="0">
                  <c:v>0.6</c:v>
                </c:pt>
                <c:pt idx="1">
                  <c:v>0.6</c:v>
                </c:pt>
                <c:pt idx="2">
                  <c:v>0.6</c:v>
                </c:pt>
              </c:numCache>
            </c:numRef>
          </c:val>
          <c:smooth val="0"/>
          <c:extLst>
            <c:ext xmlns:c16="http://schemas.microsoft.com/office/drawing/2014/chart" uri="{C3380CC4-5D6E-409C-BE32-E72D297353CC}">
              <c16:uniqueId val="{00000001-B88A-4E6C-99B1-DCFBA373039C}"/>
            </c:ext>
          </c:extLst>
        </c:ser>
        <c:ser>
          <c:idx val="2"/>
          <c:order val="2"/>
          <c:tx>
            <c:strRef>
              <c:f>'mili Pc % '!$R$6:$T$6</c:f>
              <c:strCache>
                <c:ptCount val="3"/>
                <c:pt idx="0">
                  <c:v> ± EMP</c:v>
                </c:pt>
              </c:strCache>
            </c:strRef>
          </c:tx>
          <c:spPr>
            <a:ln w="28575" cap="rnd">
              <a:solidFill>
                <a:srgbClr val="FF0000"/>
              </a:solidFill>
              <a:round/>
            </a:ln>
            <a:effectLst/>
          </c:spPr>
          <c:marker>
            <c:symbol val="none"/>
          </c:marker>
          <c:dLbls>
            <c:delete val="1"/>
          </c:dLbls>
          <c:val>
            <c:numRef>
              <c:f>'mili Pc % '!$R$17:$T$17</c:f>
              <c:numCache>
                <c:formatCode>0.0</c:formatCode>
                <c:ptCount val="3"/>
                <c:pt idx="0">
                  <c:v>-0.6</c:v>
                </c:pt>
                <c:pt idx="1">
                  <c:v>-0.6</c:v>
                </c:pt>
                <c:pt idx="2">
                  <c:v>-0.6</c:v>
                </c:pt>
              </c:numCache>
            </c:numRef>
          </c:val>
          <c:smooth val="0"/>
          <c:extLst>
            <c:ext xmlns:c16="http://schemas.microsoft.com/office/drawing/2014/chart" uri="{C3380CC4-5D6E-409C-BE32-E72D297353CC}">
              <c16:uniqueId val="{00000002-B88A-4E6C-99B1-DCFBA373039C}"/>
            </c:ext>
          </c:extLst>
        </c:ser>
        <c:dLbls>
          <c:dLblPos val="t"/>
          <c:showLegendKey val="0"/>
          <c:showVal val="1"/>
          <c:showCatName val="0"/>
          <c:showSerName val="0"/>
          <c:showPercent val="0"/>
          <c:showBubbleSize val="0"/>
        </c:dLbls>
        <c:marker val="1"/>
        <c:smooth val="0"/>
        <c:axId val="198410624"/>
        <c:axId val="198412160"/>
      </c:lineChart>
      <c:dateAx>
        <c:axId val="198410624"/>
        <c:scaling>
          <c:orientation val="minMax"/>
        </c:scaling>
        <c:delete val="0"/>
        <c:axPos val="b"/>
        <c:majorTickMark val="none"/>
        <c:minorTickMark val="none"/>
        <c:tickLblPos val="none"/>
        <c:spPr>
          <a:solidFill>
            <a:schemeClr val="bg1"/>
          </a:solidFill>
          <a:ln w="12700" cap="flat" cmpd="sng" algn="ctr">
            <a:solidFill>
              <a:srgbClr val="00B0F0">
                <a:alpha val="98000"/>
              </a:srgbClr>
            </a:solidFill>
            <a:round/>
          </a:ln>
          <a:effectLst>
            <a:glow>
              <a:srgbClr val="FFFF00">
                <a:alpha val="93000"/>
              </a:srgbClr>
            </a:glow>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198412160"/>
        <c:crosses val="autoZero"/>
        <c:auto val="0"/>
        <c:lblOffset val="100"/>
        <c:baseTimeUnit val="days"/>
        <c:majorUnit val="1"/>
      </c:dateAx>
      <c:valAx>
        <c:axId val="19841216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r>
                  <a:rPr lang="es-CO"/>
                  <a:t>Error en masa convencional</a:t>
                </a:r>
              </a:p>
            </c:rich>
          </c:tx>
          <c:layout>
            <c:manualLayout>
              <c:xMode val="edge"/>
              <c:yMode val="edge"/>
              <c:x val="3.9850563524622316E-2"/>
              <c:y val="0.11799421695162476"/>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endParaRPr lang="es-CO"/>
            </a:p>
          </c:txPr>
        </c:title>
        <c:numFmt formatCode="0.00\ &quot;mg&quot;"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198410624"/>
        <c:crossesAt val="1"/>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accent6">
        <a:lumMod val="20000"/>
        <a:lumOff val="80000"/>
      </a:schemeClr>
    </a:solidFill>
    <a:ln w="12700" cap="flat" cmpd="sng" algn="ctr">
      <a:solidFill>
        <a:schemeClr val="accent2"/>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r>
              <a:rPr lang="en-US"/>
              <a:t>500 mg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endParaRPr lang="es-CO"/>
        </a:p>
      </c:txPr>
    </c:title>
    <c:autoTitleDeleted val="0"/>
    <c:plotArea>
      <c:layout/>
      <c:lineChart>
        <c:grouping val="standard"/>
        <c:varyColors val="0"/>
        <c:ser>
          <c:idx val="0"/>
          <c:order val="0"/>
          <c:tx>
            <c:strRef>
              <c:f>'mili Pc % '!$D$6</c:f>
              <c:strCache>
                <c:ptCount val="1"/>
                <c:pt idx="0">
                  <c:v>Error en masa convencional </c:v>
                </c:pt>
              </c:strCache>
            </c:strRef>
          </c:tx>
          <c:spPr>
            <a:ln w="28575" cap="rnd">
              <a:solidFill>
                <a:schemeClr val="accent1"/>
              </a:solidFill>
              <a:round/>
            </a:ln>
            <a:effectLst/>
          </c:spPr>
          <c:marker>
            <c:symbol val="circle"/>
            <c:size val="6"/>
            <c:spPr>
              <a:solidFill>
                <a:srgbClr val="92D050"/>
              </a:solidFill>
              <a:ln w="9525">
                <a:solidFill>
                  <a:schemeClr val="accent1"/>
                </a:solidFill>
              </a:ln>
              <a:effectLst/>
            </c:spPr>
          </c:marker>
          <c:dLbls>
            <c:dLbl>
              <c:idx val="0"/>
              <c:layout>
                <c:manualLayout>
                  <c:x val="2.2910505026411218E-2"/>
                  <c:y val="-7.275352733686071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A9F-499A-9AC4-F64A18354219}"/>
                </c:ext>
              </c:extLst>
            </c:dLbl>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errBars>
            <c:errDir val="y"/>
            <c:errBarType val="both"/>
            <c:errValType val="cust"/>
            <c:noEndCap val="0"/>
            <c:plus>
              <c:numRef>
                <c:f>'mili Pc % '!$E$18</c:f>
                <c:numCache>
                  <c:formatCode>General</c:formatCode>
                  <c:ptCount val="1"/>
                  <c:pt idx="0">
                    <c:v>0.25</c:v>
                  </c:pt>
                </c:numCache>
              </c:numRef>
            </c:plus>
            <c:minus>
              <c:numRef>
                <c:f>'mili Pc % '!$E$18</c:f>
                <c:numCache>
                  <c:formatCode>General</c:formatCode>
                  <c:ptCount val="1"/>
                  <c:pt idx="0">
                    <c:v>0.25</c:v>
                  </c:pt>
                </c:numCache>
              </c:numRef>
            </c:minus>
            <c:spPr>
              <a:noFill/>
              <a:ln w="22225" cap="flat" cmpd="sng" algn="ctr">
                <a:solidFill>
                  <a:srgbClr val="0070C0"/>
                </a:solidFill>
                <a:round/>
              </a:ln>
              <a:effectLst/>
            </c:spPr>
          </c:errBars>
          <c:val>
            <c:numRef>
              <c:f>'mili Pc % '!$D$18</c:f>
              <c:numCache>
                <c:formatCode>0.00\ "mg"</c:formatCode>
                <c:ptCount val="1"/>
                <c:pt idx="0">
                  <c:v>#N/A</c:v>
                </c:pt>
              </c:numCache>
            </c:numRef>
          </c:val>
          <c:smooth val="0"/>
          <c:extLst>
            <c:ext xmlns:c16="http://schemas.microsoft.com/office/drawing/2014/chart" uri="{C3380CC4-5D6E-409C-BE32-E72D297353CC}">
              <c16:uniqueId val="{00000001-6A9F-499A-9AC4-F64A18354219}"/>
            </c:ext>
          </c:extLst>
        </c:ser>
        <c:ser>
          <c:idx val="1"/>
          <c:order val="1"/>
          <c:tx>
            <c:strRef>
              <c:f>'mili Pc % '!$O$6</c:f>
              <c:strCache>
                <c:ptCount val="1"/>
                <c:pt idx="0">
                  <c:v> ± EMP</c:v>
                </c:pt>
              </c:strCache>
            </c:strRef>
          </c:tx>
          <c:spPr>
            <a:ln w="28575" cap="rnd">
              <a:solidFill>
                <a:srgbClr val="FF0000"/>
              </a:solidFill>
              <a:round/>
            </a:ln>
            <a:effectLst/>
          </c:spPr>
          <c:marker>
            <c:symbol val="none"/>
          </c:marker>
          <c:dLbls>
            <c:delete val="1"/>
          </c:dLbls>
          <c:val>
            <c:numRef>
              <c:f>'mili Pc % '!$O$18:$Q$18</c:f>
              <c:numCache>
                <c:formatCode>0.0</c:formatCode>
                <c:ptCount val="3"/>
                <c:pt idx="0">
                  <c:v>0.8</c:v>
                </c:pt>
                <c:pt idx="1">
                  <c:v>0.8</c:v>
                </c:pt>
                <c:pt idx="2">
                  <c:v>0.8</c:v>
                </c:pt>
              </c:numCache>
            </c:numRef>
          </c:val>
          <c:smooth val="0"/>
          <c:extLst>
            <c:ext xmlns:c16="http://schemas.microsoft.com/office/drawing/2014/chart" uri="{C3380CC4-5D6E-409C-BE32-E72D297353CC}">
              <c16:uniqueId val="{00000002-6A9F-499A-9AC4-F64A18354219}"/>
            </c:ext>
          </c:extLst>
        </c:ser>
        <c:ser>
          <c:idx val="2"/>
          <c:order val="2"/>
          <c:tx>
            <c:strRef>
              <c:f>'mili Pc % '!$R$6:$T$6</c:f>
              <c:strCache>
                <c:ptCount val="3"/>
                <c:pt idx="0">
                  <c:v> ± EMP</c:v>
                </c:pt>
              </c:strCache>
            </c:strRef>
          </c:tx>
          <c:spPr>
            <a:ln w="28575" cap="rnd">
              <a:solidFill>
                <a:srgbClr val="FF0000"/>
              </a:solidFill>
              <a:round/>
            </a:ln>
            <a:effectLst/>
          </c:spPr>
          <c:marker>
            <c:symbol val="none"/>
          </c:marker>
          <c:dLbls>
            <c:delete val="1"/>
          </c:dLbls>
          <c:val>
            <c:numRef>
              <c:f>'mili Pc % '!$R$18:$T$18</c:f>
              <c:numCache>
                <c:formatCode>0.0</c:formatCode>
                <c:ptCount val="3"/>
                <c:pt idx="0">
                  <c:v>-0.8</c:v>
                </c:pt>
                <c:pt idx="1">
                  <c:v>-0.8</c:v>
                </c:pt>
                <c:pt idx="2">
                  <c:v>-0.8</c:v>
                </c:pt>
              </c:numCache>
            </c:numRef>
          </c:val>
          <c:smooth val="0"/>
          <c:extLst>
            <c:ext xmlns:c16="http://schemas.microsoft.com/office/drawing/2014/chart" uri="{C3380CC4-5D6E-409C-BE32-E72D297353CC}">
              <c16:uniqueId val="{00000003-6A9F-499A-9AC4-F64A18354219}"/>
            </c:ext>
          </c:extLst>
        </c:ser>
        <c:dLbls>
          <c:dLblPos val="t"/>
          <c:showLegendKey val="0"/>
          <c:showVal val="1"/>
          <c:showCatName val="0"/>
          <c:showSerName val="0"/>
          <c:showPercent val="0"/>
          <c:showBubbleSize val="0"/>
        </c:dLbls>
        <c:marker val="1"/>
        <c:smooth val="0"/>
        <c:axId val="198457600"/>
        <c:axId val="198471680"/>
      </c:lineChart>
      <c:dateAx>
        <c:axId val="198457600"/>
        <c:scaling>
          <c:orientation val="minMax"/>
        </c:scaling>
        <c:delete val="0"/>
        <c:axPos val="b"/>
        <c:majorTickMark val="none"/>
        <c:minorTickMark val="none"/>
        <c:tickLblPos val="none"/>
        <c:spPr>
          <a:solidFill>
            <a:schemeClr val="bg1"/>
          </a:solidFill>
          <a:ln w="12700" cap="flat" cmpd="sng" algn="ctr">
            <a:solidFill>
              <a:srgbClr val="00B0F0">
                <a:alpha val="98000"/>
              </a:srgbClr>
            </a:solidFill>
            <a:round/>
          </a:ln>
          <a:effectLst>
            <a:glow>
              <a:srgbClr val="FFFF00">
                <a:alpha val="93000"/>
              </a:srgbClr>
            </a:glow>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198471680"/>
        <c:crosses val="autoZero"/>
        <c:auto val="0"/>
        <c:lblOffset val="100"/>
        <c:baseTimeUnit val="days"/>
        <c:majorUnit val="1"/>
      </c:dateAx>
      <c:valAx>
        <c:axId val="19847168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r>
                  <a:rPr lang="es-CO"/>
                  <a:t>Error en masa convencional</a:t>
                </a:r>
              </a:p>
            </c:rich>
          </c:tx>
          <c:layout>
            <c:manualLayout>
              <c:xMode val="edge"/>
              <c:yMode val="edge"/>
              <c:x val="3.9850563524622316E-2"/>
              <c:y val="0.11799421695162476"/>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endParaRPr lang="es-CO"/>
            </a:p>
          </c:txPr>
        </c:title>
        <c:numFmt formatCode="0.00\ &quot;mg&quot;"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198457600"/>
        <c:crossesAt val="1"/>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accent6">
        <a:lumMod val="20000"/>
        <a:lumOff val="80000"/>
      </a:schemeClr>
    </a:solidFill>
    <a:ln w="12700" cap="flat" cmpd="sng" algn="ctr">
      <a:solidFill>
        <a:schemeClr val="accent2"/>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°C</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%'!$A$122</c:f>
              <c:strCache>
                <c:ptCount val="1"/>
                <c:pt idx="0">
                  <c:v>Temperatura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6178014612986169"/>
                  <c:y val="-0.3781984125991343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%'!$F$122:$F$124</c:f>
              <c:numCache>
                <c:formatCode>General</c:formatCode>
                <c:ptCount val="3"/>
                <c:pt idx="0">
                  <c:v>15.3</c:v>
                </c:pt>
                <c:pt idx="1">
                  <c:v>24.7</c:v>
                </c:pt>
                <c:pt idx="2" formatCode="0.0">
                  <c:v>29.5</c:v>
                </c:pt>
              </c:numCache>
            </c:numRef>
          </c:xVal>
          <c:yVal>
            <c:numRef>
              <c:f>'DATOS %'!$H$122:$H$124</c:f>
              <c:numCache>
                <c:formatCode>0.0</c:formatCode>
                <c:ptCount val="3"/>
                <c:pt idx="0">
                  <c:v>0</c:v>
                </c:pt>
                <c:pt idx="1">
                  <c:v>0</c:v>
                </c:pt>
                <c:pt idx="2">
                  <c:v>-0.1</c:v>
                </c:pt>
              </c:numCache>
            </c:numRef>
          </c:yVal>
          <c:smooth val="0"/>
          <c:extLst>
            <c:ext xmlns:c16="http://schemas.microsoft.com/office/drawing/2014/chart" uri="{C3380CC4-5D6E-409C-BE32-E72D297353CC}">
              <c16:uniqueId val="{00000002-A8D6-4133-98EC-4E1FF73C1FD1}"/>
            </c:ext>
          </c:extLst>
        </c:ser>
        <c:dLbls>
          <c:showLegendKey val="0"/>
          <c:showVal val="0"/>
          <c:showCatName val="0"/>
          <c:showSerName val="0"/>
          <c:showPercent val="0"/>
          <c:showBubbleSize val="0"/>
        </c:dLbls>
        <c:axId val="197852544"/>
        <c:axId val="193217664"/>
      </c:scatterChart>
      <c:valAx>
        <c:axId val="197852544"/>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93217664"/>
        <c:crosses val="autoZero"/>
        <c:crossBetween val="midCat"/>
      </c:valAx>
      <c:valAx>
        <c:axId val="193217664"/>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97852544"/>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 hr</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%'!$A$125</c:f>
              <c:strCache>
                <c:ptCount val="1"/>
                <c:pt idx="0">
                  <c:v>Humedad</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6344235107210112"/>
                  <c:y val="-0.4621592842310675"/>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%'!$F$125:$F$127</c:f>
              <c:numCache>
                <c:formatCode>0.0</c:formatCode>
                <c:ptCount val="3"/>
                <c:pt idx="0" formatCode="General">
                  <c:v>33.299999999999997</c:v>
                </c:pt>
                <c:pt idx="1">
                  <c:v>51.2</c:v>
                </c:pt>
                <c:pt idx="2" formatCode="General">
                  <c:v>77.099999999999994</c:v>
                </c:pt>
              </c:numCache>
            </c:numRef>
          </c:xVal>
          <c:yVal>
            <c:numRef>
              <c:f>'DATOS %'!$H$125:$H$127</c:f>
              <c:numCache>
                <c:formatCode>0.0</c:formatCode>
                <c:ptCount val="3"/>
                <c:pt idx="0" formatCode="General">
                  <c:v>-3.3</c:v>
                </c:pt>
                <c:pt idx="1">
                  <c:v>-1.3</c:v>
                </c:pt>
                <c:pt idx="2">
                  <c:v>3</c:v>
                </c:pt>
              </c:numCache>
            </c:numRef>
          </c:yVal>
          <c:smooth val="0"/>
          <c:extLst>
            <c:ext xmlns:c16="http://schemas.microsoft.com/office/drawing/2014/chart" uri="{C3380CC4-5D6E-409C-BE32-E72D297353CC}">
              <c16:uniqueId val="{00000002-ADF4-4562-97E0-1F915E7004BF}"/>
            </c:ext>
          </c:extLst>
        </c:ser>
        <c:dLbls>
          <c:showLegendKey val="0"/>
          <c:showVal val="0"/>
          <c:showCatName val="0"/>
          <c:showSerName val="0"/>
          <c:showPercent val="0"/>
          <c:showBubbleSize val="0"/>
        </c:dLbls>
        <c:axId val="193239680"/>
        <c:axId val="197857664"/>
      </c:scatterChart>
      <c:valAx>
        <c:axId val="193239680"/>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97857664"/>
        <c:crosses val="autoZero"/>
        <c:crossBetween val="midCat"/>
      </c:valAx>
      <c:valAx>
        <c:axId val="197857664"/>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93239680"/>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hPa</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%'!$A$128</c:f>
              <c:strCache>
                <c:ptCount val="1"/>
                <c:pt idx="0">
                  <c:v>Presión Atmosférica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5.8165771231662076E-2"/>
                  <c:y val="-0.3792710849120551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%'!$F$128:$F$130</c:f>
              <c:numCache>
                <c:formatCode>General</c:formatCode>
                <c:ptCount val="3"/>
                <c:pt idx="0">
                  <c:v>598.03200000000004</c:v>
                </c:pt>
                <c:pt idx="1">
                  <c:v>752.71299999999997</c:v>
                </c:pt>
                <c:pt idx="2" formatCode="0.000">
                  <c:v>848.5</c:v>
                </c:pt>
              </c:numCache>
            </c:numRef>
          </c:xVal>
          <c:yVal>
            <c:numRef>
              <c:f>'DATOS %'!$H$128:$H$130</c:f>
              <c:numCache>
                <c:formatCode>0.000</c:formatCode>
                <c:ptCount val="3"/>
                <c:pt idx="0">
                  <c:v>1.534</c:v>
                </c:pt>
                <c:pt idx="1">
                  <c:v>1.0549999999999999</c:v>
                </c:pt>
                <c:pt idx="2">
                  <c:v>0.77800000000000002</c:v>
                </c:pt>
              </c:numCache>
            </c:numRef>
          </c:yVal>
          <c:smooth val="0"/>
          <c:extLst>
            <c:ext xmlns:c16="http://schemas.microsoft.com/office/drawing/2014/chart" uri="{C3380CC4-5D6E-409C-BE32-E72D297353CC}">
              <c16:uniqueId val="{00000002-62A3-4CCC-B087-5F6EAE92A5E9}"/>
            </c:ext>
          </c:extLst>
        </c:ser>
        <c:dLbls>
          <c:showLegendKey val="0"/>
          <c:showVal val="0"/>
          <c:showCatName val="0"/>
          <c:showSerName val="0"/>
          <c:showPercent val="0"/>
          <c:showBubbleSize val="0"/>
        </c:dLbls>
        <c:axId val="197891968"/>
        <c:axId val="197893504"/>
      </c:scatterChart>
      <c:valAx>
        <c:axId val="197891968"/>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97893504"/>
        <c:crosses val="autoZero"/>
        <c:crossBetween val="midCat"/>
      </c:valAx>
      <c:valAx>
        <c:axId val="197893504"/>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97891968"/>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hPa</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%'!$A$138</c:f>
              <c:strCache>
                <c:ptCount val="1"/>
                <c:pt idx="0">
                  <c:v>Presión Atmosférica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20214644597996678"/>
                  <c:y val="-0.47228814220004678"/>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%'!$F$138:$F$140</c:f>
              <c:numCache>
                <c:formatCode>General</c:formatCode>
                <c:ptCount val="3"/>
                <c:pt idx="0">
                  <c:v>397.70400000000001</c:v>
                </c:pt>
                <c:pt idx="1">
                  <c:v>752.71299999999997</c:v>
                </c:pt>
                <c:pt idx="2" formatCode="0.000">
                  <c:v>1098.79</c:v>
                </c:pt>
              </c:numCache>
            </c:numRef>
          </c:xVal>
          <c:yVal>
            <c:numRef>
              <c:f>'DATOS %'!$H$138:$H$140</c:f>
              <c:numCache>
                <c:formatCode>#,##0.000</c:formatCode>
                <c:ptCount val="3"/>
                <c:pt idx="0" formatCode="#,##0.00">
                  <c:v>2.25</c:v>
                </c:pt>
                <c:pt idx="1">
                  <c:v>1.0549999999999999</c:v>
                </c:pt>
                <c:pt idx="2" formatCode="#,##0.00">
                  <c:v>0.84</c:v>
                </c:pt>
              </c:numCache>
            </c:numRef>
          </c:yVal>
          <c:smooth val="0"/>
          <c:extLst>
            <c:ext xmlns:c16="http://schemas.microsoft.com/office/drawing/2014/chart" uri="{C3380CC4-5D6E-409C-BE32-E72D297353CC}">
              <c16:uniqueId val="{00000002-379B-4BA8-803C-9E3449720887}"/>
            </c:ext>
          </c:extLst>
        </c:ser>
        <c:dLbls>
          <c:showLegendKey val="0"/>
          <c:showVal val="0"/>
          <c:showCatName val="0"/>
          <c:showSerName val="0"/>
          <c:showPercent val="0"/>
          <c:showBubbleSize val="0"/>
        </c:dLbls>
        <c:axId val="199722112"/>
        <c:axId val="199723648"/>
      </c:scatterChart>
      <c:valAx>
        <c:axId val="199722112"/>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99723648"/>
        <c:crosses val="autoZero"/>
        <c:crossBetween val="midCat"/>
      </c:valAx>
      <c:valAx>
        <c:axId val="199723648"/>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99722112"/>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800" b="1" i="0" u="none" strike="noStrike" kern="1200" baseline="0">
              <a:solidFill>
                <a:schemeClr val="dk1"/>
              </a:solidFill>
              <a:latin typeface="+mn-lt"/>
              <a:ea typeface="+mn-ea"/>
              <a:cs typeface="+mn-cs"/>
            </a:defRPr>
          </a:pPr>
          <a:endParaRPr lang="es-CO"/>
        </a:p>
      </c:txPr>
    </c:title>
    <c:autoTitleDeleted val="0"/>
    <c:plotArea>
      <c:layout/>
      <c:barChart>
        <c:barDir val="col"/>
        <c:grouping val="clustered"/>
        <c:varyColors val="0"/>
        <c:ser>
          <c:idx val="0"/>
          <c:order val="0"/>
          <c:tx>
            <c:strRef>
              <c:f>'2 mg %'!$G$58</c:f>
              <c:strCache>
                <c:ptCount val="1"/>
                <c:pt idx="0">
                  <c:v>Aporte a la Incertidumbre</c:v>
                </c:pt>
              </c:strCache>
            </c:strRef>
          </c:tx>
          <c:spPr>
            <a:solidFill>
              <a:schemeClr val="accent2">
                <a:alpha val="85000"/>
              </a:schemeClr>
            </a:solidFill>
            <a:ln w="9525" cap="flat" cmpd="sng" algn="ctr">
              <a:solidFill>
                <a:schemeClr val="lt1">
                  <a:alpha val="50000"/>
                </a:schemeClr>
              </a:solidFill>
              <a:round/>
            </a:ln>
            <a:effectLst/>
          </c:spPr>
          <c:invertIfNegative val="0"/>
          <c:dLbls>
            <c:dLbl>
              <c:idx val="0"/>
              <c:layout>
                <c:manualLayout>
                  <c:x val="5.8076231684837075E-3"/>
                  <c:y val="-1.0880458124555947E-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967-4E84-BB3C-C1D512E0A280}"/>
                </c:ext>
              </c:extLst>
            </c:dLbl>
            <c:dLbl>
              <c:idx val="1"/>
              <c:layout>
                <c:manualLayout>
                  <c:x val="0"/>
                  <c:y val="4.240515390121689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967-4E84-BB3C-C1D512E0A280}"/>
                </c:ext>
              </c:extLst>
            </c:dLbl>
            <c:dLbl>
              <c:idx val="2"/>
              <c:layout>
                <c:manualLayout>
                  <c:x val="0"/>
                  <c:y val="-9.454488188976377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967-4E84-BB3C-C1D512E0A280}"/>
                </c:ext>
              </c:extLst>
            </c:dLbl>
            <c:dLbl>
              <c:idx val="3"/>
              <c:layout>
                <c:manualLayout>
                  <c:x val="0"/>
                  <c:y val="2.320400858983469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B1F-4D00-B202-788E31F53D04}"/>
                </c:ext>
              </c:extLst>
            </c:dLbl>
            <c:spPr>
              <a:noFill/>
              <a:ln>
                <a:noFill/>
              </a:ln>
              <a:effectLst/>
            </c:spPr>
            <c:txPr>
              <a:bodyPr rot="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('RT03-F13 (mg)% '!$A$59,'RT03-F13 (mg)% '!$A$62,'RT03-F13 (mg)% '!$A$66:$A$68)</c:f>
              <c:strCache>
                <c:ptCount val="5"/>
                <c:pt idx="0">
                  <c:v>Proceso de pesaje</c:v>
                </c:pt>
                <c:pt idx="1">
                  <c:v>Pesa de referencia</c:v>
                </c:pt>
                <c:pt idx="2">
                  <c:v>Corrección por empuje del aire</c:v>
                </c:pt>
                <c:pt idx="3">
                  <c:v>Resolución balanza</c:v>
                </c:pt>
                <c:pt idx="4">
                  <c:v>Incertidumbre por repetibilidad del método</c:v>
                </c:pt>
              </c:strCache>
            </c:strRef>
          </c:cat>
          <c:val>
            <c:numRef>
              <c:f>('2 mg %'!$G$59,'2 mg %'!$G$62,'2 mg %'!$G$66:$G$67,'2 mg %'!$G$68)</c:f>
              <c:numCache>
                <c:formatCode>0%</c:formatCode>
                <c:ptCount val="5"/>
                <c:pt idx="0">
                  <c:v>0</c:v>
                </c:pt>
                <c:pt idx="1">
                  <c:v>#N/A</c:v>
                </c:pt>
                <c:pt idx="2">
                  <c:v>#N/A</c:v>
                </c:pt>
                <c:pt idx="3">
                  <c:v>#N/A</c:v>
                </c:pt>
                <c:pt idx="4">
                  <c:v>0</c:v>
                </c:pt>
              </c:numCache>
            </c:numRef>
          </c:val>
          <c:extLst>
            <c:ext xmlns:c16="http://schemas.microsoft.com/office/drawing/2014/chart" uri="{C3380CC4-5D6E-409C-BE32-E72D297353CC}">
              <c16:uniqueId val="{00000004-4967-4E84-BB3C-C1D512E0A280}"/>
            </c:ext>
          </c:extLst>
        </c:ser>
        <c:dLbls>
          <c:dLblPos val="inEnd"/>
          <c:showLegendKey val="0"/>
          <c:showVal val="1"/>
          <c:showCatName val="0"/>
          <c:showSerName val="0"/>
          <c:showPercent val="0"/>
          <c:showBubbleSize val="0"/>
        </c:dLbls>
        <c:gapWidth val="65"/>
        <c:axId val="191305216"/>
        <c:axId val="191316352"/>
      </c:barChart>
      <c:catAx>
        <c:axId val="191305216"/>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solidFill>
                <a:latin typeface="+mn-lt"/>
                <a:ea typeface="+mn-ea"/>
                <a:cs typeface="+mn-cs"/>
              </a:defRPr>
            </a:pPr>
            <a:endParaRPr lang="es-CO"/>
          </a:p>
        </c:txPr>
        <c:crossAx val="191316352"/>
        <c:crosses val="autoZero"/>
        <c:auto val="1"/>
        <c:lblAlgn val="ctr"/>
        <c:lblOffset val="100"/>
        <c:noMultiLvlLbl val="0"/>
      </c:catAx>
      <c:valAx>
        <c:axId val="191316352"/>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 sourceLinked="1"/>
        <c:majorTickMark val="none"/>
        <c:minorTickMark val="none"/>
        <c:tickLblPos val="nextTo"/>
        <c:crossAx val="191305216"/>
        <c:crosses val="autoZero"/>
        <c:crossBetween val="between"/>
      </c:valAx>
      <c:spPr>
        <a:noFill/>
        <a:ln>
          <a:noFill/>
        </a:ln>
        <a:effectLst/>
      </c:spPr>
    </c:plotArea>
    <c:plotVisOnly val="1"/>
    <c:dispBlanksAs val="gap"/>
    <c:showDLblsOverMax val="0"/>
  </c:chart>
  <c:spPr>
    <a:solidFill>
      <a:schemeClr val="accent6">
        <a:lumMod val="40000"/>
        <a:lumOff val="60000"/>
      </a:schemeClr>
    </a:solidFill>
    <a:ln w="12700" cap="flat" cmpd="sng" algn="ctr">
      <a:solidFill>
        <a:schemeClr val="dk1"/>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 hr</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%'!$A$135</c:f>
              <c:strCache>
                <c:ptCount val="1"/>
                <c:pt idx="0">
                  <c:v>Humedad</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6344235107210112"/>
                  <c:y val="-0.4621592842310675"/>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%'!$F$135:$F$137</c:f>
              <c:numCache>
                <c:formatCode>General</c:formatCode>
                <c:ptCount val="3"/>
                <c:pt idx="0">
                  <c:v>32.4</c:v>
                </c:pt>
                <c:pt idx="1">
                  <c:v>50.2</c:v>
                </c:pt>
                <c:pt idx="2">
                  <c:v>76.099999999999994</c:v>
                </c:pt>
              </c:numCache>
            </c:numRef>
          </c:xVal>
          <c:yVal>
            <c:numRef>
              <c:f>'DATOS %'!$H$135:$H$137</c:f>
              <c:numCache>
                <c:formatCode>#,##0.0</c:formatCode>
                <c:ptCount val="3"/>
                <c:pt idx="0">
                  <c:v>-2.4</c:v>
                </c:pt>
                <c:pt idx="1">
                  <c:v>-0.2</c:v>
                </c:pt>
                <c:pt idx="2">
                  <c:v>3.9</c:v>
                </c:pt>
              </c:numCache>
            </c:numRef>
          </c:yVal>
          <c:smooth val="0"/>
          <c:extLst>
            <c:ext xmlns:c16="http://schemas.microsoft.com/office/drawing/2014/chart" uri="{C3380CC4-5D6E-409C-BE32-E72D297353CC}">
              <c16:uniqueId val="{00000002-F821-46FF-A296-53657ADBF87B}"/>
            </c:ext>
          </c:extLst>
        </c:ser>
        <c:dLbls>
          <c:showLegendKey val="0"/>
          <c:showVal val="0"/>
          <c:showCatName val="0"/>
          <c:showSerName val="0"/>
          <c:showPercent val="0"/>
          <c:showBubbleSize val="0"/>
        </c:dLbls>
        <c:axId val="199648000"/>
        <c:axId val="199649536"/>
      </c:scatterChart>
      <c:valAx>
        <c:axId val="199648000"/>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99649536"/>
        <c:crosses val="autoZero"/>
        <c:crossBetween val="midCat"/>
      </c:valAx>
      <c:valAx>
        <c:axId val="199649536"/>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99648000"/>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°C</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%'!$A$132</c:f>
              <c:strCache>
                <c:ptCount val="1"/>
                <c:pt idx="0">
                  <c:v>Temperatura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6178014612986169"/>
                  <c:y val="-0.3781984125991343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%'!$F$132:$F$134</c:f>
              <c:numCache>
                <c:formatCode>General</c:formatCode>
                <c:ptCount val="3"/>
                <c:pt idx="0" formatCode="0.0">
                  <c:v>15.3</c:v>
                </c:pt>
                <c:pt idx="1">
                  <c:v>24.5</c:v>
                </c:pt>
                <c:pt idx="2">
                  <c:v>29.5</c:v>
                </c:pt>
              </c:numCache>
            </c:numRef>
          </c:xVal>
          <c:yVal>
            <c:numRef>
              <c:f>'DATOS %'!$H$132:$H$134</c:f>
              <c:numCache>
                <c:formatCode>General</c:formatCode>
                <c:ptCount val="3"/>
                <c:pt idx="0">
                  <c:v>-0.1</c:v>
                </c:pt>
                <c:pt idx="1">
                  <c:v>0.3</c:v>
                </c:pt>
                <c:pt idx="2">
                  <c:v>0.2</c:v>
                </c:pt>
              </c:numCache>
            </c:numRef>
          </c:yVal>
          <c:smooth val="0"/>
          <c:extLst>
            <c:ext xmlns:c16="http://schemas.microsoft.com/office/drawing/2014/chart" uri="{C3380CC4-5D6E-409C-BE32-E72D297353CC}">
              <c16:uniqueId val="{00000002-272B-44E9-A020-57D5F35563C7}"/>
            </c:ext>
          </c:extLst>
        </c:ser>
        <c:dLbls>
          <c:showLegendKey val="0"/>
          <c:showVal val="0"/>
          <c:showCatName val="0"/>
          <c:showSerName val="0"/>
          <c:showPercent val="0"/>
          <c:showBubbleSize val="0"/>
        </c:dLbls>
        <c:axId val="199823360"/>
        <c:axId val="199824896"/>
      </c:scatterChart>
      <c:valAx>
        <c:axId val="199823360"/>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0.0"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99824896"/>
        <c:crosses val="autoZero"/>
        <c:crossBetween val="midCat"/>
      </c:valAx>
      <c:valAx>
        <c:axId val="199824896"/>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99823360"/>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°C</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%'!$A$142</c:f>
              <c:strCache>
                <c:ptCount val="1"/>
                <c:pt idx="0">
                  <c:v>Temperatura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5318142375060259"/>
                  <c:y val="-0.53422985763143238"/>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%'!$F$142:$F$144</c:f>
              <c:numCache>
                <c:formatCode>General</c:formatCode>
                <c:ptCount val="3"/>
                <c:pt idx="0" formatCode="0.0">
                  <c:v>15.3</c:v>
                </c:pt>
                <c:pt idx="1">
                  <c:v>24.8</c:v>
                </c:pt>
                <c:pt idx="2">
                  <c:v>29.6</c:v>
                </c:pt>
              </c:numCache>
            </c:numRef>
          </c:xVal>
          <c:yVal>
            <c:numRef>
              <c:f>'DATOS %'!$H$142:$H$144</c:f>
              <c:numCache>
                <c:formatCode>0.0</c:formatCode>
                <c:ptCount val="3"/>
                <c:pt idx="0">
                  <c:v>-0.1</c:v>
                </c:pt>
                <c:pt idx="1">
                  <c:v>0</c:v>
                </c:pt>
                <c:pt idx="2" formatCode="General">
                  <c:v>0.1</c:v>
                </c:pt>
              </c:numCache>
            </c:numRef>
          </c:yVal>
          <c:smooth val="0"/>
          <c:extLst>
            <c:ext xmlns:c16="http://schemas.microsoft.com/office/drawing/2014/chart" uri="{C3380CC4-5D6E-409C-BE32-E72D297353CC}">
              <c16:uniqueId val="{00000002-87DD-4F36-BFC0-C819B78BD6FF}"/>
            </c:ext>
          </c:extLst>
        </c:ser>
        <c:dLbls>
          <c:showLegendKey val="0"/>
          <c:showVal val="0"/>
          <c:showCatName val="0"/>
          <c:showSerName val="0"/>
          <c:showPercent val="0"/>
          <c:showBubbleSize val="0"/>
        </c:dLbls>
        <c:axId val="199879680"/>
        <c:axId val="199889664"/>
      </c:scatterChart>
      <c:valAx>
        <c:axId val="199879680"/>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0.0"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99889664"/>
        <c:crosses val="autoZero"/>
        <c:crossBetween val="midCat"/>
      </c:valAx>
      <c:valAx>
        <c:axId val="199889664"/>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99879680"/>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 hr</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%'!$A$145</c:f>
              <c:strCache>
                <c:ptCount val="1"/>
                <c:pt idx="0">
                  <c:v>Humedad</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6344235107210112"/>
                  <c:y val="-0.4621592842310675"/>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%'!$F$145:$F$147</c:f>
              <c:numCache>
                <c:formatCode>General</c:formatCode>
                <c:ptCount val="3"/>
                <c:pt idx="0">
                  <c:v>32.299999999999997</c:v>
                </c:pt>
                <c:pt idx="1">
                  <c:v>50.6</c:v>
                </c:pt>
                <c:pt idx="2">
                  <c:v>68.599999999999994</c:v>
                </c:pt>
              </c:numCache>
            </c:numRef>
          </c:xVal>
          <c:yVal>
            <c:numRef>
              <c:f>'DATOS %'!$H$145:$H$147</c:f>
              <c:numCache>
                <c:formatCode>General</c:formatCode>
                <c:ptCount val="3"/>
                <c:pt idx="0">
                  <c:v>-2.2999999999999998</c:v>
                </c:pt>
                <c:pt idx="1">
                  <c:v>-0.6</c:v>
                </c:pt>
                <c:pt idx="2">
                  <c:v>1.4</c:v>
                </c:pt>
              </c:numCache>
            </c:numRef>
          </c:yVal>
          <c:smooth val="0"/>
          <c:extLst>
            <c:ext xmlns:c16="http://schemas.microsoft.com/office/drawing/2014/chart" uri="{C3380CC4-5D6E-409C-BE32-E72D297353CC}">
              <c16:uniqueId val="{00000002-7EE9-4C75-BE60-27A91AA276E4}"/>
            </c:ext>
          </c:extLst>
        </c:ser>
        <c:dLbls>
          <c:showLegendKey val="0"/>
          <c:showVal val="0"/>
          <c:showCatName val="0"/>
          <c:showSerName val="0"/>
          <c:showPercent val="0"/>
          <c:showBubbleSize val="0"/>
        </c:dLbls>
        <c:axId val="199940352"/>
        <c:axId val="199954432"/>
      </c:scatterChart>
      <c:valAx>
        <c:axId val="199940352"/>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99954432"/>
        <c:crosses val="autoZero"/>
        <c:crossBetween val="midCat"/>
      </c:valAx>
      <c:valAx>
        <c:axId val="199954432"/>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99940352"/>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hPa</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%'!$A$148</c:f>
              <c:strCache>
                <c:ptCount val="1"/>
                <c:pt idx="0">
                  <c:v>Presión Atmosférica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26441550862467911"/>
                  <c:y val="-0.5535973003374578"/>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%'!$F$148:$F$150</c:f>
              <c:numCache>
                <c:formatCode>General</c:formatCode>
                <c:ptCount val="3"/>
                <c:pt idx="0" formatCode="0.0">
                  <c:v>397.74599999999998</c:v>
                </c:pt>
                <c:pt idx="1">
                  <c:v>752.61900000000003</c:v>
                </c:pt>
                <c:pt idx="2">
                  <c:v>1098.8340000000001</c:v>
                </c:pt>
              </c:numCache>
            </c:numRef>
          </c:xVal>
          <c:yVal>
            <c:numRef>
              <c:f>'DATOS %'!$H$148:$H$150</c:f>
              <c:numCache>
                <c:formatCode>0.000</c:formatCode>
                <c:ptCount val="3"/>
                <c:pt idx="0" formatCode="0.00">
                  <c:v>2.33</c:v>
                </c:pt>
                <c:pt idx="1">
                  <c:v>0.99099999999999999</c:v>
                </c:pt>
                <c:pt idx="2" formatCode="0.00">
                  <c:v>0.74</c:v>
                </c:pt>
              </c:numCache>
            </c:numRef>
          </c:yVal>
          <c:smooth val="0"/>
          <c:extLst>
            <c:ext xmlns:c16="http://schemas.microsoft.com/office/drawing/2014/chart" uri="{C3380CC4-5D6E-409C-BE32-E72D297353CC}">
              <c16:uniqueId val="{00000002-E467-4594-AAE3-A4A4107888D1}"/>
            </c:ext>
          </c:extLst>
        </c:ser>
        <c:dLbls>
          <c:showLegendKey val="0"/>
          <c:showVal val="0"/>
          <c:showCatName val="0"/>
          <c:showSerName val="0"/>
          <c:showPercent val="0"/>
          <c:showBubbleSize val="0"/>
        </c:dLbls>
        <c:axId val="199992448"/>
        <c:axId val="199993984"/>
      </c:scatterChart>
      <c:valAx>
        <c:axId val="199992448"/>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0.0"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99993984"/>
        <c:crosses val="autoZero"/>
        <c:crossBetween val="midCat"/>
      </c:valAx>
      <c:valAx>
        <c:axId val="199993984"/>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99992448"/>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°C</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%'!$A$152</c:f>
              <c:strCache>
                <c:ptCount val="1"/>
                <c:pt idx="0">
                  <c:v>Temperatura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6178014612986169"/>
                  <c:y val="-0.3781984125991343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%'!$F$152:$F$154</c:f>
              <c:numCache>
                <c:formatCode>General</c:formatCode>
                <c:ptCount val="3"/>
                <c:pt idx="0">
                  <c:v>15.2</c:v>
                </c:pt>
                <c:pt idx="1">
                  <c:v>24.8</c:v>
                </c:pt>
                <c:pt idx="2" formatCode="0.0">
                  <c:v>29.8</c:v>
                </c:pt>
              </c:numCache>
            </c:numRef>
          </c:xVal>
          <c:yVal>
            <c:numRef>
              <c:f>'DATOS %'!$H$152:$H$154</c:f>
              <c:numCache>
                <c:formatCode>0.0</c:formatCode>
                <c:ptCount val="3"/>
                <c:pt idx="0">
                  <c:v>0</c:v>
                </c:pt>
                <c:pt idx="1">
                  <c:v>0</c:v>
                </c:pt>
                <c:pt idx="2">
                  <c:v>-0.1</c:v>
                </c:pt>
              </c:numCache>
            </c:numRef>
          </c:yVal>
          <c:smooth val="0"/>
          <c:extLst>
            <c:ext xmlns:c16="http://schemas.microsoft.com/office/drawing/2014/chart" uri="{C3380CC4-5D6E-409C-BE32-E72D297353CC}">
              <c16:uniqueId val="{00000002-C883-4177-AB49-FE8196CB3993}"/>
            </c:ext>
          </c:extLst>
        </c:ser>
        <c:dLbls>
          <c:showLegendKey val="0"/>
          <c:showVal val="0"/>
          <c:showCatName val="0"/>
          <c:showSerName val="0"/>
          <c:showPercent val="0"/>
          <c:showBubbleSize val="0"/>
        </c:dLbls>
        <c:axId val="200040832"/>
        <c:axId val="200042368"/>
      </c:scatterChart>
      <c:valAx>
        <c:axId val="200040832"/>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00042368"/>
        <c:crosses val="autoZero"/>
        <c:crossBetween val="midCat"/>
      </c:valAx>
      <c:valAx>
        <c:axId val="200042368"/>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00040832"/>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 hr</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%'!$A$155</c:f>
              <c:strCache>
                <c:ptCount val="1"/>
                <c:pt idx="0">
                  <c:v>Humedad</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6344235107210112"/>
                  <c:y val="-0.4621592842310675"/>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%'!$F$155:$F$157</c:f>
              <c:numCache>
                <c:formatCode>General</c:formatCode>
                <c:ptCount val="3"/>
                <c:pt idx="0">
                  <c:v>32.9</c:v>
                </c:pt>
                <c:pt idx="1">
                  <c:v>51.2</c:v>
                </c:pt>
                <c:pt idx="2">
                  <c:v>77.599999999999994</c:v>
                </c:pt>
              </c:numCache>
            </c:numRef>
          </c:xVal>
          <c:yVal>
            <c:numRef>
              <c:f>'DATOS %'!$H$155:$H$157</c:f>
              <c:numCache>
                <c:formatCode>General</c:formatCode>
                <c:ptCount val="3"/>
                <c:pt idx="0" formatCode="0.0">
                  <c:v>-3</c:v>
                </c:pt>
                <c:pt idx="1">
                  <c:v>-1.2</c:v>
                </c:pt>
                <c:pt idx="2">
                  <c:v>2.4</c:v>
                </c:pt>
              </c:numCache>
            </c:numRef>
          </c:yVal>
          <c:smooth val="0"/>
          <c:extLst>
            <c:ext xmlns:c16="http://schemas.microsoft.com/office/drawing/2014/chart" uri="{C3380CC4-5D6E-409C-BE32-E72D297353CC}">
              <c16:uniqueId val="{00000002-716F-49E8-984D-0A10A3F3A37F}"/>
            </c:ext>
          </c:extLst>
        </c:ser>
        <c:dLbls>
          <c:showLegendKey val="0"/>
          <c:showVal val="0"/>
          <c:showCatName val="0"/>
          <c:showSerName val="0"/>
          <c:showPercent val="0"/>
          <c:showBubbleSize val="0"/>
        </c:dLbls>
        <c:axId val="199183744"/>
        <c:axId val="199193728"/>
      </c:scatterChart>
      <c:valAx>
        <c:axId val="199183744"/>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99193728"/>
        <c:crosses val="autoZero"/>
        <c:crossBetween val="midCat"/>
      </c:valAx>
      <c:valAx>
        <c:axId val="199193728"/>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99183744"/>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hPa</a:t>
            </a:r>
          </a:p>
        </c:rich>
      </c:tx>
      <c:layout>
        <c:manualLayout>
          <c:xMode val="edge"/>
          <c:yMode val="edge"/>
          <c:x val="0.23546721744136218"/>
          <c:y val="3.5384364330029824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manualLayout>
          <c:layoutTarget val="inner"/>
          <c:xMode val="edge"/>
          <c:yMode val="edge"/>
          <c:x val="0.18465998016790691"/>
          <c:y val="4.3018332204761214E-2"/>
          <c:w val="0.72290334957620117"/>
          <c:h val="0.5989202710053172"/>
        </c:manualLayout>
      </c:layout>
      <c:scatterChart>
        <c:scatterStyle val="lineMarker"/>
        <c:varyColors val="0"/>
        <c:ser>
          <c:idx val="0"/>
          <c:order val="0"/>
          <c:tx>
            <c:strRef>
              <c:f>'DATOS %'!$A$158</c:f>
              <c:strCache>
                <c:ptCount val="1"/>
                <c:pt idx="0">
                  <c:v>Presión Atmosférica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8799019138212303"/>
                  <c:y val="0.1602772645665503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%'!$F$158:$F$160</c:f>
              <c:numCache>
                <c:formatCode>#,##0.000</c:formatCode>
                <c:ptCount val="3"/>
                <c:pt idx="0">
                  <c:v>598.11699999999996</c:v>
                </c:pt>
                <c:pt idx="1">
                  <c:v>752.81600000000003</c:v>
                </c:pt>
                <c:pt idx="2">
                  <c:v>848.553</c:v>
                </c:pt>
              </c:numCache>
            </c:numRef>
          </c:xVal>
          <c:yVal>
            <c:numRef>
              <c:f>'DATOS %'!$H$158:$H$160</c:f>
              <c:numCache>
                <c:formatCode>General</c:formatCode>
                <c:ptCount val="3"/>
                <c:pt idx="0">
                  <c:v>1.4450000000000001</c:v>
                </c:pt>
                <c:pt idx="1">
                  <c:v>0.95399999999999996</c:v>
                </c:pt>
                <c:pt idx="2">
                  <c:v>0.70399999999999996</c:v>
                </c:pt>
              </c:numCache>
            </c:numRef>
          </c:yVal>
          <c:smooth val="0"/>
          <c:extLst>
            <c:ext xmlns:c16="http://schemas.microsoft.com/office/drawing/2014/chart" uri="{C3380CC4-5D6E-409C-BE32-E72D297353CC}">
              <c16:uniqueId val="{00000002-C466-4163-8234-D6F3999C017B}"/>
            </c:ext>
          </c:extLst>
        </c:ser>
        <c:dLbls>
          <c:showLegendKey val="0"/>
          <c:showVal val="0"/>
          <c:showCatName val="0"/>
          <c:showSerName val="0"/>
          <c:showPercent val="0"/>
          <c:showBubbleSize val="0"/>
        </c:dLbls>
        <c:axId val="199211648"/>
        <c:axId val="199233920"/>
      </c:scatterChart>
      <c:valAx>
        <c:axId val="199211648"/>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99233920"/>
        <c:crosses val="autoZero"/>
        <c:crossBetween val="midCat"/>
      </c:valAx>
      <c:valAx>
        <c:axId val="199233920"/>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99211648"/>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hPa</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%'!$A$168</c:f>
              <c:strCache>
                <c:ptCount val="1"/>
                <c:pt idx="0">
                  <c:v>Presión Atmosférica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25490575143506183"/>
                  <c:y val="-0.3384821182857571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%'!$F$168:$F$170</c:f>
              <c:numCache>
                <c:formatCode>0.000</c:formatCode>
                <c:ptCount val="3"/>
                <c:pt idx="0">
                  <c:v>598.08199999999999</c:v>
                </c:pt>
                <c:pt idx="1">
                  <c:v>752.79499999999996</c:v>
                </c:pt>
                <c:pt idx="2">
                  <c:v>848.6</c:v>
                </c:pt>
              </c:numCache>
            </c:numRef>
          </c:xVal>
          <c:yVal>
            <c:numRef>
              <c:f>'DATOS %'!$H$168:$H$170</c:f>
              <c:numCache>
                <c:formatCode>0.000</c:formatCode>
                <c:ptCount val="3"/>
                <c:pt idx="0" formatCode="General">
                  <c:v>1.4830000000000001</c:v>
                </c:pt>
                <c:pt idx="1">
                  <c:v>0.97299999999999998</c:v>
                </c:pt>
                <c:pt idx="2" formatCode="General">
                  <c:v>0.65600000000000003</c:v>
                </c:pt>
              </c:numCache>
            </c:numRef>
          </c:yVal>
          <c:smooth val="0"/>
          <c:extLst>
            <c:ext xmlns:c16="http://schemas.microsoft.com/office/drawing/2014/chart" uri="{C3380CC4-5D6E-409C-BE32-E72D297353CC}">
              <c16:uniqueId val="{00000002-8BC9-4DF2-BD4A-60C72AD2DADC}"/>
            </c:ext>
          </c:extLst>
        </c:ser>
        <c:dLbls>
          <c:showLegendKey val="0"/>
          <c:showVal val="0"/>
          <c:showCatName val="0"/>
          <c:showSerName val="0"/>
          <c:showPercent val="0"/>
          <c:showBubbleSize val="0"/>
        </c:dLbls>
        <c:axId val="199284608"/>
        <c:axId val="199286144"/>
      </c:scatterChart>
      <c:valAx>
        <c:axId val="199284608"/>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99286144"/>
        <c:crosses val="autoZero"/>
        <c:crossBetween val="midCat"/>
      </c:valAx>
      <c:valAx>
        <c:axId val="199286144"/>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99284608"/>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 hr</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%'!$A$165</c:f>
              <c:strCache>
                <c:ptCount val="1"/>
                <c:pt idx="0">
                  <c:v>Humedad</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6344235107210112"/>
                  <c:y val="-0.4621592842310675"/>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%'!$F$165:$F$167</c:f>
              <c:numCache>
                <c:formatCode>General</c:formatCode>
                <c:ptCount val="3"/>
                <c:pt idx="0">
                  <c:v>33.200000000000003</c:v>
                </c:pt>
                <c:pt idx="1">
                  <c:v>51.4</c:v>
                </c:pt>
                <c:pt idx="2">
                  <c:v>77.599999999999994</c:v>
                </c:pt>
              </c:numCache>
            </c:numRef>
          </c:xVal>
          <c:yVal>
            <c:numRef>
              <c:f>'DATOS %'!$H$165:$H$167</c:f>
              <c:numCache>
                <c:formatCode>General</c:formatCode>
                <c:ptCount val="3"/>
                <c:pt idx="0">
                  <c:v>-3.2</c:v>
                </c:pt>
                <c:pt idx="1">
                  <c:v>-1.5</c:v>
                </c:pt>
                <c:pt idx="2">
                  <c:v>2.5</c:v>
                </c:pt>
              </c:numCache>
            </c:numRef>
          </c:yVal>
          <c:smooth val="0"/>
          <c:extLst>
            <c:ext xmlns:c16="http://schemas.microsoft.com/office/drawing/2014/chart" uri="{C3380CC4-5D6E-409C-BE32-E72D297353CC}">
              <c16:uniqueId val="{00000002-3D4C-4D6E-9DCB-C03EC85CC133}"/>
            </c:ext>
          </c:extLst>
        </c:ser>
        <c:dLbls>
          <c:showLegendKey val="0"/>
          <c:showVal val="0"/>
          <c:showCatName val="0"/>
          <c:showSerName val="0"/>
          <c:showPercent val="0"/>
          <c:showBubbleSize val="0"/>
        </c:dLbls>
        <c:axId val="199337088"/>
        <c:axId val="199338624"/>
      </c:scatterChart>
      <c:valAx>
        <c:axId val="199337088"/>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99338624"/>
        <c:crosses val="autoZero"/>
        <c:crossBetween val="midCat"/>
      </c:valAx>
      <c:valAx>
        <c:axId val="199338624"/>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99337088"/>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800" b="1" i="0" u="none" strike="noStrike" kern="1200" baseline="0">
              <a:solidFill>
                <a:schemeClr val="dk1"/>
              </a:solidFill>
              <a:latin typeface="+mn-lt"/>
              <a:ea typeface="+mn-ea"/>
              <a:cs typeface="+mn-cs"/>
            </a:defRPr>
          </a:pPr>
          <a:endParaRPr lang="es-CO"/>
        </a:p>
      </c:txPr>
    </c:title>
    <c:autoTitleDeleted val="0"/>
    <c:plotArea>
      <c:layout/>
      <c:barChart>
        <c:barDir val="col"/>
        <c:grouping val="clustered"/>
        <c:varyColors val="0"/>
        <c:ser>
          <c:idx val="0"/>
          <c:order val="0"/>
          <c:tx>
            <c:strRef>
              <c:f>'2 mg + % '!$G$58</c:f>
              <c:strCache>
                <c:ptCount val="1"/>
                <c:pt idx="0">
                  <c:v>Aporte a la Incertidumbre</c:v>
                </c:pt>
              </c:strCache>
            </c:strRef>
          </c:tx>
          <c:spPr>
            <a:solidFill>
              <a:schemeClr val="accent2">
                <a:alpha val="85000"/>
              </a:schemeClr>
            </a:solidFill>
            <a:ln w="9525" cap="flat" cmpd="sng" algn="ctr">
              <a:solidFill>
                <a:schemeClr val="lt1">
                  <a:alpha val="50000"/>
                </a:schemeClr>
              </a:solidFill>
              <a:round/>
            </a:ln>
            <a:effectLst/>
          </c:spPr>
          <c:invertIfNegative val="0"/>
          <c:dLbls>
            <c:dLbl>
              <c:idx val="2"/>
              <c:layout>
                <c:manualLayout>
                  <c:x val="0"/>
                  <c:y val="-9.454488188976377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5A1-477E-858F-DF5AED3594B8}"/>
                </c:ext>
              </c:extLst>
            </c:dLbl>
            <c:dLbl>
              <c:idx val="3"/>
              <c:layout>
                <c:manualLayout>
                  <c:x val="0"/>
                  <c:y val="2.320400858983469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73D-4105-A3C5-A0B0CAFCD2C3}"/>
                </c:ext>
              </c:extLst>
            </c:dLbl>
            <c:spPr>
              <a:noFill/>
              <a:ln>
                <a:noFill/>
              </a:ln>
              <a:effectLst/>
            </c:spPr>
            <c:txPr>
              <a:bodyPr rot="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('RT03-F13 (mg)% '!$A$59,'RT03-F13 (mg)% '!$A$62,'RT03-F13 (mg)% '!$A$66:$A$68)</c:f>
              <c:strCache>
                <c:ptCount val="5"/>
                <c:pt idx="0">
                  <c:v>Proceso de pesaje</c:v>
                </c:pt>
                <c:pt idx="1">
                  <c:v>Pesa de referencia</c:v>
                </c:pt>
                <c:pt idx="2">
                  <c:v>Corrección por empuje del aire</c:v>
                </c:pt>
                <c:pt idx="3">
                  <c:v>Resolución balanza</c:v>
                </c:pt>
                <c:pt idx="4">
                  <c:v>Incertidumbre por repetibilidad del método</c:v>
                </c:pt>
              </c:strCache>
            </c:strRef>
          </c:cat>
          <c:val>
            <c:numRef>
              <c:f>('2 mg + % '!$G$59,'2 mg + % '!$G$62,'2 mg + % '!$G$66:$G$67,'2 mg + % '!$G$68)</c:f>
              <c:numCache>
                <c:formatCode>0%</c:formatCode>
                <c:ptCount val="5"/>
                <c:pt idx="0">
                  <c:v>0</c:v>
                </c:pt>
                <c:pt idx="1">
                  <c:v>#N/A</c:v>
                </c:pt>
                <c:pt idx="2">
                  <c:v>#N/A</c:v>
                </c:pt>
                <c:pt idx="3">
                  <c:v>#N/A</c:v>
                </c:pt>
                <c:pt idx="4">
                  <c:v>0</c:v>
                </c:pt>
              </c:numCache>
            </c:numRef>
          </c:val>
          <c:extLst>
            <c:ext xmlns:c16="http://schemas.microsoft.com/office/drawing/2014/chart" uri="{C3380CC4-5D6E-409C-BE32-E72D297353CC}">
              <c16:uniqueId val="{00000004-25A1-477E-858F-DF5AED3594B8}"/>
            </c:ext>
          </c:extLst>
        </c:ser>
        <c:dLbls>
          <c:dLblPos val="inEnd"/>
          <c:showLegendKey val="0"/>
          <c:showVal val="1"/>
          <c:showCatName val="0"/>
          <c:showSerName val="0"/>
          <c:showPercent val="0"/>
          <c:showBubbleSize val="0"/>
        </c:dLbls>
        <c:gapWidth val="65"/>
        <c:axId val="191753600"/>
        <c:axId val="192026880"/>
      </c:barChart>
      <c:catAx>
        <c:axId val="191753600"/>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solidFill>
                <a:latin typeface="+mn-lt"/>
                <a:ea typeface="+mn-ea"/>
                <a:cs typeface="+mn-cs"/>
              </a:defRPr>
            </a:pPr>
            <a:endParaRPr lang="es-CO"/>
          </a:p>
        </c:txPr>
        <c:crossAx val="192026880"/>
        <c:crosses val="autoZero"/>
        <c:auto val="1"/>
        <c:lblAlgn val="ctr"/>
        <c:lblOffset val="100"/>
        <c:noMultiLvlLbl val="0"/>
      </c:catAx>
      <c:valAx>
        <c:axId val="192026880"/>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 sourceLinked="1"/>
        <c:majorTickMark val="none"/>
        <c:minorTickMark val="none"/>
        <c:tickLblPos val="nextTo"/>
        <c:crossAx val="191753600"/>
        <c:crosses val="autoZero"/>
        <c:crossBetween val="between"/>
      </c:valAx>
      <c:spPr>
        <a:noFill/>
        <a:ln>
          <a:noFill/>
        </a:ln>
        <a:effectLst/>
      </c:spPr>
    </c:plotArea>
    <c:plotVisOnly val="1"/>
    <c:dispBlanksAs val="gap"/>
    <c:showDLblsOverMax val="0"/>
  </c:chart>
  <c:spPr>
    <a:solidFill>
      <a:schemeClr val="accent6">
        <a:lumMod val="40000"/>
        <a:lumOff val="60000"/>
      </a:schemeClr>
    </a:solidFill>
    <a:ln w="12700" cap="flat" cmpd="sng" algn="ctr">
      <a:solidFill>
        <a:schemeClr val="dk1"/>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°C</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%'!$A$162</c:f>
              <c:strCache>
                <c:ptCount val="1"/>
                <c:pt idx="0">
                  <c:v>Temperatura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3.4409899025657283E-2"/>
                  <c:y val="-0.51662350542075985"/>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%'!$F$162:$F$164</c:f>
              <c:numCache>
                <c:formatCode>0.0</c:formatCode>
                <c:ptCount val="3"/>
                <c:pt idx="0" formatCode="General">
                  <c:v>15.1</c:v>
                </c:pt>
                <c:pt idx="1">
                  <c:v>24.8</c:v>
                </c:pt>
                <c:pt idx="2">
                  <c:v>29.7</c:v>
                </c:pt>
              </c:numCache>
            </c:numRef>
          </c:xVal>
          <c:yVal>
            <c:numRef>
              <c:f>'DATOS %'!$H$162:$H$164</c:f>
              <c:numCache>
                <c:formatCode>0.0</c:formatCode>
                <c:ptCount val="3"/>
                <c:pt idx="0">
                  <c:v>0.2</c:v>
                </c:pt>
                <c:pt idx="1">
                  <c:v>-0.1</c:v>
                </c:pt>
                <c:pt idx="2">
                  <c:v>-0.3</c:v>
                </c:pt>
              </c:numCache>
            </c:numRef>
          </c:yVal>
          <c:smooth val="0"/>
          <c:extLst>
            <c:ext xmlns:c16="http://schemas.microsoft.com/office/drawing/2014/chart" uri="{C3380CC4-5D6E-409C-BE32-E72D297353CC}">
              <c16:uniqueId val="{00000002-4093-48F7-89B4-B1EDC50DD858}"/>
            </c:ext>
          </c:extLst>
        </c:ser>
        <c:dLbls>
          <c:showLegendKey val="0"/>
          <c:showVal val="0"/>
          <c:showCatName val="0"/>
          <c:showSerName val="0"/>
          <c:showPercent val="0"/>
          <c:showBubbleSize val="0"/>
        </c:dLbls>
        <c:axId val="203665792"/>
        <c:axId val="203667328"/>
      </c:scatterChart>
      <c:valAx>
        <c:axId val="203665792"/>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03667328"/>
        <c:crosses val="autoZero"/>
        <c:crossBetween val="midCat"/>
      </c:valAx>
      <c:valAx>
        <c:axId val="203667328"/>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03665792"/>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800" b="1" i="0" u="none" strike="noStrike" kern="1200" baseline="0">
              <a:solidFill>
                <a:schemeClr val="dk1"/>
              </a:solidFill>
              <a:latin typeface="+mn-lt"/>
              <a:ea typeface="+mn-ea"/>
              <a:cs typeface="+mn-cs"/>
            </a:defRPr>
          </a:pPr>
          <a:endParaRPr lang="es-CO"/>
        </a:p>
      </c:txPr>
    </c:title>
    <c:autoTitleDeleted val="0"/>
    <c:plotArea>
      <c:layout/>
      <c:barChart>
        <c:barDir val="col"/>
        <c:grouping val="clustered"/>
        <c:varyColors val="0"/>
        <c:ser>
          <c:idx val="0"/>
          <c:order val="0"/>
          <c:tx>
            <c:strRef>
              <c:f>'1 g %'!$G$58</c:f>
              <c:strCache>
                <c:ptCount val="1"/>
                <c:pt idx="0">
                  <c:v>Aporte a la Incertidumbre</c:v>
                </c:pt>
              </c:strCache>
            </c:strRef>
          </c:tx>
          <c:spPr>
            <a:solidFill>
              <a:schemeClr val="accent2">
                <a:alpha val="85000"/>
              </a:schemeClr>
            </a:solidFill>
            <a:ln w="9525" cap="flat" cmpd="sng" algn="ctr">
              <a:solidFill>
                <a:schemeClr val="lt1">
                  <a:alpha val="50000"/>
                </a:schemeClr>
              </a:solidFill>
              <a:round/>
            </a:ln>
            <a:effectLst/>
          </c:spPr>
          <c:invertIfNegative val="0"/>
          <c:dLbls>
            <c:dLbl>
              <c:idx val="0"/>
              <c:layout>
                <c:manualLayout>
                  <c:x val="5.8076231684837075E-3"/>
                  <c:y val="-1.0880458124555947E-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7E5-4347-AA7D-A85C05950008}"/>
                </c:ext>
              </c:extLst>
            </c:dLbl>
            <c:dLbl>
              <c:idx val="1"/>
              <c:layout>
                <c:manualLayout>
                  <c:x val="0"/>
                  <c:y val="4.240515390121689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7E5-4347-AA7D-A85C05950008}"/>
                </c:ext>
              </c:extLst>
            </c:dLbl>
            <c:dLbl>
              <c:idx val="2"/>
              <c:layout>
                <c:manualLayout>
                  <c:x val="0"/>
                  <c:y val="-9.454488188976377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7E5-4347-AA7D-A85C05950008}"/>
                </c:ext>
              </c:extLst>
            </c:dLbl>
            <c:dLbl>
              <c:idx val="3"/>
              <c:layout>
                <c:manualLayout>
                  <c:x val="0"/>
                  <c:y val="2.320400858983469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7E5-4347-AA7D-A85C05950008}"/>
                </c:ext>
              </c:extLst>
            </c:dLbl>
            <c:spPr>
              <a:noFill/>
              <a:ln>
                <a:noFill/>
              </a:ln>
              <a:effectLst/>
            </c:spPr>
            <c:txPr>
              <a:bodyPr rot="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('RT03-F13 (mg)% '!$A$59,'RT03-F13 (mg)% '!$A$62,'RT03-F13 (mg)% '!$A$66:$A$68)</c:f>
              <c:strCache>
                <c:ptCount val="5"/>
                <c:pt idx="0">
                  <c:v>Proceso de pesaje</c:v>
                </c:pt>
                <c:pt idx="1">
                  <c:v>Pesa de referencia</c:v>
                </c:pt>
                <c:pt idx="2">
                  <c:v>Corrección por empuje del aire</c:v>
                </c:pt>
                <c:pt idx="3">
                  <c:v>Resolución balanza</c:v>
                </c:pt>
                <c:pt idx="4">
                  <c:v>Incertidumbre por repetibilidad del método</c:v>
                </c:pt>
              </c:strCache>
            </c:strRef>
          </c:cat>
          <c:val>
            <c:numRef>
              <c:f>('1 g %'!$G$59,'1 g %'!$G$62,'1 g %'!$G$66:$G$68)</c:f>
              <c:numCache>
                <c:formatCode>0%</c:formatCode>
                <c:ptCount val="5"/>
                <c:pt idx="0">
                  <c:v>0</c:v>
                </c:pt>
                <c:pt idx="1">
                  <c:v>#N/A</c:v>
                </c:pt>
                <c:pt idx="2">
                  <c:v>#N/A</c:v>
                </c:pt>
                <c:pt idx="3">
                  <c:v>#N/A</c:v>
                </c:pt>
                <c:pt idx="4">
                  <c:v>0</c:v>
                </c:pt>
              </c:numCache>
            </c:numRef>
          </c:val>
          <c:extLst>
            <c:ext xmlns:c16="http://schemas.microsoft.com/office/drawing/2014/chart" uri="{C3380CC4-5D6E-409C-BE32-E72D297353CC}">
              <c16:uniqueId val="{00000004-A7E5-4347-AA7D-A85C05950008}"/>
            </c:ext>
          </c:extLst>
        </c:ser>
        <c:dLbls>
          <c:dLblPos val="inEnd"/>
          <c:showLegendKey val="0"/>
          <c:showVal val="1"/>
          <c:showCatName val="0"/>
          <c:showSerName val="0"/>
          <c:showPercent val="0"/>
          <c:showBubbleSize val="0"/>
        </c:dLbls>
        <c:gapWidth val="65"/>
        <c:axId val="204033024"/>
        <c:axId val="204048256"/>
      </c:barChart>
      <c:catAx>
        <c:axId val="204033024"/>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solidFill>
                <a:latin typeface="+mn-lt"/>
                <a:ea typeface="+mn-ea"/>
                <a:cs typeface="+mn-cs"/>
              </a:defRPr>
            </a:pPr>
            <a:endParaRPr lang="es-CO"/>
          </a:p>
        </c:txPr>
        <c:crossAx val="204048256"/>
        <c:crosses val="autoZero"/>
        <c:auto val="1"/>
        <c:lblAlgn val="ctr"/>
        <c:lblOffset val="100"/>
        <c:noMultiLvlLbl val="0"/>
      </c:catAx>
      <c:valAx>
        <c:axId val="204048256"/>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 sourceLinked="1"/>
        <c:majorTickMark val="none"/>
        <c:minorTickMark val="none"/>
        <c:tickLblPos val="nextTo"/>
        <c:crossAx val="204033024"/>
        <c:crosses val="autoZero"/>
        <c:crossBetween val="between"/>
      </c:valAx>
      <c:spPr>
        <a:noFill/>
        <a:ln>
          <a:noFill/>
        </a:ln>
        <a:effectLst/>
      </c:spPr>
    </c:plotArea>
    <c:plotVisOnly val="1"/>
    <c:dispBlanksAs val="gap"/>
    <c:showDLblsOverMax val="0"/>
  </c:chart>
  <c:spPr>
    <a:solidFill>
      <a:schemeClr val="accent6">
        <a:lumMod val="40000"/>
        <a:lumOff val="60000"/>
      </a:schemeClr>
    </a:solidFill>
    <a:ln w="12700" cap="flat" cmpd="sng" algn="ctr">
      <a:solidFill>
        <a:schemeClr val="dk1"/>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800" b="1" i="0" u="none" strike="noStrike" kern="1200" baseline="0">
              <a:solidFill>
                <a:schemeClr val="dk1"/>
              </a:solidFill>
              <a:latin typeface="+mn-lt"/>
              <a:ea typeface="+mn-ea"/>
              <a:cs typeface="+mn-cs"/>
            </a:defRPr>
          </a:pPr>
          <a:endParaRPr lang="es-CO"/>
        </a:p>
      </c:txPr>
    </c:title>
    <c:autoTitleDeleted val="0"/>
    <c:plotArea>
      <c:layout/>
      <c:barChart>
        <c:barDir val="col"/>
        <c:grouping val="clustered"/>
        <c:varyColors val="0"/>
        <c:ser>
          <c:idx val="0"/>
          <c:order val="0"/>
          <c:tx>
            <c:strRef>
              <c:f>'2 g %'!$G$58</c:f>
              <c:strCache>
                <c:ptCount val="1"/>
                <c:pt idx="0">
                  <c:v>Aporte a la Incertidumbre</c:v>
                </c:pt>
              </c:strCache>
            </c:strRef>
          </c:tx>
          <c:spPr>
            <a:solidFill>
              <a:schemeClr val="accent2">
                <a:alpha val="85000"/>
              </a:schemeClr>
            </a:solidFill>
            <a:ln w="9525" cap="flat" cmpd="sng" algn="ctr">
              <a:solidFill>
                <a:schemeClr val="lt1">
                  <a:alpha val="50000"/>
                </a:schemeClr>
              </a:solidFill>
              <a:round/>
            </a:ln>
            <a:effectLst/>
          </c:spPr>
          <c:invertIfNegative val="0"/>
          <c:dLbls>
            <c:dLbl>
              <c:idx val="0"/>
              <c:layout>
                <c:manualLayout>
                  <c:x val="5.8076231684837075E-3"/>
                  <c:y val="-1.0880458124555947E-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034-43E5-9FC7-5574D16FD602}"/>
                </c:ext>
              </c:extLst>
            </c:dLbl>
            <c:dLbl>
              <c:idx val="1"/>
              <c:layout>
                <c:manualLayout>
                  <c:x val="0"/>
                  <c:y val="4.240515390121689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034-43E5-9FC7-5574D16FD602}"/>
                </c:ext>
              </c:extLst>
            </c:dLbl>
            <c:dLbl>
              <c:idx val="2"/>
              <c:layout>
                <c:manualLayout>
                  <c:x val="0"/>
                  <c:y val="-9.454488188976377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034-43E5-9FC7-5574D16FD602}"/>
                </c:ext>
              </c:extLst>
            </c:dLbl>
            <c:dLbl>
              <c:idx val="3"/>
              <c:layout>
                <c:manualLayout>
                  <c:x val="0"/>
                  <c:y val="2.320400858983469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034-43E5-9FC7-5574D16FD602}"/>
                </c:ext>
              </c:extLst>
            </c:dLbl>
            <c:spPr>
              <a:noFill/>
              <a:ln>
                <a:noFill/>
              </a:ln>
              <a:effectLst/>
            </c:spPr>
            <c:txPr>
              <a:bodyPr rot="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('RT03-F13 (mg)% '!$A$59,'RT03-F13 (mg)% '!$A$62,'RT03-F13 (mg)% '!$A$66:$A$68)</c:f>
              <c:strCache>
                <c:ptCount val="5"/>
                <c:pt idx="0">
                  <c:v>Proceso de pesaje</c:v>
                </c:pt>
                <c:pt idx="1">
                  <c:v>Pesa de referencia</c:v>
                </c:pt>
                <c:pt idx="2">
                  <c:v>Corrección por empuje del aire</c:v>
                </c:pt>
                <c:pt idx="3">
                  <c:v>Resolución balanza</c:v>
                </c:pt>
                <c:pt idx="4">
                  <c:v>Incertidumbre por repetibilidad del método</c:v>
                </c:pt>
              </c:strCache>
            </c:strRef>
          </c:cat>
          <c:val>
            <c:numRef>
              <c:f>('2 g %'!$G$59,'2 g %'!$G$62,'2 g %'!$G$66:$G$67,'2 g %'!$G$68)</c:f>
              <c:numCache>
                <c:formatCode>0%</c:formatCode>
                <c:ptCount val="5"/>
                <c:pt idx="0">
                  <c:v>0</c:v>
                </c:pt>
                <c:pt idx="1">
                  <c:v>#N/A</c:v>
                </c:pt>
                <c:pt idx="2">
                  <c:v>#N/A</c:v>
                </c:pt>
                <c:pt idx="3">
                  <c:v>#N/A</c:v>
                </c:pt>
                <c:pt idx="4">
                  <c:v>0</c:v>
                </c:pt>
              </c:numCache>
            </c:numRef>
          </c:val>
          <c:extLst>
            <c:ext xmlns:c16="http://schemas.microsoft.com/office/drawing/2014/chart" uri="{C3380CC4-5D6E-409C-BE32-E72D297353CC}">
              <c16:uniqueId val="{00000004-0034-43E5-9FC7-5574D16FD602}"/>
            </c:ext>
          </c:extLst>
        </c:ser>
        <c:dLbls>
          <c:dLblPos val="inEnd"/>
          <c:showLegendKey val="0"/>
          <c:showVal val="1"/>
          <c:showCatName val="0"/>
          <c:showSerName val="0"/>
          <c:showPercent val="0"/>
          <c:showBubbleSize val="0"/>
        </c:dLbls>
        <c:gapWidth val="65"/>
        <c:axId val="204756864"/>
        <c:axId val="204772096"/>
      </c:barChart>
      <c:catAx>
        <c:axId val="204756864"/>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solidFill>
                <a:latin typeface="+mn-lt"/>
                <a:ea typeface="+mn-ea"/>
                <a:cs typeface="+mn-cs"/>
              </a:defRPr>
            </a:pPr>
            <a:endParaRPr lang="es-CO"/>
          </a:p>
        </c:txPr>
        <c:crossAx val="204772096"/>
        <c:crosses val="autoZero"/>
        <c:auto val="1"/>
        <c:lblAlgn val="ctr"/>
        <c:lblOffset val="100"/>
        <c:noMultiLvlLbl val="0"/>
      </c:catAx>
      <c:valAx>
        <c:axId val="204772096"/>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 sourceLinked="1"/>
        <c:majorTickMark val="none"/>
        <c:minorTickMark val="none"/>
        <c:tickLblPos val="nextTo"/>
        <c:crossAx val="204756864"/>
        <c:crosses val="autoZero"/>
        <c:crossBetween val="between"/>
      </c:valAx>
      <c:spPr>
        <a:noFill/>
        <a:ln>
          <a:noFill/>
        </a:ln>
        <a:effectLst/>
      </c:spPr>
    </c:plotArea>
    <c:plotVisOnly val="1"/>
    <c:dispBlanksAs val="gap"/>
    <c:showDLblsOverMax val="0"/>
  </c:chart>
  <c:spPr>
    <a:solidFill>
      <a:schemeClr val="accent6">
        <a:lumMod val="40000"/>
        <a:lumOff val="60000"/>
      </a:schemeClr>
    </a:solidFill>
    <a:ln w="12700" cap="flat" cmpd="sng" algn="ctr">
      <a:solidFill>
        <a:schemeClr val="dk1"/>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800" b="1" i="0" u="none" strike="noStrike" kern="1200" baseline="0">
              <a:solidFill>
                <a:schemeClr val="dk1"/>
              </a:solidFill>
              <a:latin typeface="+mn-lt"/>
              <a:ea typeface="+mn-ea"/>
              <a:cs typeface="+mn-cs"/>
            </a:defRPr>
          </a:pPr>
          <a:endParaRPr lang="es-CO"/>
        </a:p>
      </c:txPr>
    </c:title>
    <c:autoTitleDeleted val="0"/>
    <c:plotArea>
      <c:layout/>
      <c:barChart>
        <c:barDir val="col"/>
        <c:grouping val="clustered"/>
        <c:varyColors val="0"/>
        <c:ser>
          <c:idx val="0"/>
          <c:order val="0"/>
          <c:tx>
            <c:strRef>
              <c:f>'2 g + %'!$G$58</c:f>
              <c:strCache>
                <c:ptCount val="1"/>
                <c:pt idx="0">
                  <c:v>Aporte a la Incertidumbre</c:v>
                </c:pt>
              </c:strCache>
            </c:strRef>
          </c:tx>
          <c:spPr>
            <a:solidFill>
              <a:schemeClr val="accent2">
                <a:alpha val="85000"/>
              </a:schemeClr>
            </a:solidFill>
            <a:ln w="9525" cap="flat" cmpd="sng" algn="ctr">
              <a:solidFill>
                <a:schemeClr val="lt1">
                  <a:alpha val="50000"/>
                </a:schemeClr>
              </a:solidFill>
              <a:round/>
            </a:ln>
            <a:effectLst/>
          </c:spPr>
          <c:invertIfNegative val="0"/>
          <c:dLbls>
            <c:dLbl>
              <c:idx val="0"/>
              <c:layout>
                <c:manualLayout>
                  <c:x val="5.8076231684837075E-3"/>
                  <c:y val="-1.0880458124555947E-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3CA-48B4-9B6A-954B40C54692}"/>
                </c:ext>
              </c:extLst>
            </c:dLbl>
            <c:dLbl>
              <c:idx val="1"/>
              <c:layout>
                <c:manualLayout>
                  <c:x val="0"/>
                  <c:y val="4.240515390121689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3CA-48B4-9B6A-954B40C54692}"/>
                </c:ext>
              </c:extLst>
            </c:dLbl>
            <c:dLbl>
              <c:idx val="2"/>
              <c:layout>
                <c:manualLayout>
                  <c:x val="0"/>
                  <c:y val="-9.454488188976377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3CA-48B4-9B6A-954B40C54692}"/>
                </c:ext>
              </c:extLst>
            </c:dLbl>
            <c:dLbl>
              <c:idx val="3"/>
              <c:layout>
                <c:manualLayout>
                  <c:x val="0"/>
                  <c:y val="2.320400858983469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3CA-48B4-9B6A-954B40C54692}"/>
                </c:ext>
              </c:extLst>
            </c:dLbl>
            <c:spPr>
              <a:noFill/>
              <a:ln>
                <a:noFill/>
              </a:ln>
              <a:effectLst/>
            </c:spPr>
            <c:txPr>
              <a:bodyPr rot="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('RT03-F13 (mg)% '!$A$59,'RT03-F13 (mg)% '!$A$62,'RT03-F13 (mg)% '!$A$66:$A$68)</c:f>
              <c:strCache>
                <c:ptCount val="5"/>
                <c:pt idx="0">
                  <c:v>Proceso de pesaje</c:v>
                </c:pt>
                <c:pt idx="1">
                  <c:v>Pesa de referencia</c:v>
                </c:pt>
                <c:pt idx="2">
                  <c:v>Corrección por empuje del aire</c:v>
                </c:pt>
                <c:pt idx="3">
                  <c:v>Resolución balanza</c:v>
                </c:pt>
                <c:pt idx="4">
                  <c:v>Incertidumbre por repetibilidad del método</c:v>
                </c:pt>
              </c:strCache>
            </c:strRef>
          </c:cat>
          <c:val>
            <c:numRef>
              <c:f>('2 g + %'!$G$59,'2 g + %'!$G$62,'2 g + %'!$G$66:$G$67,'2 g + %'!$G$68)</c:f>
              <c:numCache>
                <c:formatCode>0%</c:formatCode>
                <c:ptCount val="5"/>
                <c:pt idx="0">
                  <c:v>0</c:v>
                </c:pt>
                <c:pt idx="1">
                  <c:v>#N/A</c:v>
                </c:pt>
                <c:pt idx="2">
                  <c:v>#N/A</c:v>
                </c:pt>
                <c:pt idx="3">
                  <c:v>#N/A</c:v>
                </c:pt>
                <c:pt idx="4">
                  <c:v>0</c:v>
                </c:pt>
              </c:numCache>
            </c:numRef>
          </c:val>
          <c:extLst>
            <c:ext xmlns:c16="http://schemas.microsoft.com/office/drawing/2014/chart" uri="{C3380CC4-5D6E-409C-BE32-E72D297353CC}">
              <c16:uniqueId val="{00000004-E3CA-48B4-9B6A-954B40C54692}"/>
            </c:ext>
          </c:extLst>
        </c:ser>
        <c:dLbls>
          <c:dLblPos val="inEnd"/>
          <c:showLegendKey val="0"/>
          <c:showVal val="1"/>
          <c:showCatName val="0"/>
          <c:showSerName val="0"/>
          <c:showPercent val="0"/>
          <c:showBubbleSize val="0"/>
        </c:dLbls>
        <c:gapWidth val="65"/>
        <c:axId val="205046528"/>
        <c:axId val="205049216"/>
      </c:barChart>
      <c:catAx>
        <c:axId val="205046528"/>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solidFill>
                <a:latin typeface="+mn-lt"/>
                <a:ea typeface="+mn-ea"/>
                <a:cs typeface="+mn-cs"/>
              </a:defRPr>
            </a:pPr>
            <a:endParaRPr lang="es-CO"/>
          </a:p>
        </c:txPr>
        <c:crossAx val="205049216"/>
        <c:crosses val="autoZero"/>
        <c:auto val="1"/>
        <c:lblAlgn val="ctr"/>
        <c:lblOffset val="100"/>
        <c:noMultiLvlLbl val="0"/>
      </c:catAx>
      <c:valAx>
        <c:axId val="205049216"/>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 sourceLinked="1"/>
        <c:majorTickMark val="none"/>
        <c:minorTickMark val="none"/>
        <c:tickLblPos val="nextTo"/>
        <c:crossAx val="205046528"/>
        <c:crosses val="autoZero"/>
        <c:crossBetween val="between"/>
      </c:valAx>
      <c:spPr>
        <a:noFill/>
        <a:ln>
          <a:noFill/>
        </a:ln>
        <a:effectLst/>
      </c:spPr>
    </c:plotArea>
    <c:plotVisOnly val="1"/>
    <c:dispBlanksAs val="gap"/>
    <c:showDLblsOverMax val="0"/>
  </c:chart>
  <c:spPr>
    <a:solidFill>
      <a:schemeClr val="accent6">
        <a:lumMod val="40000"/>
        <a:lumOff val="60000"/>
      </a:schemeClr>
    </a:solidFill>
    <a:ln w="12700" cap="flat" cmpd="sng" algn="ctr">
      <a:solidFill>
        <a:schemeClr val="dk1"/>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800" b="1" i="0" u="none" strike="noStrike" kern="1200" baseline="0">
              <a:solidFill>
                <a:schemeClr val="dk1"/>
              </a:solidFill>
              <a:latin typeface="+mn-lt"/>
              <a:ea typeface="+mn-ea"/>
              <a:cs typeface="+mn-cs"/>
            </a:defRPr>
          </a:pPr>
          <a:endParaRPr lang="es-CO"/>
        </a:p>
      </c:txPr>
    </c:title>
    <c:autoTitleDeleted val="0"/>
    <c:plotArea>
      <c:layout/>
      <c:barChart>
        <c:barDir val="col"/>
        <c:grouping val="clustered"/>
        <c:varyColors val="0"/>
        <c:ser>
          <c:idx val="0"/>
          <c:order val="0"/>
          <c:tx>
            <c:strRef>
              <c:f>'5 g %'!$G$58</c:f>
              <c:strCache>
                <c:ptCount val="1"/>
                <c:pt idx="0">
                  <c:v>Aporte a la Incertidumbre</c:v>
                </c:pt>
              </c:strCache>
            </c:strRef>
          </c:tx>
          <c:spPr>
            <a:solidFill>
              <a:schemeClr val="accent2">
                <a:alpha val="85000"/>
              </a:schemeClr>
            </a:solidFill>
            <a:ln w="9525" cap="flat" cmpd="sng" algn="ctr">
              <a:solidFill>
                <a:schemeClr val="lt1">
                  <a:alpha val="50000"/>
                </a:schemeClr>
              </a:solidFill>
              <a:round/>
            </a:ln>
            <a:effectLst/>
          </c:spPr>
          <c:invertIfNegative val="0"/>
          <c:dLbls>
            <c:dLbl>
              <c:idx val="0"/>
              <c:layout>
                <c:manualLayout>
                  <c:x val="5.8076231684837075E-3"/>
                  <c:y val="-1.0880458124555947E-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2E9-46EE-BB0E-421B8AC9C034}"/>
                </c:ext>
              </c:extLst>
            </c:dLbl>
            <c:dLbl>
              <c:idx val="1"/>
              <c:layout>
                <c:manualLayout>
                  <c:x val="0"/>
                  <c:y val="4.240515390121689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2E9-46EE-BB0E-421B8AC9C034}"/>
                </c:ext>
              </c:extLst>
            </c:dLbl>
            <c:dLbl>
              <c:idx val="2"/>
              <c:layout>
                <c:manualLayout>
                  <c:x val="0"/>
                  <c:y val="-9.454488188976377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2E9-46EE-BB0E-421B8AC9C034}"/>
                </c:ext>
              </c:extLst>
            </c:dLbl>
            <c:dLbl>
              <c:idx val="3"/>
              <c:layout>
                <c:manualLayout>
                  <c:x val="0"/>
                  <c:y val="2.320400858983469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2E9-46EE-BB0E-421B8AC9C034}"/>
                </c:ext>
              </c:extLst>
            </c:dLbl>
            <c:spPr>
              <a:noFill/>
              <a:ln>
                <a:noFill/>
              </a:ln>
              <a:effectLst/>
            </c:spPr>
            <c:txPr>
              <a:bodyPr rot="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('RT03-F13 (mg)% '!$A$59,'RT03-F13 (mg)% '!$A$62,'RT03-F13 (mg)% '!$A$66:$A$68)</c:f>
              <c:strCache>
                <c:ptCount val="5"/>
                <c:pt idx="0">
                  <c:v>Proceso de pesaje</c:v>
                </c:pt>
                <c:pt idx="1">
                  <c:v>Pesa de referencia</c:v>
                </c:pt>
                <c:pt idx="2">
                  <c:v>Corrección por empuje del aire</c:v>
                </c:pt>
                <c:pt idx="3">
                  <c:v>Resolución balanza</c:v>
                </c:pt>
                <c:pt idx="4">
                  <c:v>Incertidumbre por repetibilidad del método</c:v>
                </c:pt>
              </c:strCache>
            </c:strRef>
          </c:cat>
          <c:val>
            <c:numRef>
              <c:f>('5 g %'!$G$59,'5 g %'!$G$62,'5 g %'!$G$66:$G$67,'5 g %'!$G$68)</c:f>
              <c:numCache>
                <c:formatCode>0%</c:formatCode>
                <c:ptCount val="5"/>
                <c:pt idx="0">
                  <c:v>0</c:v>
                </c:pt>
                <c:pt idx="1">
                  <c:v>#N/A</c:v>
                </c:pt>
                <c:pt idx="2">
                  <c:v>#N/A</c:v>
                </c:pt>
                <c:pt idx="3">
                  <c:v>#N/A</c:v>
                </c:pt>
                <c:pt idx="4">
                  <c:v>0</c:v>
                </c:pt>
              </c:numCache>
            </c:numRef>
          </c:val>
          <c:extLst>
            <c:ext xmlns:c16="http://schemas.microsoft.com/office/drawing/2014/chart" uri="{C3380CC4-5D6E-409C-BE32-E72D297353CC}">
              <c16:uniqueId val="{00000004-62E9-46EE-BB0E-421B8AC9C034}"/>
            </c:ext>
          </c:extLst>
        </c:ser>
        <c:dLbls>
          <c:dLblPos val="inEnd"/>
          <c:showLegendKey val="0"/>
          <c:showVal val="1"/>
          <c:showCatName val="0"/>
          <c:showSerName val="0"/>
          <c:showPercent val="0"/>
          <c:showBubbleSize val="0"/>
        </c:dLbls>
        <c:gapWidth val="65"/>
        <c:axId val="206019968"/>
        <c:axId val="206035200"/>
      </c:barChart>
      <c:catAx>
        <c:axId val="206019968"/>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solidFill>
                <a:latin typeface="+mn-lt"/>
                <a:ea typeface="+mn-ea"/>
                <a:cs typeface="+mn-cs"/>
              </a:defRPr>
            </a:pPr>
            <a:endParaRPr lang="es-CO"/>
          </a:p>
        </c:txPr>
        <c:crossAx val="206035200"/>
        <c:crosses val="autoZero"/>
        <c:auto val="1"/>
        <c:lblAlgn val="ctr"/>
        <c:lblOffset val="100"/>
        <c:noMultiLvlLbl val="0"/>
      </c:catAx>
      <c:valAx>
        <c:axId val="206035200"/>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 sourceLinked="1"/>
        <c:majorTickMark val="none"/>
        <c:minorTickMark val="none"/>
        <c:tickLblPos val="nextTo"/>
        <c:crossAx val="206019968"/>
        <c:crosses val="autoZero"/>
        <c:crossBetween val="between"/>
      </c:valAx>
      <c:spPr>
        <a:noFill/>
        <a:ln>
          <a:noFill/>
        </a:ln>
        <a:effectLst/>
      </c:spPr>
    </c:plotArea>
    <c:plotVisOnly val="1"/>
    <c:dispBlanksAs val="gap"/>
    <c:showDLblsOverMax val="0"/>
  </c:chart>
  <c:spPr>
    <a:solidFill>
      <a:schemeClr val="accent6">
        <a:lumMod val="40000"/>
        <a:lumOff val="60000"/>
      </a:schemeClr>
    </a:solidFill>
    <a:ln w="12700" cap="flat" cmpd="sng" algn="ctr">
      <a:solidFill>
        <a:schemeClr val="dk1"/>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800" b="1" i="0" u="none" strike="noStrike" kern="1200" baseline="0">
              <a:solidFill>
                <a:schemeClr val="dk1"/>
              </a:solidFill>
              <a:latin typeface="+mn-lt"/>
              <a:ea typeface="+mn-ea"/>
              <a:cs typeface="+mn-cs"/>
            </a:defRPr>
          </a:pPr>
          <a:endParaRPr lang="es-CO"/>
        </a:p>
      </c:txPr>
    </c:title>
    <c:autoTitleDeleted val="0"/>
    <c:plotArea>
      <c:layout/>
      <c:barChart>
        <c:barDir val="col"/>
        <c:grouping val="clustered"/>
        <c:varyColors val="0"/>
        <c:ser>
          <c:idx val="0"/>
          <c:order val="0"/>
          <c:tx>
            <c:strRef>
              <c:f>'10 g %'!$G$58</c:f>
              <c:strCache>
                <c:ptCount val="1"/>
                <c:pt idx="0">
                  <c:v>Aporte a la Incertidumbre</c:v>
                </c:pt>
              </c:strCache>
            </c:strRef>
          </c:tx>
          <c:spPr>
            <a:solidFill>
              <a:schemeClr val="accent2">
                <a:alpha val="85000"/>
              </a:schemeClr>
            </a:solidFill>
            <a:ln w="9525" cap="flat" cmpd="sng" algn="ctr">
              <a:solidFill>
                <a:schemeClr val="lt1">
                  <a:alpha val="50000"/>
                </a:schemeClr>
              </a:solidFill>
              <a:round/>
            </a:ln>
            <a:effectLst/>
          </c:spPr>
          <c:invertIfNegative val="0"/>
          <c:dLbls>
            <c:dLbl>
              <c:idx val="0"/>
              <c:layout>
                <c:manualLayout>
                  <c:x val="5.8076231684837075E-3"/>
                  <c:y val="-1.0880458124555947E-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D94-421F-8FB2-B957C16C0BBA}"/>
                </c:ext>
              </c:extLst>
            </c:dLbl>
            <c:dLbl>
              <c:idx val="1"/>
              <c:layout>
                <c:manualLayout>
                  <c:x val="0"/>
                  <c:y val="4.240515390121689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D94-421F-8FB2-B957C16C0BBA}"/>
                </c:ext>
              </c:extLst>
            </c:dLbl>
            <c:dLbl>
              <c:idx val="2"/>
              <c:layout>
                <c:manualLayout>
                  <c:x val="0"/>
                  <c:y val="-9.454488188976377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D94-421F-8FB2-B957C16C0BBA}"/>
                </c:ext>
              </c:extLst>
            </c:dLbl>
            <c:dLbl>
              <c:idx val="3"/>
              <c:layout>
                <c:manualLayout>
                  <c:x val="0"/>
                  <c:y val="2.320400858983469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D94-421F-8FB2-B957C16C0BBA}"/>
                </c:ext>
              </c:extLst>
            </c:dLbl>
            <c:spPr>
              <a:noFill/>
              <a:ln>
                <a:noFill/>
              </a:ln>
              <a:effectLst/>
            </c:spPr>
            <c:txPr>
              <a:bodyPr rot="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('RT03-F13 (mg)% '!$A$59,'RT03-F13 (mg)% '!$A$62,'RT03-F13 (mg)% '!$A$66:$A$68)</c:f>
              <c:strCache>
                <c:ptCount val="5"/>
                <c:pt idx="0">
                  <c:v>Proceso de pesaje</c:v>
                </c:pt>
                <c:pt idx="1">
                  <c:v>Pesa de referencia</c:v>
                </c:pt>
                <c:pt idx="2">
                  <c:v>Corrección por empuje del aire</c:v>
                </c:pt>
                <c:pt idx="3">
                  <c:v>Resolución balanza</c:v>
                </c:pt>
                <c:pt idx="4">
                  <c:v>Incertidumbre por repetibilidad del método</c:v>
                </c:pt>
              </c:strCache>
            </c:strRef>
          </c:cat>
          <c:val>
            <c:numRef>
              <c:f>('10 g %'!$G$59,'10 g %'!$G$62,'10 g %'!$G$66:$G$67,'10 g %'!$G$68)</c:f>
              <c:numCache>
                <c:formatCode>0%</c:formatCode>
                <c:ptCount val="5"/>
                <c:pt idx="0">
                  <c:v>0</c:v>
                </c:pt>
                <c:pt idx="1">
                  <c:v>#N/A</c:v>
                </c:pt>
                <c:pt idx="2">
                  <c:v>#N/A</c:v>
                </c:pt>
                <c:pt idx="3">
                  <c:v>#N/A</c:v>
                </c:pt>
                <c:pt idx="4">
                  <c:v>0</c:v>
                </c:pt>
              </c:numCache>
            </c:numRef>
          </c:val>
          <c:extLst>
            <c:ext xmlns:c16="http://schemas.microsoft.com/office/drawing/2014/chart" uri="{C3380CC4-5D6E-409C-BE32-E72D297353CC}">
              <c16:uniqueId val="{00000004-ED94-421F-8FB2-B957C16C0BBA}"/>
            </c:ext>
          </c:extLst>
        </c:ser>
        <c:dLbls>
          <c:dLblPos val="inEnd"/>
          <c:showLegendKey val="0"/>
          <c:showVal val="1"/>
          <c:showCatName val="0"/>
          <c:showSerName val="0"/>
          <c:showPercent val="0"/>
          <c:showBubbleSize val="0"/>
        </c:dLbls>
        <c:gapWidth val="65"/>
        <c:axId val="206964992"/>
        <c:axId val="206972032"/>
      </c:barChart>
      <c:catAx>
        <c:axId val="206964992"/>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solidFill>
                <a:latin typeface="+mn-lt"/>
                <a:ea typeface="+mn-ea"/>
                <a:cs typeface="+mn-cs"/>
              </a:defRPr>
            </a:pPr>
            <a:endParaRPr lang="es-CO"/>
          </a:p>
        </c:txPr>
        <c:crossAx val="206972032"/>
        <c:crosses val="autoZero"/>
        <c:auto val="1"/>
        <c:lblAlgn val="ctr"/>
        <c:lblOffset val="100"/>
        <c:noMultiLvlLbl val="0"/>
      </c:catAx>
      <c:valAx>
        <c:axId val="206972032"/>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 sourceLinked="1"/>
        <c:majorTickMark val="none"/>
        <c:minorTickMark val="none"/>
        <c:tickLblPos val="nextTo"/>
        <c:crossAx val="206964992"/>
        <c:crosses val="autoZero"/>
        <c:crossBetween val="between"/>
      </c:valAx>
      <c:spPr>
        <a:noFill/>
        <a:ln>
          <a:noFill/>
        </a:ln>
        <a:effectLst/>
      </c:spPr>
    </c:plotArea>
    <c:plotVisOnly val="1"/>
    <c:dispBlanksAs val="gap"/>
    <c:showDLblsOverMax val="0"/>
  </c:chart>
  <c:spPr>
    <a:solidFill>
      <a:schemeClr val="accent6">
        <a:lumMod val="40000"/>
        <a:lumOff val="60000"/>
      </a:schemeClr>
    </a:solidFill>
    <a:ln w="12700" cap="flat" cmpd="sng" algn="ctr">
      <a:solidFill>
        <a:schemeClr val="dk1"/>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800" b="1" i="0" u="none" strike="noStrike" kern="1200" baseline="0">
              <a:solidFill>
                <a:schemeClr val="dk1"/>
              </a:solidFill>
              <a:latin typeface="+mn-lt"/>
              <a:ea typeface="+mn-ea"/>
              <a:cs typeface="+mn-cs"/>
            </a:defRPr>
          </a:pPr>
          <a:endParaRPr lang="es-CO"/>
        </a:p>
      </c:txPr>
    </c:title>
    <c:autoTitleDeleted val="0"/>
    <c:plotArea>
      <c:layout/>
      <c:barChart>
        <c:barDir val="col"/>
        <c:grouping val="clustered"/>
        <c:varyColors val="0"/>
        <c:ser>
          <c:idx val="0"/>
          <c:order val="0"/>
          <c:tx>
            <c:strRef>
              <c:f>'20 g %'!$G$58</c:f>
              <c:strCache>
                <c:ptCount val="1"/>
                <c:pt idx="0">
                  <c:v>Aporte a la Incertidumbre</c:v>
                </c:pt>
              </c:strCache>
            </c:strRef>
          </c:tx>
          <c:spPr>
            <a:solidFill>
              <a:schemeClr val="accent2">
                <a:alpha val="85000"/>
              </a:schemeClr>
            </a:solidFill>
            <a:ln w="9525" cap="flat" cmpd="sng" algn="ctr">
              <a:solidFill>
                <a:schemeClr val="lt1">
                  <a:alpha val="50000"/>
                </a:schemeClr>
              </a:solidFill>
              <a:round/>
            </a:ln>
            <a:effectLst/>
          </c:spPr>
          <c:invertIfNegative val="0"/>
          <c:dLbls>
            <c:dLbl>
              <c:idx val="0"/>
              <c:layout>
                <c:manualLayout>
                  <c:x val="5.8076231684837075E-3"/>
                  <c:y val="-1.0880458124555947E-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606-4F16-AB4D-01339D31BAE1}"/>
                </c:ext>
              </c:extLst>
            </c:dLbl>
            <c:dLbl>
              <c:idx val="1"/>
              <c:layout>
                <c:manualLayout>
                  <c:x val="0"/>
                  <c:y val="4.240515390121689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606-4F16-AB4D-01339D31BAE1}"/>
                </c:ext>
              </c:extLst>
            </c:dLbl>
            <c:dLbl>
              <c:idx val="2"/>
              <c:layout>
                <c:manualLayout>
                  <c:x val="0"/>
                  <c:y val="-9.454488188976377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606-4F16-AB4D-01339D31BAE1}"/>
                </c:ext>
              </c:extLst>
            </c:dLbl>
            <c:dLbl>
              <c:idx val="3"/>
              <c:layout>
                <c:manualLayout>
                  <c:x val="0"/>
                  <c:y val="2.320400858983469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606-4F16-AB4D-01339D31BAE1}"/>
                </c:ext>
              </c:extLst>
            </c:dLbl>
            <c:spPr>
              <a:noFill/>
              <a:ln>
                <a:noFill/>
              </a:ln>
              <a:effectLst/>
            </c:spPr>
            <c:txPr>
              <a:bodyPr rot="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('RT03-F13 (mg)% '!$A$59,'RT03-F13 (mg)% '!$A$62,'RT03-F13 (mg)% '!$A$66:$A$68)</c:f>
              <c:strCache>
                <c:ptCount val="5"/>
                <c:pt idx="0">
                  <c:v>Proceso de pesaje</c:v>
                </c:pt>
                <c:pt idx="1">
                  <c:v>Pesa de referencia</c:v>
                </c:pt>
                <c:pt idx="2">
                  <c:v>Corrección por empuje del aire</c:v>
                </c:pt>
                <c:pt idx="3">
                  <c:v>Resolución balanza</c:v>
                </c:pt>
                <c:pt idx="4">
                  <c:v>Incertidumbre por repetibilidad del método</c:v>
                </c:pt>
              </c:strCache>
            </c:strRef>
          </c:cat>
          <c:val>
            <c:numRef>
              <c:f>('20 g %'!$G$59,'20 g %'!$G$62,'20 g %'!$G$66:$G$67,'20 g %'!$G$68)</c:f>
              <c:numCache>
                <c:formatCode>0%</c:formatCode>
                <c:ptCount val="5"/>
                <c:pt idx="0">
                  <c:v>0</c:v>
                </c:pt>
                <c:pt idx="1">
                  <c:v>#N/A</c:v>
                </c:pt>
                <c:pt idx="2">
                  <c:v>#N/A</c:v>
                </c:pt>
                <c:pt idx="3">
                  <c:v>#N/A</c:v>
                </c:pt>
                <c:pt idx="4">
                  <c:v>0</c:v>
                </c:pt>
              </c:numCache>
            </c:numRef>
          </c:val>
          <c:extLst>
            <c:ext xmlns:c16="http://schemas.microsoft.com/office/drawing/2014/chart" uri="{C3380CC4-5D6E-409C-BE32-E72D297353CC}">
              <c16:uniqueId val="{00000004-4606-4F16-AB4D-01339D31BAE1}"/>
            </c:ext>
          </c:extLst>
        </c:ser>
        <c:dLbls>
          <c:dLblPos val="inEnd"/>
          <c:showLegendKey val="0"/>
          <c:showVal val="1"/>
          <c:showCatName val="0"/>
          <c:showSerName val="0"/>
          <c:showPercent val="0"/>
          <c:showBubbleSize val="0"/>
        </c:dLbls>
        <c:gapWidth val="65"/>
        <c:axId val="207619584"/>
        <c:axId val="207626624"/>
      </c:barChart>
      <c:catAx>
        <c:axId val="207619584"/>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solidFill>
                <a:latin typeface="+mn-lt"/>
                <a:ea typeface="+mn-ea"/>
                <a:cs typeface="+mn-cs"/>
              </a:defRPr>
            </a:pPr>
            <a:endParaRPr lang="es-CO"/>
          </a:p>
        </c:txPr>
        <c:crossAx val="207626624"/>
        <c:crosses val="autoZero"/>
        <c:auto val="1"/>
        <c:lblAlgn val="ctr"/>
        <c:lblOffset val="100"/>
        <c:noMultiLvlLbl val="0"/>
      </c:catAx>
      <c:valAx>
        <c:axId val="207626624"/>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 sourceLinked="1"/>
        <c:majorTickMark val="none"/>
        <c:minorTickMark val="none"/>
        <c:tickLblPos val="nextTo"/>
        <c:crossAx val="207619584"/>
        <c:crosses val="autoZero"/>
        <c:crossBetween val="between"/>
      </c:valAx>
      <c:spPr>
        <a:noFill/>
        <a:ln>
          <a:noFill/>
        </a:ln>
        <a:effectLst/>
      </c:spPr>
    </c:plotArea>
    <c:plotVisOnly val="1"/>
    <c:dispBlanksAs val="gap"/>
    <c:showDLblsOverMax val="0"/>
  </c:chart>
  <c:spPr>
    <a:solidFill>
      <a:schemeClr val="accent6">
        <a:lumMod val="40000"/>
        <a:lumOff val="60000"/>
      </a:schemeClr>
    </a:solidFill>
    <a:ln w="12700" cap="flat" cmpd="sng" algn="ctr">
      <a:solidFill>
        <a:schemeClr val="dk1"/>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800" b="1" i="0" u="none" strike="noStrike" kern="1200" baseline="0">
              <a:solidFill>
                <a:schemeClr val="dk1"/>
              </a:solidFill>
              <a:latin typeface="+mn-lt"/>
              <a:ea typeface="+mn-ea"/>
              <a:cs typeface="+mn-cs"/>
            </a:defRPr>
          </a:pPr>
          <a:endParaRPr lang="es-CO"/>
        </a:p>
      </c:txPr>
    </c:title>
    <c:autoTitleDeleted val="0"/>
    <c:plotArea>
      <c:layout/>
      <c:barChart>
        <c:barDir val="col"/>
        <c:grouping val="clustered"/>
        <c:varyColors val="0"/>
        <c:ser>
          <c:idx val="0"/>
          <c:order val="0"/>
          <c:tx>
            <c:strRef>
              <c:f>'20 g + %'!$G$58</c:f>
              <c:strCache>
                <c:ptCount val="1"/>
                <c:pt idx="0">
                  <c:v>Aporte a la Incertidumbre</c:v>
                </c:pt>
              </c:strCache>
            </c:strRef>
          </c:tx>
          <c:spPr>
            <a:solidFill>
              <a:schemeClr val="accent2">
                <a:alpha val="85000"/>
              </a:schemeClr>
            </a:solidFill>
            <a:ln w="9525" cap="flat" cmpd="sng" algn="ctr">
              <a:solidFill>
                <a:schemeClr val="lt1">
                  <a:alpha val="50000"/>
                </a:schemeClr>
              </a:solidFill>
              <a:round/>
            </a:ln>
            <a:effectLst/>
          </c:spPr>
          <c:invertIfNegative val="0"/>
          <c:dLbls>
            <c:dLbl>
              <c:idx val="0"/>
              <c:layout>
                <c:manualLayout>
                  <c:x val="5.8076231684837075E-3"/>
                  <c:y val="-1.0880458124555947E-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9BF-4569-B7E7-12C9FF20A6F0}"/>
                </c:ext>
              </c:extLst>
            </c:dLbl>
            <c:dLbl>
              <c:idx val="1"/>
              <c:layout>
                <c:manualLayout>
                  <c:x val="0"/>
                  <c:y val="4.240515390121689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9BF-4569-B7E7-12C9FF20A6F0}"/>
                </c:ext>
              </c:extLst>
            </c:dLbl>
            <c:dLbl>
              <c:idx val="2"/>
              <c:layout>
                <c:manualLayout>
                  <c:x val="0"/>
                  <c:y val="-9.454488188976377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9BF-4569-B7E7-12C9FF20A6F0}"/>
                </c:ext>
              </c:extLst>
            </c:dLbl>
            <c:dLbl>
              <c:idx val="3"/>
              <c:layout>
                <c:manualLayout>
                  <c:x val="0"/>
                  <c:y val="2.320400858983469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9BF-4569-B7E7-12C9FF20A6F0}"/>
                </c:ext>
              </c:extLst>
            </c:dLbl>
            <c:spPr>
              <a:noFill/>
              <a:ln>
                <a:noFill/>
              </a:ln>
              <a:effectLst/>
            </c:spPr>
            <c:txPr>
              <a:bodyPr rot="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('RT03-F13 (mg)% '!$A$59,'RT03-F13 (mg)% '!$A$62,'RT03-F13 (mg)% '!$A$66:$A$68)</c:f>
              <c:strCache>
                <c:ptCount val="5"/>
                <c:pt idx="0">
                  <c:v>Proceso de pesaje</c:v>
                </c:pt>
                <c:pt idx="1">
                  <c:v>Pesa de referencia</c:v>
                </c:pt>
                <c:pt idx="2">
                  <c:v>Corrección por empuje del aire</c:v>
                </c:pt>
                <c:pt idx="3">
                  <c:v>Resolución balanza</c:v>
                </c:pt>
                <c:pt idx="4">
                  <c:v>Incertidumbre por repetibilidad del método</c:v>
                </c:pt>
              </c:strCache>
            </c:strRef>
          </c:cat>
          <c:val>
            <c:numRef>
              <c:f>('20 g + %'!$G$59,'20 g + %'!$G$62,'20 g + %'!$G$66:$G$67,'20 g + %'!$G$68)</c:f>
              <c:numCache>
                <c:formatCode>0%</c:formatCode>
                <c:ptCount val="5"/>
                <c:pt idx="0">
                  <c:v>0</c:v>
                </c:pt>
                <c:pt idx="1">
                  <c:v>#N/A</c:v>
                </c:pt>
                <c:pt idx="2">
                  <c:v>#N/A</c:v>
                </c:pt>
                <c:pt idx="3">
                  <c:v>#N/A</c:v>
                </c:pt>
                <c:pt idx="4">
                  <c:v>0</c:v>
                </c:pt>
              </c:numCache>
            </c:numRef>
          </c:val>
          <c:extLst>
            <c:ext xmlns:c16="http://schemas.microsoft.com/office/drawing/2014/chart" uri="{C3380CC4-5D6E-409C-BE32-E72D297353CC}">
              <c16:uniqueId val="{00000004-C9BF-4569-B7E7-12C9FF20A6F0}"/>
            </c:ext>
          </c:extLst>
        </c:ser>
        <c:dLbls>
          <c:dLblPos val="inEnd"/>
          <c:showLegendKey val="0"/>
          <c:showVal val="1"/>
          <c:showCatName val="0"/>
          <c:showSerName val="0"/>
          <c:showPercent val="0"/>
          <c:showBubbleSize val="0"/>
        </c:dLbls>
        <c:gapWidth val="65"/>
        <c:axId val="207987072"/>
        <c:axId val="207989760"/>
      </c:barChart>
      <c:catAx>
        <c:axId val="207987072"/>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solidFill>
                <a:latin typeface="+mn-lt"/>
                <a:ea typeface="+mn-ea"/>
                <a:cs typeface="+mn-cs"/>
              </a:defRPr>
            </a:pPr>
            <a:endParaRPr lang="es-CO"/>
          </a:p>
        </c:txPr>
        <c:crossAx val="207989760"/>
        <c:crosses val="autoZero"/>
        <c:auto val="1"/>
        <c:lblAlgn val="ctr"/>
        <c:lblOffset val="100"/>
        <c:noMultiLvlLbl val="0"/>
      </c:catAx>
      <c:valAx>
        <c:axId val="207989760"/>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 sourceLinked="1"/>
        <c:majorTickMark val="none"/>
        <c:minorTickMark val="none"/>
        <c:tickLblPos val="nextTo"/>
        <c:crossAx val="207987072"/>
        <c:crosses val="autoZero"/>
        <c:crossBetween val="between"/>
      </c:valAx>
      <c:spPr>
        <a:noFill/>
        <a:ln>
          <a:noFill/>
        </a:ln>
        <a:effectLst/>
      </c:spPr>
    </c:plotArea>
    <c:plotVisOnly val="1"/>
    <c:dispBlanksAs val="gap"/>
    <c:showDLblsOverMax val="0"/>
  </c:chart>
  <c:spPr>
    <a:solidFill>
      <a:schemeClr val="accent6">
        <a:lumMod val="40000"/>
        <a:lumOff val="60000"/>
      </a:schemeClr>
    </a:solidFill>
    <a:ln w="12700" cap="flat" cmpd="sng" algn="ctr">
      <a:solidFill>
        <a:schemeClr val="dk1"/>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800" b="1" i="0" u="none" strike="noStrike" kern="1200" baseline="0">
              <a:solidFill>
                <a:schemeClr val="dk1"/>
              </a:solidFill>
              <a:latin typeface="+mn-lt"/>
              <a:ea typeface="+mn-ea"/>
              <a:cs typeface="+mn-cs"/>
            </a:defRPr>
          </a:pPr>
          <a:endParaRPr lang="es-CO"/>
        </a:p>
      </c:txPr>
    </c:title>
    <c:autoTitleDeleted val="0"/>
    <c:plotArea>
      <c:layout/>
      <c:barChart>
        <c:barDir val="col"/>
        <c:grouping val="clustered"/>
        <c:varyColors val="0"/>
        <c:ser>
          <c:idx val="0"/>
          <c:order val="0"/>
          <c:tx>
            <c:strRef>
              <c:f>'50 g %'!$G$58</c:f>
              <c:strCache>
                <c:ptCount val="1"/>
                <c:pt idx="0">
                  <c:v>Aporte a la Incertidumbre</c:v>
                </c:pt>
              </c:strCache>
            </c:strRef>
          </c:tx>
          <c:spPr>
            <a:solidFill>
              <a:schemeClr val="accent2">
                <a:alpha val="85000"/>
              </a:schemeClr>
            </a:solidFill>
            <a:ln w="9525" cap="flat" cmpd="sng" algn="ctr">
              <a:solidFill>
                <a:schemeClr val="lt1">
                  <a:alpha val="50000"/>
                </a:schemeClr>
              </a:solidFill>
              <a:round/>
            </a:ln>
            <a:effectLst/>
          </c:spPr>
          <c:invertIfNegative val="0"/>
          <c:dLbls>
            <c:dLbl>
              <c:idx val="0"/>
              <c:layout>
                <c:manualLayout>
                  <c:x val="5.8076231684837075E-3"/>
                  <c:y val="-1.0880458124555947E-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554-4A2D-B028-F308D8E55A03}"/>
                </c:ext>
              </c:extLst>
            </c:dLbl>
            <c:dLbl>
              <c:idx val="1"/>
              <c:layout>
                <c:manualLayout>
                  <c:x val="0"/>
                  <c:y val="4.240515390121689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554-4A2D-B028-F308D8E55A03}"/>
                </c:ext>
              </c:extLst>
            </c:dLbl>
            <c:dLbl>
              <c:idx val="2"/>
              <c:layout>
                <c:manualLayout>
                  <c:x val="0"/>
                  <c:y val="-9.454488188976377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554-4A2D-B028-F308D8E55A03}"/>
                </c:ext>
              </c:extLst>
            </c:dLbl>
            <c:dLbl>
              <c:idx val="3"/>
              <c:layout>
                <c:manualLayout>
                  <c:x val="0"/>
                  <c:y val="2.320400858983469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554-4A2D-B028-F308D8E55A03}"/>
                </c:ext>
              </c:extLst>
            </c:dLbl>
            <c:spPr>
              <a:noFill/>
              <a:ln>
                <a:noFill/>
              </a:ln>
              <a:effectLst/>
            </c:spPr>
            <c:txPr>
              <a:bodyPr rot="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('RT03-F13 (mg)% '!$A$59,'RT03-F13 (mg)% '!$A$62,'RT03-F13 (mg)% '!$A$66:$A$68)</c:f>
              <c:strCache>
                <c:ptCount val="5"/>
                <c:pt idx="0">
                  <c:v>Proceso de pesaje</c:v>
                </c:pt>
                <c:pt idx="1">
                  <c:v>Pesa de referencia</c:v>
                </c:pt>
                <c:pt idx="2">
                  <c:v>Corrección por empuje del aire</c:v>
                </c:pt>
                <c:pt idx="3">
                  <c:v>Resolución balanza</c:v>
                </c:pt>
                <c:pt idx="4">
                  <c:v>Incertidumbre por repetibilidad del método</c:v>
                </c:pt>
              </c:strCache>
            </c:strRef>
          </c:cat>
          <c:val>
            <c:numRef>
              <c:f>('50 g %'!$G$59,'50 g %'!$G$62,'50 g %'!$G$66:$G$67,'50 g %'!$G$68)</c:f>
              <c:numCache>
                <c:formatCode>0%</c:formatCode>
                <c:ptCount val="5"/>
                <c:pt idx="0">
                  <c:v>0</c:v>
                </c:pt>
                <c:pt idx="1">
                  <c:v>#N/A</c:v>
                </c:pt>
                <c:pt idx="2">
                  <c:v>#N/A</c:v>
                </c:pt>
                <c:pt idx="3">
                  <c:v>#N/A</c:v>
                </c:pt>
                <c:pt idx="4">
                  <c:v>0</c:v>
                </c:pt>
              </c:numCache>
            </c:numRef>
          </c:val>
          <c:extLst>
            <c:ext xmlns:c16="http://schemas.microsoft.com/office/drawing/2014/chart" uri="{C3380CC4-5D6E-409C-BE32-E72D297353CC}">
              <c16:uniqueId val="{00000004-1554-4A2D-B028-F308D8E55A03}"/>
            </c:ext>
          </c:extLst>
        </c:ser>
        <c:dLbls>
          <c:dLblPos val="inEnd"/>
          <c:showLegendKey val="0"/>
          <c:showVal val="1"/>
          <c:showCatName val="0"/>
          <c:showSerName val="0"/>
          <c:showPercent val="0"/>
          <c:showBubbleSize val="0"/>
        </c:dLbls>
        <c:gapWidth val="65"/>
        <c:axId val="163929472"/>
        <c:axId val="163936512"/>
      </c:barChart>
      <c:catAx>
        <c:axId val="163929472"/>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solidFill>
                <a:latin typeface="+mn-lt"/>
                <a:ea typeface="+mn-ea"/>
                <a:cs typeface="+mn-cs"/>
              </a:defRPr>
            </a:pPr>
            <a:endParaRPr lang="es-CO"/>
          </a:p>
        </c:txPr>
        <c:crossAx val="163936512"/>
        <c:crosses val="autoZero"/>
        <c:auto val="1"/>
        <c:lblAlgn val="ctr"/>
        <c:lblOffset val="100"/>
        <c:noMultiLvlLbl val="0"/>
      </c:catAx>
      <c:valAx>
        <c:axId val="163936512"/>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 sourceLinked="1"/>
        <c:majorTickMark val="none"/>
        <c:minorTickMark val="none"/>
        <c:tickLblPos val="nextTo"/>
        <c:crossAx val="163929472"/>
        <c:crosses val="autoZero"/>
        <c:crossBetween val="between"/>
      </c:valAx>
      <c:spPr>
        <a:noFill/>
        <a:ln>
          <a:noFill/>
        </a:ln>
        <a:effectLst/>
      </c:spPr>
    </c:plotArea>
    <c:plotVisOnly val="1"/>
    <c:dispBlanksAs val="gap"/>
    <c:showDLblsOverMax val="0"/>
  </c:chart>
  <c:spPr>
    <a:solidFill>
      <a:schemeClr val="accent6">
        <a:lumMod val="40000"/>
        <a:lumOff val="60000"/>
      </a:schemeClr>
    </a:solidFill>
    <a:ln w="12700" cap="flat" cmpd="sng" algn="ctr">
      <a:solidFill>
        <a:schemeClr val="dk1"/>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800" b="1" i="0" u="none" strike="noStrike" kern="1200" baseline="0">
              <a:solidFill>
                <a:schemeClr val="dk1"/>
              </a:solidFill>
              <a:latin typeface="+mn-lt"/>
              <a:ea typeface="+mn-ea"/>
              <a:cs typeface="+mn-cs"/>
            </a:defRPr>
          </a:pPr>
          <a:endParaRPr lang="es-CO"/>
        </a:p>
      </c:txPr>
    </c:title>
    <c:autoTitleDeleted val="0"/>
    <c:plotArea>
      <c:layout/>
      <c:barChart>
        <c:barDir val="col"/>
        <c:grouping val="clustered"/>
        <c:varyColors val="0"/>
        <c:ser>
          <c:idx val="0"/>
          <c:order val="0"/>
          <c:tx>
            <c:strRef>
              <c:f>'100 g %'!$G$58</c:f>
              <c:strCache>
                <c:ptCount val="1"/>
                <c:pt idx="0">
                  <c:v>Aporte a la Incertidumbre</c:v>
                </c:pt>
              </c:strCache>
            </c:strRef>
          </c:tx>
          <c:spPr>
            <a:solidFill>
              <a:schemeClr val="accent2">
                <a:alpha val="85000"/>
              </a:schemeClr>
            </a:solidFill>
            <a:ln w="9525" cap="flat" cmpd="sng" algn="ctr">
              <a:solidFill>
                <a:schemeClr val="lt1">
                  <a:alpha val="50000"/>
                </a:schemeClr>
              </a:solidFill>
              <a:round/>
            </a:ln>
            <a:effectLst/>
          </c:spPr>
          <c:invertIfNegative val="0"/>
          <c:dLbls>
            <c:dLbl>
              <c:idx val="0"/>
              <c:layout>
                <c:manualLayout>
                  <c:x val="5.8076231684837075E-3"/>
                  <c:y val="-1.0880458124555947E-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ED4-4596-8287-9A93B7C38110}"/>
                </c:ext>
              </c:extLst>
            </c:dLbl>
            <c:dLbl>
              <c:idx val="1"/>
              <c:layout>
                <c:manualLayout>
                  <c:x val="0"/>
                  <c:y val="4.240515390121689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ED4-4596-8287-9A93B7C38110}"/>
                </c:ext>
              </c:extLst>
            </c:dLbl>
            <c:dLbl>
              <c:idx val="2"/>
              <c:layout>
                <c:manualLayout>
                  <c:x val="0"/>
                  <c:y val="-9.454488188976377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ED4-4596-8287-9A93B7C38110}"/>
                </c:ext>
              </c:extLst>
            </c:dLbl>
            <c:dLbl>
              <c:idx val="3"/>
              <c:layout>
                <c:manualLayout>
                  <c:x val="0"/>
                  <c:y val="2.320400858983469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ED4-4596-8287-9A93B7C38110}"/>
                </c:ext>
              </c:extLst>
            </c:dLbl>
            <c:spPr>
              <a:noFill/>
              <a:ln>
                <a:noFill/>
              </a:ln>
              <a:effectLst/>
            </c:spPr>
            <c:txPr>
              <a:bodyPr rot="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('RT03-F13 (mg)% '!$A$59,'RT03-F13 (mg)% '!$A$62,'RT03-F13 (mg)% '!$A$66:$A$68)</c:f>
              <c:strCache>
                <c:ptCount val="5"/>
                <c:pt idx="0">
                  <c:v>Proceso de pesaje</c:v>
                </c:pt>
                <c:pt idx="1">
                  <c:v>Pesa de referencia</c:v>
                </c:pt>
                <c:pt idx="2">
                  <c:v>Corrección por empuje del aire</c:v>
                </c:pt>
                <c:pt idx="3">
                  <c:v>Resolución balanza</c:v>
                </c:pt>
                <c:pt idx="4">
                  <c:v>Incertidumbre por repetibilidad del método</c:v>
                </c:pt>
              </c:strCache>
            </c:strRef>
          </c:cat>
          <c:val>
            <c:numRef>
              <c:f>('100 g %'!$G$59,'100 g %'!$G$62,'100 g %'!$G$66:$G$67,'100 g %'!$G$68)</c:f>
              <c:numCache>
                <c:formatCode>0%</c:formatCode>
                <c:ptCount val="5"/>
                <c:pt idx="0">
                  <c:v>0</c:v>
                </c:pt>
                <c:pt idx="1">
                  <c:v>#N/A</c:v>
                </c:pt>
                <c:pt idx="2">
                  <c:v>#N/A</c:v>
                </c:pt>
                <c:pt idx="3">
                  <c:v>#N/A</c:v>
                </c:pt>
                <c:pt idx="4">
                  <c:v>0</c:v>
                </c:pt>
              </c:numCache>
            </c:numRef>
          </c:val>
          <c:extLst>
            <c:ext xmlns:c16="http://schemas.microsoft.com/office/drawing/2014/chart" uri="{C3380CC4-5D6E-409C-BE32-E72D297353CC}">
              <c16:uniqueId val="{00000004-2ED4-4596-8287-9A93B7C38110}"/>
            </c:ext>
          </c:extLst>
        </c:ser>
        <c:dLbls>
          <c:dLblPos val="inEnd"/>
          <c:showLegendKey val="0"/>
          <c:showVal val="1"/>
          <c:showCatName val="0"/>
          <c:showSerName val="0"/>
          <c:showPercent val="0"/>
          <c:showBubbleSize val="0"/>
        </c:dLbls>
        <c:gapWidth val="65"/>
        <c:axId val="164623488"/>
        <c:axId val="164900864"/>
      </c:barChart>
      <c:catAx>
        <c:axId val="164623488"/>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solidFill>
                <a:latin typeface="+mn-lt"/>
                <a:ea typeface="+mn-ea"/>
                <a:cs typeface="+mn-cs"/>
              </a:defRPr>
            </a:pPr>
            <a:endParaRPr lang="es-CO"/>
          </a:p>
        </c:txPr>
        <c:crossAx val="164900864"/>
        <c:crosses val="autoZero"/>
        <c:auto val="1"/>
        <c:lblAlgn val="ctr"/>
        <c:lblOffset val="100"/>
        <c:noMultiLvlLbl val="0"/>
      </c:catAx>
      <c:valAx>
        <c:axId val="164900864"/>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 sourceLinked="1"/>
        <c:majorTickMark val="none"/>
        <c:minorTickMark val="none"/>
        <c:tickLblPos val="nextTo"/>
        <c:crossAx val="164623488"/>
        <c:crosses val="autoZero"/>
        <c:crossBetween val="between"/>
      </c:valAx>
      <c:spPr>
        <a:noFill/>
        <a:ln>
          <a:noFill/>
        </a:ln>
        <a:effectLst/>
      </c:spPr>
    </c:plotArea>
    <c:plotVisOnly val="1"/>
    <c:dispBlanksAs val="gap"/>
    <c:showDLblsOverMax val="0"/>
  </c:chart>
  <c:spPr>
    <a:solidFill>
      <a:schemeClr val="accent6">
        <a:lumMod val="40000"/>
        <a:lumOff val="60000"/>
      </a:schemeClr>
    </a:solidFill>
    <a:ln w="12700" cap="flat" cmpd="sng" algn="ctr">
      <a:solidFill>
        <a:schemeClr val="dk1"/>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800" b="1" i="0" u="none" strike="noStrike" kern="1200" baseline="0">
              <a:solidFill>
                <a:schemeClr val="dk1"/>
              </a:solidFill>
              <a:latin typeface="+mn-lt"/>
              <a:ea typeface="+mn-ea"/>
              <a:cs typeface="+mn-cs"/>
            </a:defRPr>
          </a:pPr>
          <a:endParaRPr lang="es-CO"/>
        </a:p>
      </c:txPr>
    </c:title>
    <c:autoTitleDeleted val="0"/>
    <c:plotArea>
      <c:layout/>
      <c:barChart>
        <c:barDir val="col"/>
        <c:grouping val="clustered"/>
        <c:varyColors val="0"/>
        <c:ser>
          <c:idx val="0"/>
          <c:order val="0"/>
          <c:tx>
            <c:strRef>
              <c:f>'5 mg % '!$G$58</c:f>
              <c:strCache>
                <c:ptCount val="1"/>
                <c:pt idx="0">
                  <c:v>Aporte a la Incertidumbre</c:v>
                </c:pt>
              </c:strCache>
            </c:strRef>
          </c:tx>
          <c:spPr>
            <a:solidFill>
              <a:schemeClr val="accent2">
                <a:alpha val="85000"/>
              </a:schemeClr>
            </a:solidFill>
            <a:ln w="9525" cap="flat" cmpd="sng" algn="ctr">
              <a:solidFill>
                <a:schemeClr val="lt1">
                  <a:alpha val="50000"/>
                </a:schemeClr>
              </a:solidFill>
              <a:round/>
            </a:ln>
            <a:effectLst/>
          </c:spPr>
          <c:invertIfNegative val="0"/>
          <c:dLbls>
            <c:dLbl>
              <c:idx val="0"/>
              <c:layout>
                <c:manualLayout>
                  <c:x val="5.8076231684837075E-3"/>
                  <c:y val="-1.0880458124555947E-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21B-4102-96BC-32785F94BA27}"/>
                </c:ext>
              </c:extLst>
            </c:dLbl>
            <c:dLbl>
              <c:idx val="1"/>
              <c:layout>
                <c:manualLayout>
                  <c:x val="0"/>
                  <c:y val="4.240515390121689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21B-4102-96BC-32785F94BA27}"/>
                </c:ext>
              </c:extLst>
            </c:dLbl>
            <c:dLbl>
              <c:idx val="2"/>
              <c:layout>
                <c:manualLayout>
                  <c:x val="0"/>
                  <c:y val="-9.454488188976377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21B-4102-96BC-32785F94BA27}"/>
                </c:ext>
              </c:extLst>
            </c:dLbl>
            <c:dLbl>
              <c:idx val="4"/>
              <c:layout>
                <c:manualLayout>
                  <c:x val="0"/>
                  <c:y val="2.320400858983469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57C-4221-9142-80913CD4A487}"/>
                </c:ext>
              </c:extLst>
            </c:dLbl>
            <c:spPr>
              <a:noFill/>
              <a:ln>
                <a:noFill/>
              </a:ln>
              <a:effectLst/>
            </c:spPr>
            <c:txPr>
              <a:bodyPr rot="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('RT03-F13 (mg)% '!$A$59,'RT03-F13 (mg)% '!$A$62,'RT03-F13 (mg)% '!$A$66:$A$68)</c:f>
              <c:strCache>
                <c:ptCount val="5"/>
                <c:pt idx="0">
                  <c:v>Proceso de pesaje</c:v>
                </c:pt>
                <c:pt idx="1">
                  <c:v>Pesa de referencia</c:v>
                </c:pt>
                <c:pt idx="2">
                  <c:v>Corrección por empuje del aire</c:v>
                </c:pt>
                <c:pt idx="3">
                  <c:v>Resolución balanza</c:v>
                </c:pt>
                <c:pt idx="4">
                  <c:v>Incertidumbre por repetibilidad del método</c:v>
                </c:pt>
              </c:strCache>
            </c:strRef>
          </c:cat>
          <c:val>
            <c:numRef>
              <c:f>('5 mg % '!$G$59,'5 mg % '!$G$62,'5 mg % '!$G$66,'5 mg % '!$G$66:$G$67,'5 mg % '!$G$68)</c:f>
              <c:numCache>
                <c:formatCode>0%</c:formatCode>
                <c:ptCount val="6"/>
                <c:pt idx="0">
                  <c:v>0</c:v>
                </c:pt>
                <c:pt idx="1">
                  <c:v>#N/A</c:v>
                </c:pt>
                <c:pt idx="2">
                  <c:v>#N/A</c:v>
                </c:pt>
                <c:pt idx="3">
                  <c:v>#N/A</c:v>
                </c:pt>
                <c:pt idx="4">
                  <c:v>#N/A</c:v>
                </c:pt>
                <c:pt idx="5">
                  <c:v>0</c:v>
                </c:pt>
              </c:numCache>
            </c:numRef>
          </c:val>
          <c:extLst>
            <c:ext xmlns:c16="http://schemas.microsoft.com/office/drawing/2014/chart" uri="{C3380CC4-5D6E-409C-BE32-E72D297353CC}">
              <c16:uniqueId val="{00000004-E21B-4102-96BC-32785F94BA27}"/>
            </c:ext>
          </c:extLst>
        </c:ser>
        <c:dLbls>
          <c:dLblPos val="inEnd"/>
          <c:showLegendKey val="0"/>
          <c:showVal val="1"/>
          <c:showCatName val="0"/>
          <c:showSerName val="0"/>
          <c:showPercent val="0"/>
          <c:showBubbleSize val="0"/>
        </c:dLbls>
        <c:gapWidth val="65"/>
        <c:axId val="192631168"/>
        <c:axId val="192633856"/>
      </c:barChart>
      <c:catAx>
        <c:axId val="192631168"/>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solidFill>
                <a:latin typeface="+mn-lt"/>
                <a:ea typeface="+mn-ea"/>
                <a:cs typeface="+mn-cs"/>
              </a:defRPr>
            </a:pPr>
            <a:endParaRPr lang="es-CO"/>
          </a:p>
        </c:txPr>
        <c:crossAx val="192633856"/>
        <c:crosses val="autoZero"/>
        <c:auto val="1"/>
        <c:lblAlgn val="ctr"/>
        <c:lblOffset val="100"/>
        <c:noMultiLvlLbl val="0"/>
      </c:catAx>
      <c:valAx>
        <c:axId val="192633856"/>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 sourceLinked="1"/>
        <c:majorTickMark val="none"/>
        <c:minorTickMark val="none"/>
        <c:tickLblPos val="nextTo"/>
        <c:crossAx val="192631168"/>
        <c:crosses val="autoZero"/>
        <c:crossBetween val="between"/>
      </c:valAx>
      <c:spPr>
        <a:noFill/>
        <a:ln>
          <a:noFill/>
        </a:ln>
        <a:effectLst/>
      </c:spPr>
    </c:plotArea>
    <c:plotVisOnly val="1"/>
    <c:dispBlanksAs val="gap"/>
    <c:showDLblsOverMax val="0"/>
  </c:chart>
  <c:spPr>
    <a:solidFill>
      <a:schemeClr val="accent6">
        <a:lumMod val="40000"/>
        <a:lumOff val="60000"/>
      </a:schemeClr>
    </a:solidFill>
    <a:ln w="12700" cap="flat" cmpd="sng" algn="ctr">
      <a:solidFill>
        <a:schemeClr val="dk1"/>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800" b="1" i="0" u="none" strike="noStrike" kern="1200" baseline="0">
              <a:solidFill>
                <a:schemeClr val="dk1"/>
              </a:solidFill>
              <a:latin typeface="+mn-lt"/>
              <a:ea typeface="+mn-ea"/>
              <a:cs typeface="+mn-cs"/>
            </a:defRPr>
          </a:pPr>
          <a:endParaRPr lang="es-CO"/>
        </a:p>
      </c:txPr>
    </c:title>
    <c:autoTitleDeleted val="0"/>
    <c:plotArea>
      <c:layout/>
      <c:barChart>
        <c:barDir val="col"/>
        <c:grouping val="clustered"/>
        <c:varyColors val="0"/>
        <c:ser>
          <c:idx val="0"/>
          <c:order val="0"/>
          <c:tx>
            <c:strRef>
              <c:f>'200 g %'!$G$58</c:f>
              <c:strCache>
                <c:ptCount val="1"/>
                <c:pt idx="0">
                  <c:v>Aporte a la Incertidumbre</c:v>
                </c:pt>
              </c:strCache>
            </c:strRef>
          </c:tx>
          <c:spPr>
            <a:solidFill>
              <a:schemeClr val="accent2">
                <a:alpha val="85000"/>
              </a:schemeClr>
            </a:solidFill>
            <a:ln w="9525" cap="flat" cmpd="sng" algn="ctr">
              <a:solidFill>
                <a:schemeClr val="lt1">
                  <a:alpha val="50000"/>
                </a:schemeClr>
              </a:solidFill>
              <a:round/>
            </a:ln>
            <a:effectLst/>
          </c:spPr>
          <c:invertIfNegative val="0"/>
          <c:dLbls>
            <c:dLbl>
              <c:idx val="0"/>
              <c:layout>
                <c:manualLayout>
                  <c:x val="5.8076231684837075E-3"/>
                  <c:y val="-1.0880458124555947E-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28C-4FC2-A12F-86B80C8ACA86}"/>
                </c:ext>
              </c:extLst>
            </c:dLbl>
            <c:dLbl>
              <c:idx val="1"/>
              <c:layout>
                <c:manualLayout>
                  <c:x val="0"/>
                  <c:y val="4.240515390121689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28C-4FC2-A12F-86B80C8ACA86}"/>
                </c:ext>
              </c:extLst>
            </c:dLbl>
            <c:dLbl>
              <c:idx val="2"/>
              <c:layout>
                <c:manualLayout>
                  <c:x val="0"/>
                  <c:y val="-9.454488188976377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28C-4FC2-A12F-86B80C8ACA86}"/>
                </c:ext>
              </c:extLst>
            </c:dLbl>
            <c:dLbl>
              <c:idx val="3"/>
              <c:layout>
                <c:manualLayout>
                  <c:x val="0"/>
                  <c:y val="2.320400858983469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28C-4FC2-A12F-86B80C8ACA86}"/>
                </c:ext>
              </c:extLst>
            </c:dLbl>
            <c:spPr>
              <a:noFill/>
              <a:ln>
                <a:noFill/>
              </a:ln>
              <a:effectLst/>
            </c:spPr>
            <c:txPr>
              <a:bodyPr rot="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('RT03-F13 (mg)% '!$A$59,'RT03-F13 (mg)% '!$A$62,'RT03-F13 (mg)% '!$A$66:$A$68)</c:f>
              <c:strCache>
                <c:ptCount val="5"/>
                <c:pt idx="0">
                  <c:v>Proceso de pesaje</c:v>
                </c:pt>
                <c:pt idx="1">
                  <c:v>Pesa de referencia</c:v>
                </c:pt>
                <c:pt idx="2">
                  <c:v>Corrección por empuje del aire</c:v>
                </c:pt>
                <c:pt idx="3">
                  <c:v>Resolución balanza</c:v>
                </c:pt>
                <c:pt idx="4">
                  <c:v>Incertidumbre por repetibilidad del método</c:v>
                </c:pt>
              </c:strCache>
            </c:strRef>
          </c:cat>
          <c:val>
            <c:numRef>
              <c:f>('200 g %'!$G$59,'200 g %'!$G$62,'200 g %'!$G$66:$G$67,'200 g %'!$G$68)</c:f>
              <c:numCache>
                <c:formatCode>0%</c:formatCode>
                <c:ptCount val="5"/>
                <c:pt idx="0">
                  <c:v>0</c:v>
                </c:pt>
                <c:pt idx="1">
                  <c:v>#N/A</c:v>
                </c:pt>
                <c:pt idx="2">
                  <c:v>#N/A</c:v>
                </c:pt>
                <c:pt idx="3">
                  <c:v>#N/A</c:v>
                </c:pt>
                <c:pt idx="4">
                  <c:v>0</c:v>
                </c:pt>
              </c:numCache>
            </c:numRef>
          </c:val>
          <c:extLst>
            <c:ext xmlns:c16="http://schemas.microsoft.com/office/drawing/2014/chart" uri="{C3380CC4-5D6E-409C-BE32-E72D297353CC}">
              <c16:uniqueId val="{00000004-728C-4FC2-A12F-86B80C8ACA86}"/>
            </c:ext>
          </c:extLst>
        </c:ser>
        <c:dLbls>
          <c:dLblPos val="inEnd"/>
          <c:showLegendKey val="0"/>
          <c:showVal val="1"/>
          <c:showCatName val="0"/>
          <c:showSerName val="0"/>
          <c:showPercent val="0"/>
          <c:showBubbleSize val="0"/>
        </c:dLbls>
        <c:gapWidth val="65"/>
        <c:axId val="165227904"/>
        <c:axId val="165267712"/>
      </c:barChart>
      <c:catAx>
        <c:axId val="165227904"/>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solidFill>
                <a:latin typeface="+mn-lt"/>
                <a:ea typeface="+mn-ea"/>
                <a:cs typeface="+mn-cs"/>
              </a:defRPr>
            </a:pPr>
            <a:endParaRPr lang="es-CO"/>
          </a:p>
        </c:txPr>
        <c:crossAx val="165267712"/>
        <c:crosses val="autoZero"/>
        <c:auto val="1"/>
        <c:lblAlgn val="ctr"/>
        <c:lblOffset val="100"/>
        <c:noMultiLvlLbl val="0"/>
      </c:catAx>
      <c:valAx>
        <c:axId val="165267712"/>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 sourceLinked="1"/>
        <c:majorTickMark val="none"/>
        <c:minorTickMark val="none"/>
        <c:tickLblPos val="nextTo"/>
        <c:crossAx val="165227904"/>
        <c:crosses val="autoZero"/>
        <c:crossBetween val="between"/>
      </c:valAx>
      <c:spPr>
        <a:noFill/>
        <a:ln>
          <a:noFill/>
        </a:ln>
        <a:effectLst/>
      </c:spPr>
    </c:plotArea>
    <c:plotVisOnly val="1"/>
    <c:dispBlanksAs val="gap"/>
    <c:showDLblsOverMax val="0"/>
  </c:chart>
  <c:spPr>
    <a:solidFill>
      <a:schemeClr val="accent6">
        <a:lumMod val="40000"/>
        <a:lumOff val="60000"/>
      </a:schemeClr>
    </a:solidFill>
    <a:ln w="12700" cap="flat" cmpd="sng" algn="ctr">
      <a:solidFill>
        <a:schemeClr val="dk1"/>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800" b="1" i="0" u="none" strike="noStrike" kern="1200" baseline="0">
              <a:solidFill>
                <a:schemeClr val="dk1"/>
              </a:solidFill>
              <a:latin typeface="+mn-lt"/>
              <a:ea typeface="+mn-ea"/>
              <a:cs typeface="+mn-cs"/>
            </a:defRPr>
          </a:pPr>
          <a:endParaRPr lang="es-CO"/>
        </a:p>
      </c:txPr>
    </c:title>
    <c:autoTitleDeleted val="0"/>
    <c:plotArea>
      <c:layout/>
      <c:barChart>
        <c:barDir val="col"/>
        <c:grouping val="clustered"/>
        <c:varyColors val="0"/>
        <c:ser>
          <c:idx val="0"/>
          <c:order val="0"/>
          <c:tx>
            <c:strRef>
              <c:f>'200 g + %'!$G$58</c:f>
              <c:strCache>
                <c:ptCount val="1"/>
                <c:pt idx="0">
                  <c:v>Aporte a la Incertidumbre</c:v>
                </c:pt>
              </c:strCache>
            </c:strRef>
          </c:tx>
          <c:spPr>
            <a:solidFill>
              <a:schemeClr val="accent2">
                <a:alpha val="85000"/>
              </a:schemeClr>
            </a:solidFill>
            <a:ln w="9525" cap="flat" cmpd="sng" algn="ctr">
              <a:solidFill>
                <a:schemeClr val="lt1">
                  <a:alpha val="50000"/>
                </a:schemeClr>
              </a:solidFill>
              <a:round/>
            </a:ln>
            <a:effectLst/>
          </c:spPr>
          <c:invertIfNegative val="0"/>
          <c:dLbls>
            <c:dLbl>
              <c:idx val="0"/>
              <c:layout>
                <c:manualLayout>
                  <c:x val="5.8076231684837075E-3"/>
                  <c:y val="-1.0880458124555947E-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BEE-4680-8CDB-FD864BD2B306}"/>
                </c:ext>
              </c:extLst>
            </c:dLbl>
            <c:dLbl>
              <c:idx val="1"/>
              <c:layout>
                <c:manualLayout>
                  <c:x val="0"/>
                  <c:y val="4.240515390121689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BEE-4680-8CDB-FD864BD2B306}"/>
                </c:ext>
              </c:extLst>
            </c:dLbl>
            <c:dLbl>
              <c:idx val="2"/>
              <c:layout>
                <c:manualLayout>
                  <c:x val="0"/>
                  <c:y val="-9.454488188976377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BEE-4680-8CDB-FD864BD2B306}"/>
                </c:ext>
              </c:extLst>
            </c:dLbl>
            <c:dLbl>
              <c:idx val="3"/>
              <c:layout>
                <c:manualLayout>
                  <c:x val="0"/>
                  <c:y val="2.320400858983469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BEE-4680-8CDB-FD864BD2B306}"/>
                </c:ext>
              </c:extLst>
            </c:dLbl>
            <c:spPr>
              <a:noFill/>
              <a:ln>
                <a:noFill/>
              </a:ln>
              <a:effectLst/>
            </c:spPr>
            <c:txPr>
              <a:bodyPr rot="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('RT03-F13 (mg)% '!$A$59,'RT03-F13 (mg)% '!$A$62,'RT03-F13 (mg)% '!$A$66:$A$68)</c:f>
              <c:strCache>
                <c:ptCount val="5"/>
                <c:pt idx="0">
                  <c:v>Proceso de pesaje</c:v>
                </c:pt>
                <c:pt idx="1">
                  <c:v>Pesa de referencia</c:v>
                </c:pt>
                <c:pt idx="2">
                  <c:v>Corrección por empuje del aire</c:v>
                </c:pt>
                <c:pt idx="3">
                  <c:v>Resolución balanza</c:v>
                </c:pt>
                <c:pt idx="4">
                  <c:v>Incertidumbre por repetibilidad del método</c:v>
                </c:pt>
              </c:strCache>
            </c:strRef>
          </c:cat>
          <c:val>
            <c:numRef>
              <c:f>('200 g + %'!$G$59,'200 g + %'!$G$62,'200 g + %'!$G$66:$G$67,'200 g + %'!$G$68)</c:f>
              <c:numCache>
                <c:formatCode>0%</c:formatCode>
                <c:ptCount val="5"/>
                <c:pt idx="0">
                  <c:v>0</c:v>
                </c:pt>
                <c:pt idx="1">
                  <c:v>#N/A</c:v>
                </c:pt>
                <c:pt idx="2">
                  <c:v>#N/A</c:v>
                </c:pt>
                <c:pt idx="3">
                  <c:v>#N/A</c:v>
                </c:pt>
                <c:pt idx="4">
                  <c:v>0</c:v>
                </c:pt>
              </c:numCache>
            </c:numRef>
          </c:val>
          <c:extLst>
            <c:ext xmlns:c16="http://schemas.microsoft.com/office/drawing/2014/chart" uri="{C3380CC4-5D6E-409C-BE32-E72D297353CC}">
              <c16:uniqueId val="{00000004-ABEE-4680-8CDB-FD864BD2B306}"/>
            </c:ext>
          </c:extLst>
        </c:ser>
        <c:dLbls>
          <c:dLblPos val="inEnd"/>
          <c:showLegendKey val="0"/>
          <c:showVal val="1"/>
          <c:showCatName val="0"/>
          <c:showSerName val="0"/>
          <c:showPercent val="0"/>
          <c:showBubbleSize val="0"/>
        </c:dLbls>
        <c:gapWidth val="65"/>
        <c:axId val="165886208"/>
        <c:axId val="165905536"/>
      </c:barChart>
      <c:catAx>
        <c:axId val="165886208"/>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solidFill>
                <a:latin typeface="+mn-lt"/>
                <a:ea typeface="+mn-ea"/>
                <a:cs typeface="+mn-cs"/>
              </a:defRPr>
            </a:pPr>
            <a:endParaRPr lang="es-CO"/>
          </a:p>
        </c:txPr>
        <c:crossAx val="165905536"/>
        <c:crosses val="autoZero"/>
        <c:auto val="1"/>
        <c:lblAlgn val="ctr"/>
        <c:lblOffset val="100"/>
        <c:noMultiLvlLbl val="0"/>
      </c:catAx>
      <c:valAx>
        <c:axId val="165905536"/>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 sourceLinked="1"/>
        <c:majorTickMark val="none"/>
        <c:minorTickMark val="none"/>
        <c:tickLblPos val="nextTo"/>
        <c:crossAx val="165886208"/>
        <c:crosses val="autoZero"/>
        <c:crossBetween val="between"/>
      </c:valAx>
      <c:spPr>
        <a:noFill/>
        <a:ln>
          <a:noFill/>
        </a:ln>
        <a:effectLst/>
      </c:spPr>
    </c:plotArea>
    <c:plotVisOnly val="1"/>
    <c:dispBlanksAs val="gap"/>
    <c:showDLblsOverMax val="0"/>
  </c:chart>
  <c:spPr>
    <a:solidFill>
      <a:schemeClr val="accent6">
        <a:lumMod val="40000"/>
        <a:lumOff val="60000"/>
      </a:schemeClr>
    </a:solidFill>
    <a:ln w="12700" cap="flat" cmpd="sng" algn="ctr">
      <a:solidFill>
        <a:schemeClr val="dk1"/>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800" b="1" i="0" u="none" strike="noStrike" kern="1200" baseline="0">
              <a:solidFill>
                <a:schemeClr val="dk1"/>
              </a:solidFill>
              <a:latin typeface="+mn-lt"/>
              <a:ea typeface="+mn-ea"/>
              <a:cs typeface="+mn-cs"/>
            </a:defRPr>
          </a:pPr>
          <a:endParaRPr lang="es-CO"/>
        </a:p>
      </c:txPr>
    </c:title>
    <c:autoTitleDeleted val="0"/>
    <c:plotArea>
      <c:layout/>
      <c:barChart>
        <c:barDir val="col"/>
        <c:grouping val="clustered"/>
        <c:varyColors val="0"/>
        <c:ser>
          <c:idx val="0"/>
          <c:order val="0"/>
          <c:tx>
            <c:strRef>
              <c:f>'500 g %'!$G$58</c:f>
              <c:strCache>
                <c:ptCount val="1"/>
                <c:pt idx="0">
                  <c:v>Aporte a la Incertidumbre</c:v>
                </c:pt>
              </c:strCache>
            </c:strRef>
          </c:tx>
          <c:spPr>
            <a:solidFill>
              <a:schemeClr val="accent2">
                <a:alpha val="85000"/>
              </a:schemeClr>
            </a:solidFill>
            <a:ln w="9525" cap="flat" cmpd="sng" algn="ctr">
              <a:solidFill>
                <a:schemeClr val="lt1">
                  <a:alpha val="50000"/>
                </a:schemeClr>
              </a:solidFill>
              <a:round/>
            </a:ln>
            <a:effectLst/>
          </c:spPr>
          <c:invertIfNegative val="0"/>
          <c:dLbls>
            <c:dLbl>
              <c:idx val="0"/>
              <c:layout>
                <c:manualLayout>
                  <c:x val="5.8076231684837075E-3"/>
                  <c:y val="-1.0880458124555947E-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C92-447F-8510-90BACA648CB3}"/>
                </c:ext>
              </c:extLst>
            </c:dLbl>
            <c:dLbl>
              <c:idx val="1"/>
              <c:layout>
                <c:manualLayout>
                  <c:x val="0"/>
                  <c:y val="4.240515390121689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C92-447F-8510-90BACA648CB3}"/>
                </c:ext>
              </c:extLst>
            </c:dLbl>
            <c:dLbl>
              <c:idx val="2"/>
              <c:layout>
                <c:manualLayout>
                  <c:x val="0"/>
                  <c:y val="-9.454488188976377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C92-447F-8510-90BACA648CB3}"/>
                </c:ext>
              </c:extLst>
            </c:dLbl>
            <c:dLbl>
              <c:idx val="3"/>
              <c:layout>
                <c:manualLayout>
                  <c:x val="0"/>
                  <c:y val="2.320400858983469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C92-447F-8510-90BACA648CB3}"/>
                </c:ext>
              </c:extLst>
            </c:dLbl>
            <c:spPr>
              <a:noFill/>
              <a:ln>
                <a:noFill/>
              </a:ln>
              <a:effectLst/>
            </c:spPr>
            <c:txPr>
              <a:bodyPr rot="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('RT03-F13 (mg)% '!$A$59,'RT03-F13 (mg)% '!$A$62,'RT03-F13 (mg)% '!$A$66:$A$68)</c:f>
              <c:strCache>
                <c:ptCount val="5"/>
                <c:pt idx="0">
                  <c:v>Proceso de pesaje</c:v>
                </c:pt>
                <c:pt idx="1">
                  <c:v>Pesa de referencia</c:v>
                </c:pt>
                <c:pt idx="2">
                  <c:v>Corrección por empuje del aire</c:v>
                </c:pt>
                <c:pt idx="3">
                  <c:v>Resolución balanza</c:v>
                </c:pt>
                <c:pt idx="4">
                  <c:v>Incertidumbre por repetibilidad del método</c:v>
                </c:pt>
              </c:strCache>
            </c:strRef>
          </c:cat>
          <c:val>
            <c:numRef>
              <c:f>('500 g %'!$G$59,'500 g %'!$G$62,'500 g %'!$G$66:$G$67,'500 g %'!$G$68)</c:f>
              <c:numCache>
                <c:formatCode>0%</c:formatCode>
                <c:ptCount val="5"/>
                <c:pt idx="0">
                  <c:v>0</c:v>
                </c:pt>
                <c:pt idx="1">
                  <c:v>#N/A</c:v>
                </c:pt>
                <c:pt idx="2">
                  <c:v>#N/A</c:v>
                </c:pt>
                <c:pt idx="3">
                  <c:v>#N/A</c:v>
                </c:pt>
                <c:pt idx="4">
                  <c:v>0</c:v>
                </c:pt>
              </c:numCache>
            </c:numRef>
          </c:val>
          <c:extLst>
            <c:ext xmlns:c16="http://schemas.microsoft.com/office/drawing/2014/chart" uri="{C3380CC4-5D6E-409C-BE32-E72D297353CC}">
              <c16:uniqueId val="{00000004-EC92-447F-8510-90BACA648CB3}"/>
            </c:ext>
          </c:extLst>
        </c:ser>
        <c:dLbls>
          <c:dLblPos val="inEnd"/>
          <c:showLegendKey val="0"/>
          <c:showVal val="1"/>
          <c:showCatName val="0"/>
          <c:showSerName val="0"/>
          <c:showPercent val="0"/>
          <c:showBubbleSize val="0"/>
        </c:dLbls>
        <c:gapWidth val="65"/>
        <c:axId val="166585472"/>
        <c:axId val="166879232"/>
      </c:barChart>
      <c:catAx>
        <c:axId val="166585472"/>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solidFill>
                <a:latin typeface="+mn-lt"/>
                <a:ea typeface="+mn-ea"/>
                <a:cs typeface="+mn-cs"/>
              </a:defRPr>
            </a:pPr>
            <a:endParaRPr lang="es-CO"/>
          </a:p>
        </c:txPr>
        <c:crossAx val="166879232"/>
        <c:crosses val="autoZero"/>
        <c:auto val="1"/>
        <c:lblAlgn val="ctr"/>
        <c:lblOffset val="100"/>
        <c:noMultiLvlLbl val="0"/>
      </c:catAx>
      <c:valAx>
        <c:axId val="166879232"/>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 sourceLinked="1"/>
        <c:majorTickMark val="none"/>
        <c:minorTickMark val="none"/>
        <c:tickLblPos val="nextTo"/>
        <c:crossAx val="166585472"/>
        <c:crosses val="autoZero"/>
        <c:crossBetween val="between"/>
      </c:valAx>
      <c:spPr>
        <a:noFill/>
        <a:ln>
          <a:noFill/>
        </a:ln>
        <a:effectLst/>
      </c:spPr>
    </c:plotArea>
    <c:plotVisOnly val="1"/>
    <c:dispBlanksAs val="gap"/>
    <c:showDLblsOverMax val="0"/>
  </c:chart>
  <c:spPr>
    <a:solidFill>
      <a:schemeClr val="accent6">
        <a:lumMod val="40000"/>
        <a:lumOff val="60000"/>
      </a:schemeClr>
    </a:solidFill>
    <a:ln w="12700" cap="flat" cmpd="sng" algn="ctr">
      <a:solidFill>
        <a:schemeClr val="dk1"/>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800" b="1" i="0" u="none" strike="noStrike" kern="1200" baseline="0">
              <a:solidFill>
                <a:schemeClr val="dk1"/>
              </a:solidFill>
              <a:latin typeface="+mn-lt"/>
              <a:ea typeface="+mn-ea"/>
              <a:cs typeface="+mn-cs"/>
            </a:defRPr>
          </a:pPr>
          <a:endParaRPr lang="es-CO"/>
        </a:p>
      </c:txPr>
    </c:title>
    <c:autoTitleDeleted val="0"/>
    <c:plotArea>
      <c:layout/>
      <c:barChart>
        <c:barDir val="col"/>
        <c:grouping val="clustered"/>
        <c:varyColors val="0"/>
        <c:ser>
          <c:idx val="0"/>
          <c:order val="0"/>
          <c:tx>
            <c:strRef>
              <c:f>'1 kg %'!$G$58</c:f>
              <c:strCache>
                <c:ptCount val="1"/>
                <c:pt idx="0">
                  <c:v>Aporte a la Incertidumbre</c:v>
                </c:pt>
              </c:strCache>
            </c:strRef>
          </c:tx>
          <c:spPr>
            <a:solidFill>
              <a:schemeClr val="accent2">
                <a:alpha val="85000"/>
              </a:schemeClr>
            </a:solidFill>
            <a:ln w="9525" cap="flat" cmpd="sng" algn="ctr">
              <a:solidFill>
                <a:schemeClr val="lt1">
                  <a:alpha val="50000"/>
                </a:schemeClr>
              </a:solidFill>
              <a:round/>
            </a:ln>
            <a:effectLst/>
          </c:spPr>
          <c:invertIfNegative val="0"/>
          <c:dLbls>
            <c:dLbl>
              <c:idx val="0"/>
              <c:layout>
                <c:manualLayout>
                  <c:x val="5.8076231684837075E-3"/>
                  <c:y val="-1.0880458124555947E-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027-4147-9C7D-E062E73C4E1E}"/>
                </c:ext>
              </c:extLst>
            </c:dLbl>
            <c:dLbl>
              <c:idx val="1"/>
              <c:layout>
                <c:manualLayout>
                  <c:x val="0"/>
                  <c:y val="4.240515390121689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027-4147-9C7D-E062E73C4E1E}"/>
                </c:ext>
              </c:extLst>
            </c:dLbl>
            <c:dLbl>
              <c:idx val="2"/>
              <c:layout>
                <c:manualLayout>
                  <c:x val="0"/>
                  <c:y val="-9.454488188976377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027-4147-9C7D-E062E73C4E1E}"/>
                </c:ext>
              </c:extLst>
            </c:dLbl>
            <c:dLbl>
              <c:idx val="3"/>
              <c:layout>
                <c:manualLayout>
                  <c:x val="0"/>
                  <c:y val="2.320400858983469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027-4147-9C7D-E062E73C4E1E}"/>
                </c:ext>
              </c:extLst>
            </c:dLbl>
            <c:spPr>
              <a:noFill/>
              <a:ln>
                <a:noFill/>
              </a:ln>
              <a:effectLst/>
            </c:spPr>
            <c:txPr>
              <a:bodyPr rot="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('RT03-F13 (mg)% '!$A$59,'RT03-F13 (mg)% '!$A$62,'RT03-F13 (mg)% '!$A$66:$A$68)</c:f>
              <c:strCache>
                <c:ptCount val="5"/>
                <c:pt idx="0">
                  <c:v>Proceso de pesaje</c:v>
                </c:pt>
                <c:pt idx="1">
                  <c:v>Pesa de referencia</c:v>
                </c:pt>
                <c:pt idx="2">
                  <c:v>Corrección por empuje del aire</c:v>
                </c:pt>
                <c:pt idx="3">
                  <c:v>Resolución balanza</c:v>
                </c:pt>
                <c:pt idx="4">
                  <c:v>Incertidumbre por repetibilidad del método</c:v>
                </c:pt>
              </c:strCache>
            </c:strRef>
          </c:cat>
          <c:val>
            <c:numRef>
              <c:f>('1 kg %'!$G$59,'1 kg %'!$G$62,'1 kg %'!$G$66:$G$67,'1 kg %'!$G$68)</c:f>
              <c:numCache>
                <c:formatCode>0%</c:formatCode>
                <c:ptCount val="5"/>
                <c:pt idx="0">
                  <c:v>0</c:v>
                </c:pt>
                <c:pt idx="1">
                  <c:v>#N/A</c:v>
                </c:pt>
                <c:pt idx="2">
                  <c:v>#N/A</c:v>
                </c:pt>
                <c:pt idx="3">
                  <c:v>#N/A</c:v>
                </c:pt>
                <c:pt idx="4">
                  <c:v>0</c:v>
                </c:pt>
              </c:numCache>
            </c:numRef>
          </c:val>
          <c:extLst>
            <c:ext xmlns:c16="http://schemas.microsoft.com/office/drawing/2014/chart" uri="{C3380CC4-5D6E-409C-BE32-E72D297353CC}">
              <c16:uniqueId val="{00000004-4027-4147-9C7D-E062E73C4E1E}"/>
            </c:ext>
          </c:extLst>
        </c:ser>
        <c:dLbls>
          <c:dLblPos val="inEnd"/>
          <c:showLegendKey val="0"/>
          <c:showVal val="1"/>
          <c:showCatName val="0"/>
          <c:showSerName val="0"/>
          <c:showPercent val="0"/>
          <c:showBubbleSize val="0"/>
        </c:dLbls>
        <c:gapWidth val="65"/>
        <c:axId val="207289728"/>
        <c:axId val="207710464"/>
      </c:barChart>
      <c:catAx>
        <c:axId val="207289728"/>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solidFill>
                <a:latin typeface="+mn-lt"/>
                <a:ea typeface="+mn-ea"/>
                <a:cs typeface="+mn-cs"/>
              </a:defRPr>
            </a:pPr>
            <a:endParaRPr lang="es-CO"/>
          </a:p>
        </c:txPr>
        <c:crossAx val="207710464"/>
        <c:crosses val="autoZero"/>
        <c:auto val="1"/>
        <c:lblAlgn val="ctr"/>
        <c:lblOffset val="100"/>
        <c:noMultiLvlLbl val="0"/>
      </c:catAx>
      <c:valAx>
        <c:axId val="207710464"/>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 sourceLinked="1"/>
        <c:majorTickMark val="none"/>
        <c:minorTickMark val="none"/>
        <c:tickLblPos val="nextTo"/>
        <c:crossAx val="207289728"/>
        <c:crosses val="autoZero"/>
        <c:crossBetween val="between"/>
      </c:valAx>
      <c:spPr>
        <a:noFill/>
        <a:ln>
          <a:noFill/>
        </a:ln>
        <a:effectLst/>
      </c:spPr>
    </c:plotArea>
    <c:plotVisOnly val="1"/>
    <c:dispBlanksAs val="gap"/>
    <c:showDLblsOverMax val="0"/>
  </c:chart>
  <c:spPr>
    <a:solidFill>
      <a:schemeClr val="accent6">
        <a:lumMod val="40000"/>
        <a:lumOff val="60000"/>
      </a:schemeClr>
    </a:solidFill>
    <a:ln w="12700" cap="flat" cmpd="sng" algn="ctr">
      <a:solidFill>
        <a:schemeClr val="dk1"/>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800" b="1" i="0" u="none" strike="noStrike" kern="1200" baseline="0">
              <a:solidFill>
                <a:schemeClr val="dk1"/>
              </a:solidFill>
              <a:latin typeface="+mn-lt"/>
              <a:ea typeface="+mn-ea"/>
              <a:cs typeface="+mn-cs"/>
            </a:defRPr>
          </a:pPr>
          <a:endParaRPr lang="es-CO"/>
        </a:p>
      </c:txPr>
    </c:title>
    <c:autoTitleDeleted val="0"/>
    <c:plotArea>
      <c:layout/>
      <c:barChart>
        <c:barDir val="col"/>
        <c:grouping val="clustered"/>
        <c:varyColors val="0"/>
        <c:ser>
          <c:idx val="0"/>
          <c:order val="0"/>
          <c:tx>
            <c:strRef>
              <c:f>'2 kg %'!$G$58</c:f>
              <c:strCache>
                <c:ptCount val="1"/>
                <c:pt idx="0">
                  <c:v>Aporte a la Incertidumbre</c:v>
                </c:pt>
              </c:strCache>
            </c:strRef>
          </c:tx>
          <c:spPr>
            <a:solidFill>
              <a:schemeClr val="accent2">
                <a:alpha val="8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('RT03-F13 (mg)% '!$A$59,'RT03-F13 (mg)% '!$A$62,'RT03-F13 (mg)% '!$A$66:$A$68)</c:f>
              <c:strCache>
                <c:ptCount val="5"/>
                <c:pt idx="0">
                  <c:v>Proceso de pesaje</c:v>
                </c:pt>
                <c:pt idx="1">
                  <c:v>Pesa de referencia</c:v>
                </c:pt>
                <c:pt idx="2">
                  <c:v>Corrección por empuje del aire</c:v>
                </c:pt>
                <c:pt idx="3">
                  <c:v>Resolución balanza</c:v>
                </c:pt>
                <c:pt idx="4">
                  <c:v>Incertidumbre por repetibilidad del método</c:v>
                </c:pt>
              </c:strCache>
            </c:strRef>
          </c:cat>
          <c:val>
            <c:numRef>
              <c:f>('2 kg %'!$G$59,'2 kg %'!$G$66,'2 kg %'!$G$66:$G$68)</c:f>
              <c:numCache>
                <c:formatCode>0%</c:formatCode>
                <c:ptCount val="5"/>
                <c:pt idx="0">
                  <c:v>0</c:v>
                </c:pt>
                <c:pt idx="1">
                  <c:v>#N/A</c:v>
                </c:pt>
                <c:pt idx="2">
                  <c:v>#N/A</c:v>
                </c:pt>
                <c:pt idx="3">
                  <c:v>#N/A</c:v>
                </c:pt>
                <c:pt idx="4">
                  <c:v>0</c:v>
                </c:pt>
              </c:numCache>
            </c:numRef>
          </c:val>
          <c:extLst>
            <c:ext xmlns:c16="http://schemas.microsoft.com/office/drawing/2014/chart" uri="{C3380CC4-5D6E-409C-BE32-E72D297353CC}">
              <c16:uniqueId val="{00000004-641E-4633-91FB-F523A9274673}"/>
            </c:ext>
          </c:extLst>
        </c:ser>
        <c:dLbls>
          <c:dLblPos val="inEnd"/>
          <c:showLegendKey val="0"/>
          <c:showVal val="1"/>
          <c:showCatName val="0"/>
          <c:showSerName val="0"/>
          <c:showPercent val="0"/>
          <c:showBubbleSize val="0"/>
        </c:dLbls>
        <c:gapWidth val="65"/>
        <c:axId val="208429824"/>
        <c:axId val="208432512"/>
      </c:barChart>
      <c:catAx>
        <c:axId val="208429824"/>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solidFill>
                <a:latin typeface="+mn-lt"/>
                <a:ea typeface="+mn-ea"/>
                <a:cs typeface="+mn-cs"/>
              </a:defRPr>
            </a:pPr>
            <a:endParaRPr lang="es-CO"/>
          </a:p>
        </c:txPr>
        <c:crossAx val="208432512"/>
        <c:crosses val="autoZero"/>
        <c:auto val="1"/>
        <c:lblAlgn val="ctr"/>
        <c:lblOffset val="100"/>
        <c:noMultiLvlLbl val="0"/>
      </c:catAx>
      <c:valAx>
        <c:axId val="208432512"/>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 sourceLinked="1"/>
        <c:majorTickMark val="none"/>
        <c:minorTickMark val="none"/>
        <c:tickLblPos val="nextTo"/>
        <c:crossAx val="208429824"/>
        <c:crosses val="autoZero"/>
        <c:crossBetween val="between"/>
      </c:valAx>
      <c:spPr>
        <a:noFill/>
        <a:ln>
          <a:noFill/>
        </a:ln>
        <a:effectLst/>
      </c:spPr>
    </c:plotArea>
    <c:plotVisOnly val="1"/>
    <c:dispBlanksAs val="gap"/>
    <c:showDLblsOverMax val="0"/>
  </c:chart>
  <c:spPr>
    <a:solidFill>
      <a:schemeClr val="accent6">
        <a:lumMod val="40000"/>
        <a:lumOff val="60000"/>
      </a:schemeClr>
    </a:solidFill>
    <a:ln w="12700" cap="flat" cmpd="sng" algn="ctr">
      <a:solidFill>
        <a:schemeClr val="dk1"/>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800" b="1" i="0" u="none" strike="noStrike" kern="1200" baseline="0">
              <a:solidFill>
                <a:schemeClr val="dk1"/>
              </a:solidFill>
              <a:latin typeface="+mn-lt"/>
              <a:ea typeface="+mn-ea"/>
              <a:cs typeface="+mn-cs"/>
            </a:defRPr>
          </a:pPr>
          <a:endParaRPr lang="es-CO"/>
        </a:p>
      </c:txPr>
    </c:title>
    <c:autoTitleDeleted val="0"/>
    <c:plotArea>
      <c:layout/>
      <c:barChart>
        <c:barDir val="col"/>
        <c:grouping val="clustered"/>
        <c:varyColors val="0"/>
        <c:ser>
          <c:idx val="0"/>
          <c:order val="0"/>
          <c:tx>
            <c:strRef>
              <c:f>'2 kg + %'!$G$58</c:f>
              <c:strCache>
                <c:ptCount val="1"/>
                <c:pt idx="0">
                  <c:v>Aporte a la Incertidumbre</c:v>
                </c:pt>
              </c:strCache>
            </c:strRef>
          </c:tx>
          <c:spPr>
            <a:solidFill>
              <a:schemeClr val="accent2">
                <a:alpha val="85000"/>
              </a:schemeClr>
            </a:solidFill>
            <a:ln w="9525" cap="flat" cmpd="sng" algn="ctr">
              <a:solidFill>
                <a:schemeClr val="lt1">
                  <a:alpha val="50000"/>
                </a:schemeClr>
              </a:solidFill>
              <a:round/>
            </a:ln>
            <a:effectLst/>
          </c:spPr>
          <c:invertIfNegative val="0"/>
          <c:dLbls>
            <c:dLbl>
              <c:idx val="0"/>
              <c:layout>
                <c:manualLayout>
                  <c:x val="5.8076231684837075E-3"/>
                  <c:y val="-1.0880458124555947E-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550-4B3B-8FAC-BB773CF42F35}"/>
                </c:ext>
              </c:extLst>
            </c:dLbl>
            <c:dLbl>
              <c:idx val="1"/>
              <c:layout>
                <c:manualLayout>
                  <c:x val="0"/>
                  <c:y val="4.240515390121689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550-4B3B-8FAC-BB773CF42F35}"/>
                </c:ext>
              </c:extLst>
            </c:dLbl>
            <c:dLbl>
              <c:idx val="2"/>
              <c:layout>
                <c:manualLayout>
                  <c:x val="0"/>
                  <c:y val="-9.454488188976377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550-4B3B-8FAC-BB773CF42F35}"/>
                </c:ext>
              </c:extLst>
            </c:dLbl>
            <c:dLbl>
              <c:idx val="3"/>
              <c:layout>
                <c:manualLayout>
                  <c:x val="0"/>
                  <c:y val="2.320400858983469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550-4B3B-8FAC-BB773CF42F35}"/>
                </c:ext>
              </c:extLst>
            </c:dLbl>
            <c:spPr>
              <a:noFill/>
              <a:ln>
                <a:noFill/>
              </a:ln>
              <a:effectLst/>
            </c:spPr>
            <c:txPr>
              <a:bodyPr rot="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('RT03-F13 (mg)% '!$A$59,'RT03-F13 (mg)% '!$A$62,'RT03-F13 (mg)% '!$A$66:$A$68)</c:f>
              <c:strCache>
                <c:ptCount val="5"/>
                <c:pt idx="0">
                  <c:v>Proceso de pesaje</c:v>
                </c:pt>
                <c:pt idx="1">
                  <c:v>Pesa de referencia</c:v>
                </c:pt>
                <c:pt idx="2">
                  <c:v>Corrección por empuje del aire</c:v>
                </c:pt>
                <c:pt idx="3">
                  <c:v>Resolución balanza</c:v>
                </c:pt>
                <c:pt idx="4">
                  <c:v>Incertidumbre por repetibilidad del método</c:v>
                </c:pt>
              </c:strCache>
            </c:strRef>
          </c:cat>
          <c:val>
            <c:numRef>
              <c:f>('2 kg + %'!$G$59,'2 kg + %'!$G$62,'2 kg + %'!$G$66:$G$67,'2 kg + %'!$G$68)</c:f>
              <c:numCache>
                <c:formatCode>0%</c:formatCode>
                <c:ptCount val="5"/>
                <c:pt idx="0">
                  <c:v>0</c:v>
                </c:pt>
                <c:pt idx="1">
                  <c:v>#N/A</c:v>
                </c:pt>
                <c:pt idx="2">
                  <c:v>#N/A</c:v>
                </c:pt>
                <c:pt idx="3">
                  <c:v>#N/A</c:v>
                </c:pt>
                <c:pt idx="4">
                  <c:v>0</c:v>
                </c:pt>
              </c:numCache>
            </c:numRef>
          </c:val>
          <c:extLst>
            <c:ext xmlns:c16="http://schemas.microsoft.com/office/drawing/2014/chart" uri="{C3380CC4-5D6E-409C-BE32-E72D297353CC}">
              <c16:uniqueId val="{00000004-2550-4B3B-8FAC-BB773CF42F35}"/>
            </c:ext>
          </c:extLst>
        </c:ser>
        <c:dLbls>
          <c:dLblPos val="inEnd"/>
          <c:showLegendKey val="0"/>
          <c:showVal val="1"/>
          <c:showCatName val="0"/>
          <c:showSerName val="0"/>
          <c:showPercent val="0"/>
          <c:showBubbleSize val="0"/>
        </c:dLbls>
        <c:gapWidth val="65"/>
        <c:axId val="209104256"/>
        <c:axId val="209119488"/>
      </c:barChart>
      <c:catAx>
        <c:axId val="209104256"/>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solidFill>
                <a:latin typeface="+mn-lt"/>
                <a:ea typeface="+mn-ea"/>
                <a:cs typeface="+mn-cs"/>
              </a:defRPr>
            </a:pPr>
            <a:endParaRPr lang="es-CO"/>
          </a:p>
        </c:txPr>
        <c:crossAx val="209119488"/>
        <c:crosses val="autoZero"/>
        <c:auto val="1"/>
        <c:lblAlgn val="ctr"/>
        <c:lblOffset val="100"/>
        <c:noMultiLvlLbl val="0"/>
      </c:catAx>
      <c:valAx>
        <c:axId val="209119488"/>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 sourceLinked="1"/>
        <c:majorTickMark val="none"/>
        <c:minorTickMark val="none"/>
        <c:tickLblPos val="nextTo"/>
        <c:crossAx val="209104256"/>
        <c:crosses val="autoZero"/>
        <c:crossBetween val="between"/>
      </c:valAx>
      <c:spPr>
        <a:noFill/>
        <a:ln>
          <a:noFill/>
        </a:ln>
        <a:effectLst/>
      </c:spPr>
    </c:plotArea>
    <c:plotVisOnly val="1"/>
    <c:dispBlanksAs val="gap"/>
    <c:showDLblsOverMax val="0"/>
  </c:chart>
  <c:spPr>
    <a:solidFill>
      <a:schemeClr val="accent6">
        <a:lumMod val="40000"/>
        <a:lumOff val="60000"/>
      </a:schemeClr>
    </a:solidFill>
    <a:ln w="12700" cap="flat" cmpd="sng" algn="ctr">
      <a:solidFill>
        <a:schemeClr val="dk1"/>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800" b="1" i="0" u="none" strike="noStrike" kern="1200" baseline="0">
              <a:solidFill>
                <a:schemeClr val="dk1"/>
              </a:solidFill>
              <a:latin typeface="+mn-lt"/>
              <a:ea typeface="+mn-ea"/>
              <a:cs typeface="+mn-cs"/>
            </a:defRPr>
          </a:pPr>
          <a:endParaRPr lang="es-CO"/>
        </a:p>
      </c:txPr>
    </c:title>
    <c:autoTitleDeleted val="0"/>
    <c:plotArea>
      <c:layout/>
      <c:barChart>
        <c:barDir val="col"/>
        <c:grouping val="clustered"/>
        <c:varyColors val="0"/>
        <c:ser>
          <c:idx val="0"/>
          <c:order val="0"/>
          <c:tx>
            <c:strRef>
              <c:f>'5 kg %'!$G$58</c:f>
              <c:strCache>
                <c:ptCount val="1"/>
                <c:pt idx="0">
                  <c:v>Aporte a la Incertidumbre</c:v>
                </c:pt>
              </c:strCache>
            </c:strRef>
          </c:tx>
          <c:spPr>
            <a:solidFill>
              <a:schemeClr val="accent2">
                <a:alpha val="85000"/>
              </a:schemeClr>
            </a:solidFill>
            <a:ln w="9525" cap="flat" cmpd="sng" algn="ctr">
              <a:solidFill>
                <a:schemeClr val="lt1">
                  <a:alpha val="50000"/>
                </a:schemeClr>
              </a:solidFill>
              <a:round/>
            </a:ln>
            <a:effectLst/>
          </c:spPr>
          <c:invertIfNegative val="0"/>
          <c:dLbls>
            <c:dLbl>
              <c:idx val="0"/>
              <c:layout>
                <c:manualLayout>
                  <c:x val="5.8076231684837075E-3"/>
                  <c:y val="-1.0880458124555947E-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649-438D-8B4D-F4C4EACC4C3E}"/>
                </c:ext>
              </c:extLst>
            </c:dLbl>
            <c:dLbl>
              <c:idx val="1"/>
              <c:layout>
                <c:manualLayout>
                  <c:x val="0"/>
                  <c:y val="4.240515390121689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649-438D-8B4D-F4C4EACC4C3E}"/>
                </c:ext>
              </c:extLst>
            </c:dLbl>
            <c:dLbl>
              <c:idx val="2"/>
              <c:layout>
                <c:manualLayout>
                  <c:x val="0"/>
                  <c:y val="-9.454488188976377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649-438D-8B4D-F4C4EACC4C3E}"/>
                </c:ext>
              </c:extLst>
            </c:dLbl>
            <c:dLbl>
              <c:idx val="3"/>
              <c:layout>
                <c:manualLayout>
                  <c:x val="0"/>
                  <c:y val="2.320400858983469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649-438D-8B4D-F4C4EACC4C3E}"/>
                </c:ext>
              </c:extLst>
            </c:dLbl>
            <c:spPr>
              <a:noFill/>
              <a:ln>
                <a:noFill/>
              </a:ln>
              <a:effectLst/>
            </c:spPr>
            <c:txPr>
              <a:bodyPr rot="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('5 kg %'!$A$59,'5 kg %'!$A$62,'5 kg %'!$A$66:$A$68)</c:f>
              <c:strCache>
                <c:ptCount val="5"/>
                <c:pt idx="0">
                  <c:v>Proceso de pesaje</c:v>
                </c:pt>
                <c:pt idx="1">
                  <c:v>Pesa de referencia</c:v>
                </c:pt>
                <c:pt idx="2">
                  <c:v>Corrección por empuje del aire</c:v>
                </c:pt>
                <c:pt idx="3">
                  <c:v>Resolución balanza</c:v>
                </c:pt>
                <c:pt idx="4">
                  <c:v>Incertidumbre por repetibilidad del metodo</c:v>
                </c:pt>
              </c:strCache>
            </c:strRef>
          </c:cat>
          <c:val>
            <c:numRef>
              <c:f>('5 kg %'!$G$59,'5 kg %'!$G$62,'5 kg %'!$G$66:$G$67,'5 kg %'!$G$68)</c:f>
              <c:numCache>
                <c:formatCode>0%</c:formatCode>
                <c:ptCount val="5"/>
                <c:pt idx="0">
                  <c:v>0</c:v>
                </c:pt>
                <c:pt idx="1">
                  <c:v>#N/A</c:v>
                </c:pt>
                <c:pt idx="2">
                  <c:v>#N/A</c:v>
                </c:pt>
                <c:pt idx="3">
                  <c:v>#N/A</c:v>
                </c:pt>
                <c:pt idx="4">
                  <c:v>0</c:v>
                </c:pt>
              </c:numCache>
            </c:numRef>
          </c:val>
          <c:extLst>
            <c:ext xmlns:c16="http://schemas.microsoft.com/office/drawing/2014/chart" uri="{C3380CC4-5D6E-409C-BE32-E72D297353CC}">
              <c16:uniqueId val="{00000004-6649-438D-8B4D-F4C4EACC4C3E}"/>
            </c:ext>
          </c:extLst>
        </c:ser>
        <c:dLbls>
          <c:dLblPos val="inEnd"/>
          <c:showLegendKey val="0"/>
          <c:showVal val="1"/>
          <c:showCatName val="0"/>
          <c:showSerName val="0"/>
          <c:showPercent val="0"/>
          <c:showBubbleSize val="0"/>
        </c:dLbls>
        <c:gapWidth val="65"/>
        <c:axId val="209754368"/>
        <c:axId val="209761408"/>
      </c:barChart>
      <c:catAx>
        <c:axId val="209754368"/>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solidFill>
                <a:latin typeface="+mn-lt"/>
                <a:ea typeface="+mn-ea"/>
                <a:cs typeface="+mn-cs"/>
              </a:defRPr>
            </a:pPr>
            <a:endParaRPr lang="es-CO"/>
          </a:p>
        </c:txPr>
        <c:crossAx val="209761408"/>
        <c:crosses val="autoZero"/>
        <c:auto val="1"/>
        <c:lblAlgn val="ctr"/>
        <c:lblOffset val="100"/>
        <c:noMultiLvlLbl val="0"/>
      </c:catAx>
      <c:valAx>
        <c:axId val="209761408"/>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 sourceLinked="1"/>
        <c:majorTickMark val="none"/>
        <c:minorTickMark val="none"/>
        <c:tickLblPos val="nextTo"/>
        <c:crossAx val="209754368"/>
        <c:crosses val="autoZero"/>
        <c:crossBetween val="between"/>
      </c:valAx>
      <c:spPr>
        <a:noFill/>
        <a:ln>
          <a:noFill/>
        </a:ln>
        <a:effectLst/>
      </c:spPr>
    </c:plotArea>
    <c:plotVisOnly val="1"/>
    <c:dispBlanksAs val="gap"/>
    <c:showDLblsOverMax val="0"/>
  </c:chart>
  <c:spPr>
    <a:solidFill>
      <a:schemeClr val="accent6">
        <a:lumMod val="40000"/>
        <a:lumOff val="60000"/>
      </a:schemeClr>
    </a:solidFill>
    <a:ln w="12700" cap="flat" cmpd="sng" algn="ctr">
      <a:solidFill>
        <a:schemeClr val="dk1"/>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800" b="1" i="0" u="none" strike="noStrike" kern="1200" baseline="0">
              <a:solidFill>
                <a:schemeClr val="dk1"/>
              </a:solidFill>
              <a:latin typeface="+mn-lt"/>
              <a:ea typeface="+mn-ea"/>
              <a:cs typeface="+mn-cs"/>
            </a:defRPr>
          </a:pPr>
          <a:endParaRPr lang="es-CO"/>
        </a:p>
      </c:txPr>
    </c:title>
    <c:autoTitleDeleted val="0"/>
    <c:plotArea>
      <c:layout/>
      <c:barChart>
        <c:barDir val="col"/>
        <c:grouping val="clustered"/>
        <c:varyColors val="0"/>
        <c:ser>
          <c:idx val="0"/>
          <c:order val="0"/>
          <c:tx>
            <c:strRef>
              <c:f>'10 kg %'!$G$58</c:f>
              <c:strCache>
                <c:ptCount val="1"/>
                <c:pt idx="0">
                  <c:v>Aporte a la Incertidumbre</c:v>
                </c:pt>
              </c:strCache>
            </c:strRef>
          </c:tx>
          <c:spPr>
            <a:solidFill>
              <a:schemeClr val="accent2">
                <a:alpha val="85000"/>
              </a:schemeClr>
            </a:solidFill>
            <a:ln w="9525" cap="flat" cmpd="sng" algn="ctr">
              <a:solidFill>
                <a:schemeClr val="lt1">
                  <a:alpha val="50000"/>
                </a:schemeClr>
              </a:solidFill>
              <a:round/>
            </a:ln>
            <a:effectLst/>
          </c:spPr>
          <c:invertIfNegative val="0"/>
          <c:dLbls>
            <c:dLbl>
              <c:idx val="0"/>
              <c:layout>
                <c:manualLayout>
                  <c:x val="5.8076231684837075E-3"/>
                  <c:y val="-1.0880458124555947E-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420-4CE4-B224-F7464E857A33}"/>
                </c:ext>
              </c:extLst>
            </c:dLbl>
            <c:dLbl>
              <c:idx val="1"/>
              <c:layout>
                <c:manualLayout>
                  <c:x val="0"/>
                  <c:y val="4.240515390121689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420-4CE4-B224-F7464E857A33}"/>
                </c:ext>
              </c:extLst>
            </c:dLbl>
            <c:dLbl>
              <c:idx val="2"/>
              <c:layout>
                <c:manualLayout>
                  <c:x val="0"/>
                  <c:y val="-9.454488188976377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420-4CE4-B224-F7464E857A33}"/>
                </c:ext>
              </c:extLst>
            </c:dLbl>
            <c:dLbl>
              <c:idx val="3"/>
              <c:layout>
                <c:manualLayout>
                  <c:x val="0"/>
                  <c:y val="2.320400858983469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420-4CE4-B224-F7464E857A33}"/>
                </c:ext>
              </c:extLst>
            </c:dLbl>
            <c:spPr>
              <a:noFill/>
              <a:ln>
                <a:noFill/>
              </a:ln>
              <a:effectLst/>
            </c:spPr>
            <c:txPr>
              <a:bodyPr rot="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('RT03-F13 (mg)% '!$A$59,'RT03-F13 (mg)% '!$A$62,'RT03-F13 (mg)% '!$A$66:$A$68)</c:f>
              <c:strCache>
                <c:ptCount val="5"/>
                <c:pt idx="0">
                  <c:v>Proceso de pesaje</c:v>
                </c:pt>
                <c:pt idx="1">
                  <c:v>Pesa de referencia</c:v>
                </c:pt>
                <c:pt idx="2">
                  <c:v>Corrección por empuje del aire</c:v>
                </c:pt>
                <c:pt idx="3">
                  <c:v>Resolución balanza</c:v>
                </c:pt>
                <c:pt idx="4">
                  <c:v>Incertidumbre por repetibilidad del método</c:v>
                </c:pt>
              </c:strCache>
            </c:strRef>
          </c:cat>
          <c:val>
            <c:numRef>
              <c:f>('10 kg %'!$G$59,'10 kg %'!$G$62,'10 kg %'!$G$66:$G$67,'10 kg %'!$G$68)</c:f>
              <c:numCache>
                <c:formatCode>0%</c:formatCode>
                <c:ptCount val="5"/>
                <c:pt idx="0">
                  <c:v>0</c:v>
                </c:pt>
                <c:pt idx="1">
                  <c:v>#N/A</c:v>
                </c:pt>
                <c:pt idx="2">
                  <c:v>#N/A</c:v>
                </c:pt>
                <c:pt idx="3">
                  <c:v>#N/A</c:v>
                </c:pt>
                <c:pt idx="4">
                  <c:v>0</c:v>
                </c:pt>
              </c:numCache>
            </c:numRef>
          </c:val>
          <c:extLst>
            <c:ext xmlns:c16="http://schemas.microsoft.com/office/drawing/2014/chart" uri="{C3380CC4-5D6E-409C-BE32-E72D297353CC}">
              <c16:uniqueId val="{00000004-C420-4CE4-B224-F7464E857A33}"/>
            </c:ext>
          </c:extLst>
        </c:ser>
        <c:dLbls>
          <c:dLblPos val="inEnd"/>
          <c:showLegendKey val="0"/>
          <c:showVal val="1"/>
          <c:showCatName val="0"/>
          <c:showSerName val="0"/>
          <c:showPercent val="0"/>
          <c:showBubbleSize val="0"/>
        </c:dLbls>
        <c:gapWidth val="65"/>
        <c:axId val="210703488"/>
        <c:axId val="210714624"/>
      </c:barChart>
      <c:catAx>
        <c:axId val="210703488"/>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solidFill>
                <a:latin typeface="+mn-lt"/>
                <a:ea typeface="+mn-ea"/>
                <a:cs typeface="+mn-cs"/>
              </a:defRPr>
            </a:pPr>
            <a:endParaRPr lang="es-CO"/>
          </a:p>
        </c:txPr>
        <c:crossAx val="210714624"/>
        <c:crosses val="autoZero"/>
        <c:auto val="1"/>
        <c:lblAlgn val="ctr"/>
        <c:lblOffset val="100"/>
        <c:noMultiLvlLbl val="0"/>
      </c:catAx>
      <c:valAx>
        <c:axId val="210714624"/>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 sourceLinked="1"/>
        <c:majorTickMark val="none"/>
        <c:minorTickMark val="none"/>
        <c:tickLblPos val="nextTo"/>
        <c:crossAx val="210703488"/>
        <c:crosses val="autoZero"/>
        <c:crossBetween val="between"/>
      </c:valAx>
      <c:spPr>
        <a:noFill/>
        <a:ln>
          <a:noFill/>
        </a:ln>
        <a:effectLst/>
      </c:spPr>
    </c:plotArea>
    <c:plotVisOnly val="1"/>
    <c:dispBlanksAs val="gap"/>
    <c:showDLblsOverMax val="0"/>
  </c:chart>
  <c:spPr>
    <a:solidFill>
      <a:schemeClr val="accent6">
        <a:lumMod val="40000"/>
        <a:lumOff val="60000"/>
      </a:schemeClr>
    </a:solidFill>
    <a:ln w="12700" cap="flat" cmpd="sng" algn="ctr">
      <a:solidFill>
        <a:schemeClr val="dk1"/>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800" b="1" i="0" u="none" strike="noStrike" kern="1200" baseline="0">
              <a:solidFill>
                <a:schemeClr val="dk1"/>
              </a:solidFill>
              <a:latin typeface="+mn-lt"/>
              <a:ea typeface="+mn-ea"/>
              <a:cs typeface="+mn-cs"/>
            </a:defRPr>
          </a:pPr>
          <a:endParaRPr lang="es-CO"/>
        </a:p>
      </c:txPr>
    </c:title>
    <c:autoTitleDeleted val="0"/>
    <c:plotArea>
      <c:layout/>
      <c:barChart>
        <c:barDir val="col"/>
        <c:grouping val="clustered"/>
        <c:varyColors val="0"/>
        <c:ser>
          <c:idx val="0"/>
          <c:order val="0"/>
          <c:tx>
            <c:strRef>
              <c:f>'RT03-F13 (g) %'!$G$58</c:f>
              <c:strCache>
                <c:ptCount val="1"/>
                <c:pt idx="0">
                  <c:v>Aporte a la Incertidumbre</c:v>
                </c:pt>
              </c:strCache>
            </c:strRef>
          </c:tx>
          <c:spPr>
            <a:solidFill>
              <a:schemeClr val="accent2">
                <a:alpha val="85000"/>
              </a:schemeClr>
            </a:solidFill>
            <a:ln w="9525" cap="flat" cmpd="sng" algn="ctr">
              <a:solidFill>
                <a:schemeClr val="lt1">
                  <a:alpha val="50000"/>
                </a:schemeClr>
              </a:solidFill>
              <a:round/>
            </a:ln>
            <a:effectLst/>
          </c:spPr>
          <c:invertIfNegative val="0"/>
          <c:dLbls>
            <c:dLbl>
              <c:idx val="0"/>
              <c:layout>
                <c:manualLayout>
                  <c:x val="5.8076231684837075E-3"/>
                  <c:y val="-1.0880458124555947E-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3BC-4998-B8DF-434B17E70155}"/>
                </c:ext>
              </c:extLst>
            </c:dLbl>
            <c:dLbl>
              <c:idx val="1"/>
              <c:layout>
                <c:manualLayout>
                  <c:x val="0"/>
                  <c:y val="4.240515390121689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3BC-4998-B8DF-434B17E70155}"/>
                </c:ext>
              </c:extLst>
            </c:dLbl>
            <c:dLbl>
              <c:idx val="2"/>
              <c:layout>
                <c:manualLayout>
                  <c:x val="0"/>
                  <c:y val="-9.454488188976377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3BC-4998-B8DF-434B17E70155}"/>
                </c:ext>
              </c:extLst>
            </c:dLbl>
            <c:dLbl>
              <c:idx val="3"/>
              <c:layout>
                <c:manualLayout>
                  <c:x val="0"/>
                  <c:y val="2.320400858983469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3BC-4998-B8DF-434B17E70155}"/>
                </c:ext>
              </c:extLst>
            </c:dLbl>
            <c:spPr>
              <a:noFill/>
              <a:ln>
                <a:noFill/>
              </a:ln>
              <a:effectLst/>
            </c:spPr>
            <c:txPr>
              <a:bodyPr rot="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('RT03-F13 (mg)% '!$A$59,'RT03-F13 (mg)% '!$A$62,'RT03-F13 (mg)% '!$A$66:$A$68)</c:f>
              <c:strCache>
                <c:ptCount val="5"/>
                <c:pt idx="0">
                  <c:v>Proceso de pesaje</c:v>
                </c:pt>
                <c:pt idx="1">
                  <c:v>Pesa de referencia</c:v>
                </c:pt>
                <c:pt idx="2">
                  <c:v>Corrección por empuje del aire</c:v>
                </c:pt>
                <c:pt idx="3">
                  <c:v>Resolución balanza</c:v>
                </c:pt>
                <c:pt idx="4">
                  <c:v>Incertidumbre por repetibilidad del método</c:v>
                </c:pt>
              </c:strCache>
            </c:strRef>
          </c:cat>
          <c:val>
            <c:numRef>
              <c:f>('RT03-F13 (g) %'!$G$59,'RT03-F13 (g) %'!$G$62,'RT03-F13 (g) %'!$G$66:$G$67,'RT03-F13 (g) %'!$G$68)</c:f>
              <c:numCache>
                <c:formatCode>0</c:formatCode>
                <c:ptCount val="5"/>
                <c:pt idx="0">
                  <c:v>0</c:v>
                </c:pt>
                <c:pt idx="1">
                  <c:v>#N/A</c:v>
                </c:pt>
                <c:pt idx="2">
                  <c:v>#N/A</c:v>
                </c:pt>
                <c:pt idx="3">
                  <c:v>#N/A</c:v>
                </c:pt>
                <c:pt idx="4">
                  <c:v>0</c:v>
                </c:pt>
              </c:numCache>
            </c:numRef>
          </c:val>
          <c:extLst>
            <c:ext xmlns:c16="http://schemas.microsoft.com/office/drawing/2014/chart" uri="{C3380CC4-5D6E-409C-BE32-E72D297353CC}">
              <c16:uniqueId val="{00000004-13BC-4998-B8DF-434B17E70155}"/>
            </c:ext>
          </c:extLst>
        </c:ser>
        <c:dLbls>
          <c:dLblPos val="inEnd"/>
          <c:showLegendKey val="0"/>
          <c:showVal val="1"/>
          <c:showCatName val="0"/>
          <c:showSerName val="0"/>
          <c:showPercent val="0"/>
          <c:showBubbleSize val="0"/>
        </c:dLbls>
        <c:gapWidth val="65"/>
        <c:axId val="211189760"/>
        <c:axId val="211192448"/>
      </c:barChart>
      <c:catAx>
        <c:axId val="211189760"/>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solidFill>
                <a:latin typeface="+mn-lt"/>
                <a:ea typeface="+mn-ea"/>
                <a:cs typeface="+mn-cs"/>
              </a:defRPr>
            </a:pPr>
            <a:endParaRPr lang="es-CO"/>
          </a:p>
        </c:txPr>
        <c:crossAx val="211192448"/>
        <c:crosses val="autoZero"/>
        <c:auto val="1"/>
        <c:lblAlgn val="ctr"/>
        <c:lblOffset val="100"/>
        <c:noMultiLvlLbl val="0"/>
      </c:catAx>
      <c:valAx>
        <c:axId val="211192448"/>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 sourceLinked="1"/>
        <c:majorTickMark val="none"/>
        <c:minorTickMark val="none"/>
        <c:tickLblPos val="nextTo"/>
        <c:crossAx val="211189760"/>
        <c:crosses val="autoZero"/>
        <c:crossBetween val="between"/>
      </c:valAx>
      <c:spPr>
        <a:noFill/>
        <a:ln>
          <a:noFill/>
        </a:ln>
        <a:effectLst/>
      </c:spPr>
    </c:plotArea>
    <c:plotVisOnly val="1"/>
    <c:dispBlanksAs val="gap"/>
    <c:showDLblsOverMax val="0"/>
  </c:chart>
  <c:spPr>
    <a:solidFill>
      <a:schemeClr val="accent6">
        <a:lumMod val="40000"/>
        <a:lumOff val="60000"/>
      </a:schemeClr>
    </a:solidFill>
    <a:ln w="12700" cap="flat" cmpd="sng" algn="ctr">
      <a:solidFill>
        <a:schemeClr val="dk1"/>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r>
              <a:rPr lang="en-US"/>
              <a:t>1 g</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endParaRPr lang="es-CO"/>
        </a:p>
      </c:txPr>
    </c:title>
    <c:autoTitleDeleted val="0"/>
    <c:plotArea>
      <c:layout/>
      <c:lineChart>
        <c:grouping val="standard"/>
        <c:varyColors val="0"/>
        <c:ser>
          <c:idx val="0"/>
          <c:order val="0"/>
          <c:tx>
            <c:strRef>
              <c:f>'gramo Pc %'!$D$6</c:f>
              <c:strCache>
                <c:ptCount val="1"/>
                <c:pt idx="0">
                  <c:v>Error en masa convencional </c:v>
                </c:pt>
              </c:strCache>
            </c:strRef>
          </c:tx>
          <c:spPr>
            <a:ln w="28575" cap="rnd">
              <a:solidFill>
                <a:schemeClr val="accent1"/>
              </a:solidFill>
              <a:round/>
            </a:ln>
            <a:effectLst/>
          </c:spPr>
          <c:marker>
            <c:symbol val="circle"/>
            <c:size val="6"/>
            <c:spPr>
              <a:solidFill>
                <a:srgbClr val="92D050"/>
              </a:solidFill>
              <a:ln w="9525">
                <a:solidFill>
                  <a:schemeClr val="accent1"/>
                </a:solidFill>
              </a:ln>
              <a:effectLst/>
            </c:spPr>
          </c:marker>
          <c:dLbls>
            <c:dLbl>
              <c:idx val="0"/>
              <c:layout>
                <c:manualLayout>
                  <c:x val="6.2117006939334557E-2"/>
                  <c:y val="-9.815211741914971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B90-4718-AE23-EBA10C8CFC8C}"/>
                </c:ext>
              </c:extLst>
            </c:dLbl>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errBars>
            <c:errDir val="y"/>
            <c:errBarType val="both"/>
            <c:errValType val="cust"/>
            <c:noEndCap val="0"/>
            <c:plus>
              <c:numRef>
                <c:f>'gramo Pc %'!$E$7</c:f>
                <c:numCache>
                  <c:formatCode>General</c:formatCode>
                  <c:ptCount val="1"/>
                  <c:pt idx="0">
                    <c:v>0.33</c:v>
                  </c:pt>
                </c:numCache>
              </c:numRef>
            </c:plus>
            <c:minus>
              <c:numRef>
                <c:f>'gramo Pc %'!$E$7</c:f>
                <c:numCache>
                  <c:formatCode>General</c:formatCode>
                  <c:ptCount val="1"/>
                  <c:pt idx="0">
                    <c:v>0.33</c:v>
                  </c:pt>
                </c:numCache>
              </c:numRef>
            </c:minus>
            <c:spPr>
              <a:noFill/>
              <a:ln w="22225" cap="flat" cmpd="sng" algn="ctr">
                <a:solidFill>
                  <a:srgbClr val="0070C0"/>
                </a:solidFill>
                <a:round/>
              </a:ln>
              <a:effectLst/>
            </c:spPr>
          </c:errBars>
          <c:val>
            <c:numRef>
              <c:f>'gramo Pc %'!$D$7</c:f>
              <c:numCache>
                <c:formatCode>0.00\ "mg"</c:formatCode>
                <c:ptCount val="1"/>
                <c:pt idx="0">
                  <c:v>#N/A</c:v>
                </c:pt>
              </c:numCache>
            </c:numRef>
          </c:val>
          <c:smooth val="0"/>
          <c:extLst>
            <c:ext xmlns:c16="http://schemas.microsoft.com/office/drawing/2014/chart" uri="{C3380CC4-5D6E-409C-BE32-E72D297353CC}">
              <c16:uniqueId val="{00000001-8E37-42CC-8D5E-0107F2179BD4}"/>
            </c:ext>
          </c:extLst>
        </c:ser>
        <c:ser>
          <c:idx val="1"/>
          <c:order val="1"/>
          <c:tx>
            <c:strRef>
              <c:f>'gramo Pc %'!$O$6</c:f>
              <c:strCache>
                <c:ptCount val="1"/>
                <c:pt idx="0">
                  <c:v> ± EMP</c:v>
                </c:pt>
              </c:strCache>
            </c:strRef>
          </c:tx>
          <c:spPr>
            <a:ln w="28575" cap="rnd">
              <a:solidFill>
                <a:srgbClr val="FF0000"/>
              </a:solidFill>
              <a:round/>
            </a:ln>
            <a:effectLst/>
          </c:spPr>
          <c:marker>
            <c:symbol val="none"/>
          </c:marker>
          <c:dLbls>
            <c:delete val="1"/>
          </c:dLbls>
          <c:val>
            <c:numRef>
              <c:f>'gramo Pc %'!$O$7:$Q$7</c:f>
              <c:numCache>
                <c:formatCode>General</c:formatCode>
                <c:ptCount val="3"/>
                <c:pt idx="0">
                  <c:v>1</c:v>
                </c:pt>
                <c:pt idx="1">
                  <c:v>1</c:v>
                </c:pt>
                <c:pt idx="2">
                  <c:v>1</c:v>
                </c:pt>
              </c:numCache>
            </c:numRef>
          </c:val>
          <c:smooth val="0"/>
          <c:extLst>
            <c:ext xmlns:c16="http://schemas.microsoft.com/office/drawing/2014/chart" uri="{C3380CC4-5D6E-409C-BE32-E72D297353CC}">
              <c16:uniqueId val="{00000002-8E37-42CC-8D5E-0107F2179BD4}"/>
            </c:ext>
          </c:extLst>
        </c:ser>
        <c:ser>
          <c:idx val="2"/>
          <c:order val="2"/>
          <c:tx>
            <c:strRef>
              <c:f>'gramo Pc %'!$O$6</c:f>
              <c:strCache>
                <c:ptCount val="1"/>
                <c:pt idx="0">
                  <c:v> ± EMP</c:v>
                </c:pt>
              </c:strCache>
            </c:strRef>
          </c:tx>
          <c:spPr>
            <a:ln w="28575" cap="rnd">
              <a:solidFill>
                <a:srgbClr val="FF0000"/>
              </a:solidFill>
              <a:round/>
            </a:ln>
            <a:effectLst/>
          </c:spPr>
          <c:marker>
            <c:symbol val="none"/>
          </c:marker>
          <c:dPt>
            <c:idx val="2"/>
            <c:marker>
              <c:symbol val="none"/>
            </c:marker>
            <c:bubble3D val="0"/>
            <c:extLst>
              <c:ext xmlns:c16="http://schemas.microsoft.com/office/drawing/2014/chart" uri="{C3380CC4-5D6E-409C-BE32-E72D297353CC}">
                <c16:uniqueId val="{00000006-8E37-42CC-8D5E-0107F2179BD4}"/>
              </c:ext>
            </c:extLst>
          </c:dPt>
          <c:dLbls>
            <c:delete val="1"/>
          </c:dLbls>
          <c:val>
            <c:numRef>
              <c:f>'gramo Pc %'!$R$7:$T$7</c:f>
              <c:numCache>
                <c:formatCode>General</c:formatCode>
                <c:ptCount val="3"/>
                <c:pt idx="0">
                  <c:v>-1</c:v>
                </c:pt>
                <c:pt idx="1">
                  <c:v>-1</c:v>
                </c:pt>
                <c:pt idx="2">
                  <c:v>-1</c:v>
                </c:pt>
              </c:numCache>
            </c:numRef>
          </c:val>
          <c:smooth val="0"/>
          <c:extLst>
            <c:ext xmlns:c16="http://schemas.microsoft.com/office/drawing/2014/chart" uri="{C3380CC4-5D6E-409C-BE32-E72D297353CC}">
              <c16:uniqueId val="{00000007-8E37-42CC-8D5E-0107F2179BD4}"/>
            </c:ext>
          </c:extLst>
        </c:ser>
        <c:dLbls>
          <c:dLblPos val="t"/>
          <c:showLegendKey val="0"/>
          <c:showVal val="1"/>
          <c:showCatName val="0"/>
          <c:showSerName val="0"/>
          <c:showPercent val="0"/>
          <c:showBubbleSize val="0"/>
        </c:dLbls>
        <c:marker val="1"/>
        <c:smooth val="0"/>
        <c:axId val="197946368"/>
        <c:axId val="197952256"/>
      </c:lineChart>
      <c:dateAx>
        <c:axId val="197946368"/>
        <c:scaling>
          <c:orientation val="minMax"/>
        </c:scaling>
        <c:delete val="0"/>
        <c:axPos val="b"/>
        <c:majorTickMark val="none"/>
        <c:minorTickMark val="none"/>
        <c:tickLblPos val="none"/>
        <c:spPr>
          <a:solidFill>
            <a:schemeClr val="bg1"/>
          </a:solidFill>
          <a:ln w="12700" cap="flat" cmpd="sng" algn="ctr">
            <a:solidFill>
              <a:srgbClr val="00B0F0">
                <a:alpha val="98000"/>
              </a:srgbClr>
            </a:solidFill>
            <a:round/>
          </a:ln>
          <a:effectLst>
            <a:glow>
              <a:srgbClr val="FFFF00">
                <a:alpha val="93000"/>
              </a:srgbClr>
            </a:glow>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197952256"/>
        <c:crosses val="autoZero"/>
        <c:auto val="0"/>
        <c:lblOffset val="100"/>
        <c:baseTimeUnit val="days"/>
        <c:majorUnit val="1"/>
      </c:dateAx>
      <c:valAx>
        <c:axId val="19795225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r>
                  <a:rPr lang="es-CO"/>
                  <a:t>Error en masa convencional</a:t>
                </a:r>
              </a:p>
            </c:rich>
          </c:tx>
          <c:layout>
            <c:manualLayout>
              <c:xMode val="edge"/>
              <c:yMode val="edge"/>
              <c:x val="3.9850563524622316E-2"/>
              <c:y val="0.11799421695162476"/>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endParaRPr lang="es-CO"/>
            </a:p>
          </c:txPr>
        </c:title>
        <c:numFmt formatCode="0.00\ &quot;mg&quot;"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197946368"/>
        <c:crossesAt val="1"/>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accent6">
        <a:lumMod val="20000"/>
        <a:lumOff val="80000"/>
      </a:schemeClr>
    </a:solidFill>
    <a:ln w="12700" cap="flat" cmpd="sng" algn="ctr">
      <a:solidFill>
        <a:schemeClr val="accent2"/>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800" b="1" i="0" u="none" strike="noStrike" kern="1200" baseline="0">
              <a:solidFill>
                <a:schemeClr val="dk1"/>
              </a:solidFill>
              <a:latin typeface="+mn-lt"/>
              <a:ea typeface="+mn-ea"/>
              <a:cs typeface="+mn-cs"/>
            </a:defRPr>
          </a:pPr>
          <a:endParaRPr lang="es-CO"/>
        </a:p>
      </c:txPr>
    </c:title>
    <c:autoTitleDeleted val="0"/>
    <c:plotArea>
      <c:layout/>
      <c:barChart>
        <c:barDir val="col"/>
        <c:grouping val="clustered"/>
        <c:varyColors val="0"/>
        <c:ser>
          <c:idx val="0"/>
          <c:order val="0"/>
          <c:tx>
            <c:strRef>
              <c:f>'10 mg % '!$G$58</c:f>
              <c:strCache>
                <c:ptCount val="1"/>
                <c:pt idx="0">
                  <c:v>Aporte a la Incertidumbre</c:v>
                </c:pt>
              </c:strCache>
            </c:strRef>
          </c:tx>
          <c:spPr>
            <a:solidFill>
              <a:schemeClr val="accent2">
                <a:alpha val="85000"/>
              </a:schemeClr>
            </a:solidFill>
            <a:ln w="9525" cap="flat" cmpd="sng" algn="ctr">
              <a:solidFill>
                <a:schemeClr val="lt1">
                  <a:alpha val="50000"/>
                </a:schemeClr>
              </a:solidFill>
              <a:round/>
            </a:ln>
            <a:effectLst/>
          </c:spPr>
          <c:invertIfNegative val="0"/>
          <c:dLbls>
            <c:dLbl>
              <c:idx val="0"/>
              <c:layout>
                <c:manualLayout>
                  <c:x val="5.8076231684837075E-3"/>
                  <c:y val="-1.0880458124555947E-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B0A-4212-83F1-8737AD20301F}"/>
                </c:ext>
              </c:extLst>
            </c:dLbl>
            <c:dLbl>
              <c:idx val="1"/>
              <c:layout>
                <c:manualLayout>
                  <c:x val="0"/>
                  <c:y val="4.240515390121689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B0A-4212-83F1-8737AD20301F}"/>
                </c:ext>
              </c:extLst>
            </c:dLbl>
            <c:dLbl>
              <c:idx val="2"/>
              <c:layout>
                <c:manualLayout>
                  <c:x val="0"/>
                  <c:y val="-9.454488188976377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B0A-4212-83F1-8737AD20301F}"/>
                </c:ext>
              </c:extLst>
            </c:dLbl>
            <c:dLbl>
              <c:idx val="3"/>
              <c:layout>
                <c:manualLayout>
                  <c:x val="0"/>
                  <c:y val="2.320400858983469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B0A-4212-83F1-8737AD20301F}"/>
                </c:ext>
              </c:extLst>
            </c:dLbl>
            <c:spPr>
              <a:noFill/>
              <a:ln>
                <a:noFill/>
              </a:ln>
              <a:effectLst/>
            </c:spPr>
            <c:txPr>
              <a:bodyPr rot="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('RT03-F13 (mg)% '!$A$59,'RT03-F13 (mg)% '!$A$62,'RT03-F13 (mg)% '!$A$66:$A$68)</c:f>
              <c:strCache>
                <c:ptCount val="5"/>
                <c:pt idx="0">
                  <c:v>Proceso de pesaje</c:v>
                </c:pt>
                <c:pt idx="1">
                  <c:v>Pesa de referencia</c:v>
                </c:pt>
                <c:pt idx="2">
                  <c:v>Corrección por empuje del aire</c:v>
                </c:pt>
                <c:pt idx="3">
                  <c:v>Resolución balanza</c:v>
                </c:pt>
                <c:pt idx="4">
                  <c:v>Incertidumbre por repetibilidad del método</c:v>
                </c:pt>
              </c:strCache>
            </c:strRef>
          </c:cat>
          <c:val>
            <c:numRef>
              <c:f>('10 mg % '!$G$59,'10 mg % '!$G$62,'10 mg % '!$G$66:$G$67,'10 mg % '!$G$68)</c:f>
              <c:numCache>
                <c:formatCode>0%</c:formatCode>
                <c:ptCount val="5"/>
                <c:pt idx="0">
                  <c:v>0</c:v>
                </c:pt>
                <c:pt idx="1">
                  <c:v>#N/A</c:v>
                </c:pt>
                <c:pt idx="2">
                  <c:v>#N/A</c:v>
                </c:pt>
                <c:pt idx="3">
                  <c:v>#N/A</c:v>
                </c:pt>
                <c:pt idx="4">
                  <c:v>0</c:v>
                </c:pt>
              </c:numCache>
            </c:numRef>
          </c:val>
          <c:extLst>
            <c:ext xmlns:c16="http://schemas.microsoft.com/office/drawing/2014/chart" uri="{C3380CC4-5D6E-409C-BE32-E72D297353CC}">
              <c16:uniqueId val="{00000004-CB0A-4212-83F1-8737AD20301F}"/>
            </c:ext>
          </c:extLst>
        </c:ser>
        <c:dLbls>
          <c:dLblPos val="inEnd"/>
          <c:showLegendKey val="0"/>
          <c:showVal val="1"/>
          <c:showCatName val="0"/>
          <c:showSerName val="0"/>
          <c:showPercent val="0"/>
          <c:showBubbleSize val="0"/>
        </c:dLbls>
        <c:gapWidth val="65"/>
        <c:axId val="193055744"/>
        <c:axId val="193075072"/>
      </c:barChart>
      <c:catAx>
        <c:axId val="193055744"/>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solidFill>
                <a:latin typeface="+mn-lt"/>
                <a:ea typeface="+mn-ea"/>
                <a:cs typeface="+mn-cs"/>
              </a:defRPr>
            </a:pPr>
            <a:endParaRPr lang="es-CO"/>
          </a:p>
        </c:txPr>
        <c:crossAx val="193075072"/>
        <c:crosses val="autoZero"/>
        <c:auto val="1"/>
        <c:lblAlgn val="ctr"/>
        <c:lblOffset val="100"/>
        <c:noMultiLvlLbl val="0"/>
      </c:catAx>
      <c:valAx>
        <c:axId val="193075072"/>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 sourceLinked="1"/>
        <c:majorTickMark val="none"/>
        <c:minorTickMark val="none"/>
        <c:tickLblPos val="nextTo"/>
        <c:crossAx val="193055744"/>
        <c:crosses val="autoZero"/>
        <c:crossBetween val="between"/>
      </c:valAx>
      <c:spPr>
        <a:noFill/>
        <a:ln>
          <a:noFill/>
        </a:ln>
        <a:effectLst/>
      </c:spPr>
    </c:plotArea>
    <c:plotVisOnly val="1"/>
    <c:dispBlanksAs val="gap"/>
    <c:showDLblsOverMax val="0"/>
  </c:chart>
  <c:spPr>
    <a:solidFill>
      <a:schemeClr val="accent6">
        <a:lumMod val="40000"/>
        <a:lumOff val="60000"/>
      </a:schemeClr>
    </a:solidFill>
    <a:ln w="12700" cap="flat" cmpd="sng" algn="ctr">
      <a:solidFill>
        <a:schemeClr val="dk1"/>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r>
              <a:rPr lang="en-US"/>
              <a:t>2 g</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endParaRPr lang="es-CO"/>
        </a:p>
      </c:txPr>
    </c:title>
    <c:autoTitleDeleted val="0"/>
    <c:plotArea>
      <c:layout>
        <c:manualLayout>
          <c:layoutTarget val="inner"/>
          <c:xMode val="edge"/>
          <c:yMode val="edge"/>
          <c:x val="0.21190239059451396"/>
          <c:y val="0.27784722685881863"/>
          <c:w val="0.7562171585857882"/>
          <c:h val="0.68632714797105399"/>
        </c:manualLayout>
      </c:layout>
      <c:lineChart>
        <c:grouping val="standard"/>
        <c:varyColors val="0"/>
        <c:ser>
          <c:idx val="0"/>
          <c:order val="0"/>
          <c:tx>
            <c:strRef>
              <c:f>'gramo Pc %'!$D$6</c:f>
              <c:strCache>
                <c:ptCount val="1"/>
                <c:pt idx="0">
                  <c:v>Error en masa convencional </c:v>
                </c:pt>
              </c:strCache>
            </c:strRef>
          </c:tx>
          <c:spPr>
            <a:ln w="28575" cap="rnd">
              <a:solidFill>
                <a:schemeClr val="accent1"/>
              </a:solidFill>
              <a:round/>
            </a:ln>
            <a:effectLst/>
          </c:spPr>
          <c:marker>
            <c:symbol val="circle"/>
            <c:size val="6"/>
            <c:spPr>
              <a:solidFill>
                <a:srgbClr val="92D050"/>
              </a:solidFill>
              <a:ln w="9525">
                <a:solidFill>
                  <a:schemeClr val="accent1"/>
                </a:solidFill>
              </a:ln>
              <a:effectLst/>
            </c:spPr>
          </c:marker>
          <c:dLbls>
            <c:dLbl>
              <c:idx val="0"/>
              <c:layout>
                <c:manualLayout>
                  <c:x val="3.8397921685407607E-2"/>
                  <c:y val="-0.10360727984983265"/>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0EA-405C-8E1F-191A979D0AAA}"/>
                </c:ext>
              </c:extLst>
            </c:dLbl>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errBars>
            <c:errDir val="y"/>
            <c:errBarType val="both"/>
            <c:errValType val="cust"/>
            <c:noEndCap val="0"/>
            <c:plus>
              <c:numRef>
                <c:f>[2]Pc!$G$11</c:f>
                <c:numCache>
                  <c:formatCode>General</c:formatCode>
                  <c:ptCount val="1"/>
                  <c:pt idx="0">
                    <c:v>0.4</c:v>
                  </c:pt>
                </c:numCache>
              </c:numRef>
            </c:plus>
            <c:minus>
              <c:numRef>
                <c:f>[2]Pc!$G$11</c:f>
                <c:numCache>
                  <c:formatCode>General</c:formatCode>
                  <c:ptCount val="1"/>
                  <c:pt idx="0">
                    <c:v>0.4</c:v>
                  </c:pt>
                </c:numCache>
              </c:numRef>
            </c:minus>
            <c:spPr>
              <a:noFill/>
              <a:ln w="22225" cap="flat" cmpd="sng" algn="ctr">
                <a:solidFill>
                  <a:srgbClr val="0070C0"/>
                </a:solidFill>
                <a:round/>
              </a:ln>
              <a:effectLst/>
            </c:spPr>
          </c:errBars>
          <c:val>
            <c:numRef>
              <c:f>'gramo Pc %'!$D$8</c:f>
              <c:numCache>
                <c:formatCode>0.00\ "mg"</c:formatCode>
                <c:ptCount val="1"/>
                <c:pt idx="0">
                  <c:v>#N/A</c:v>
                </c:pt>
              </c:numCache>
            </c:numRef>
          </c:val>
          <c:smooth val="0"/>
          <c:extLst>
            <c:ext xmlns:c16="http://schemas.microsoft.com/office/drawing/2014/chart" uri="{C3380CC4-5D6E-409C-BE32-E72D297353CC}">
              <c16:uniqueId val="{00000001-4AF0-4033-AE68-3CC3FC123901}"/>
            </c:ext>
          </c:extLst>
        </c:ser>
        <c:ser>
          <c:idx val="1"/>
          <c:order val="1"/>
          <c:tx>
            <c:strRef>
              <c:f>'gramo Pc %'!$O$6</c:f>
              <c:strCache>
                <c:ptCount val="1"/>
                <c:pt idx="0">
                  <c:v> ± EMP</c:v>
                </c:pt>
              </c:strCache>
            </c:strRef>
          </c:tx>
          <c:spPr>
            <a:ln w="28575" cap="rnd">
              <a:solidFill>
                <a:srgbClr val="FF0000"/>
              </a:solidFill>
              <a:round/>
            </a:ln>
            <a:effectLst/>
          </c:spPr>
          <c:marker>
            <c:symbol val="none"/>
          </c:marker>
          <c:dLbls>
            <c:delete val="1"/>
          </c:dLbls>
          <c:val>
            <c:numRef>
              <c:f>'gramo Pc %'!$O$8:$Q$8</c:f>
              <c:numCache>
                <c:formatCode>General</c:formatCode>
                <c:ptCount val="3"/>
                <c:pt idx="0">
                  <c:v>1.2</c:v>
                </c:pt>
                <c:pt idx="1">
                  <c:v>1.2</c:v>
                </c:pt>
                <c:pt idx="2">
                  <c:v>1.2</c:v>
                </c:pt>
              </c:numCache>
            </c:numRef>
          </c:val>
          <c:smooth val="0"/>
          <c:extLst>
            <c:ext xmlns:c16="http://schemas.microsoft.com/office/drawing/2014/chart" uri="{C3380CC4-5D6E-409C-BE32-E72D297353CC}">
              <c16:uniqueId val="{00000002-4AF0-4033-AE68-3CC3FC123901}"/>
            </c:ext>
          </c:extLst>
        </c:ser>
        <c:ser>
          <c:idx val="2"/>
          <c:order val="2"/>
          <c:tx>
            <c:strRef>
              <c:f>'gramo Pc %'!$R$6</c:f>
              <c:strCache>
                <c:ptCount val="1"/>
                <c:pt idx="0">
                  <c:v> ± EMP</c:v>
                </c:pt>
              </c:strCache>
            </c:strRef>
          </c:tx>
          <c:spPr>
            <a:ln w="28575" cap="rnd">
              <a:solidFill>
                <a:srgbClr val="FF0000"/>
              </a:solidFill>
              <a:round/>
            </a:ln>
            <a:effectLst/>
          </c:spPr>
          <c:marker>
            <c:symbol val="none"/>
          </c:marker>
          <c:dLbls>
            <c:delete val="1"/>
          </c:dLbls>
          <c:val>
            <c:numRef>
              <c:f>'gramo Pc %'!$R$8:$T$8</c:f>
              <c:numCache>
                <c:formatCode>General</c:formatCode>
                <c:ptCount val="3"/>
                <c:pt idx="0">
                  <c:v>-1.2</c:v>
                </c:pt>
                <c:pt idx="1">
                  <c:v>-1.2</c:v>
                </c:pt>
                <c:pt idx="2">
                  <c:v>-1.2</c:v>
                </c:pt>
              </c:numCache>
            </c:numRef>
          </c:val>
          <c:smooth val="0"/>
          <c:extLst>
            <c:ext xmlns:c16="http://schemas.microsoft.com/office/drawing/2014/chart" uri="{C3380CC4-5D6E-409C-BE32-E72D297353CC}">
              <c16:uniqueId val="{00000003-4AF0-4033-AE68-3CC3FC123901}"/>
            </c:ext>
          </c:extLst>
        </c:ser>
        <c:dLbls>
          <c:dLblPos val="t"/>
          <c:showLegendKey val="0"/>
          <c:showVal val="1"/>
          <c:showCatName val="0"/>
          <c:showSerName val="0"/>
          <c:showPercent val="0"/>
          <c:showBubbleSize val="0"/>
        </c:dLbls>
        <c:marker val="1"/>
        <c:smooth val="0"/>
        <c:axId val="210842752"/>
        <c:axId val="210844288"/>
      </c:lineChart>
      <c:dateAx>
        <c:axId val="210842752"/>
        <c:scaling>
          <c:orientation val="minMax"/>
        </c:scaling>
        <c:delete val="0"/>
        <c:axPos val="b"/>
        <c:majorTickMark val="none"/>
        <c:minorTickMark val="none"/>
        <c:tickLblPos val="none"/>
        <c:spPr>
          <a:solidFill>
            <a:schemeClr val="bg1"/>
          </a:solidFill>
          <a:ln w="12700" cap="flat" cmpd="sng" algn="ctr">
            <a:solidFill>
              <a:srgbClr val="00B0F0">
                <a:alpha val="98000"/>
              </a:srgbClr>
            </a:solidFill>
            <a:round/>
          </a:ln>
          <a:effectLst>
            <a:glow>
              <a:srgbClr val="FFFF00">
                <a:alpha val="93000"/>
              </a:srgbClr>
            </a:glow>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210844288"/>
        <c:crosses val="autoZero"/>
        <c:auto val="0"/>
        <c:lblOffset val="100"/>
        <c:baseTimeUnit val="days"/>
        <c:majorUnit val="1"/>
      </c:dateAx>
      <c:valAx>
        <c:axId val="21084428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r>
                  <a:rPr lang="es-CO"/>
                  <a:t>Error en masa convencional</a:t>
                </a:r>
              </a:p>
            </c:rich>
          </c:tx>
          <c:layout>
            <c:manualLayout>
              <c:xMode val="edge"/>
              <c:yMode val="edge"/>
              <c:x val="1.9908013478628535E-2"/>
              <c:y val="0.10173645528922946"/>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endParaRPr lang="es-CO"/>
            </a:p>
          </c:txPr>
        </c:title>
        <c:numFmt formatCode="0.00\ &quot;mg&quot;"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210842752"/>
        <c:crossesAt val="1"/>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accent6">
        <a:lumMod val="20000"/>
        <a:lumOff val="80000"/>
      </a:schemeClr>
    </a:solidFill>
    <a:ln w="12700" cap="flat" cmpd="sng" algn="ctr">
      <a:solidFill>
        <a:schemeClr val="accent2"/>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r>
              <a:rPr lang="en-US"/>
              <a:t>5 g</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endParaRPr lang="es-CO"/>
        </a:p>
      </c:txPr>
    </c:title>
    <c:autoTitleDeleted val="0"/>
    <c:plotArea>
      <c:layout>
        <c:manualLayout>
          <c:layoutTarget val="inner"/>
          <c:xMode val="edge"/>
          <c:yMode val="edge"/>
          <c:x val="0.21190239059451396"/>
          <c:y val="0.27784722685881863"/>
          <c:w val="0.7562171585857882"/>
          <c:h val="0.68632714797105399"/>
        </c:manualLayout>
      </c:layout>
      <c:lineChart>
        <c:grouping val="standard"/>
        <c:varyColors val="0"/>
        <c:ser>
          <c:idx val="0"/>
          <c:order val="0"/>
          <c:tx>
            <c:strRef>
              <c:f>'gramo Pc %'!$D$6</c:f>
              <c:strCache>
                <c:ptCount val="1"/>
                <c:pt idx="0">
                  <c:v>Error en masa convencional </c:v>
                </c:pt>
              </c:strCache>
            </c:strRef>
          </c:tx>
          <c:spPr>
            <a:ln w="28575" cap="rnd">
              <a:solidFill>
                <a:schemeClr val="accent1"/>
              </a:solidFill>
              <a:round/>
            </a:ln>
            <a:effectLst/>
          </c:spPr>
          <c:marker>
            <c:symbol val="circle"/>
            <c:size val="6"/>
            <c:spPr>
              <a:solidFill>
                <a:srgbClr val="92D050"/>
              </a:solidFill>
              <a:ln w="9525">
                <a:solidFill>
                  <a:schemeClr val="accent1"/>
                </a:solidFill>
              </a:ln>
              <a:effectLst/>
            </c:spPr>
          </c:marker>
          <c:dLbls>
            <c:dLbl>
              <c:idx val="0"/>
              <c:layout>
                <c:manualLayout>
                  <c:x val="5.4659699728160163E-2"/>
                  <c:y val="-0.1395570936713656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E4D-4067-8134-357B921AA8E1}"/>
                </c:ext>
              </c:extLst>
            </c:dLbl>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errBars>
            <c:errDir val="y"/>
            <c:errBarType val="both"/>
            <c:errValType val="cust"/>
            <c:noEndCap val="0"/>
            <c:plus>
              <c:numRef>
                <c:f>[2]Pc!$G$12</c:f>
                <c:numCache>
                  <c:formatCode>General</c:formatCode>
                  <c:ptCount val="1"/>
                  <c:pt idx="0">
                    <c:v>0.5</c:v>
                  </c:pt>
                </c:numCache>
              </c:numRef>
            </c:plus>
            <c:minus>
              <c:numRef>
                <c:f>[2]Pc!$G$12</c:f>
                <c:numCache>
                  <c:formatCode>General</c:formatCode>
                  <c:ptCount val="1"/>
                  <c:pt idx="0">
                    <c:v>0.5</c:v>
                  </c:pt>
                </c:numCache>
              </c:numRef>
            </c:minus>
            <c:spPr>
              <a:noFill/>
              <a:ln w="22225" cap="flat" cmpd="sng" algn="ctr">
                <a:solidFill>
                  <a:srgbClr val="0070C0"/>
                </a:solidFill>
                <a:round/>
              </a:ln>
              <a:effectLst/>
            </c:spPr>
          </c:errBars>
          <c:val>
            <c:numRef>
              <c:f>'gramo Pc %'!$D$10</c:f>
              <c:numCache>
                <c:formatCode>0.00\ "mg"</c:formatCode>
                <c:ptCount val="1"/>
                <c:pt idx="0">
                  <c:v>#N/A</c:v>
                </c:pt>
              </c:numCache>
            </c:numRef>
          </c:val>
          <c:smooth val="0"/>
          <c:extLst>
            <c:ext xmlns:c16="http://schemas.microsoft.com/office/drawing/2014/chart" uri="{C3380CC4-5D6E-409C-BE32-E72D297353CC}">
              <c16:uniqueId val="{00000001-5F5F-4587-9F4B-2109266284B7}"/>
            </c:ext>
          </c:extLst>
        </c:ser>
        <c:ser>
          <c:idx val="1"/>
          <c:order val="1"/>
          <c:tx>
            <c:strRef>
              <c:f>'gramo Pc %'!$O$6</c:f>
              <c:strCache>
                <c:ptCount val="1"/>
                <c:pt idx="0">
                  <c:v> ± EMP</c:v>
                </c:pt>
              </c:strCache>
            </c:strRef>
          </c:tx>
          <c:spPr>
            <a:ln w="28575" cap="rnd">
              <a:solidFill>
                <a:srgbClr val="FF0000"/>
              </a:solidFill>
              <a:round/>
            </a:ln>
            <a:effectLst/>
          </c:spPr>
          <c:marker>
            <c:symbol val="none"/>
          </c:marker>
          <c:dLbls>
            <c:delete val="1"/>
          </c:dLbls>
          <c:val>
            <c:numRef>
              <c:f>'gramo Pc %'!$O$9:$Q$9</c:f>
              <c:numCache>
                <c:formatCode>General</c:formatCode>
                <c:ptCount val="3"/>
                <c:pt idx="0">
                  <c:v>1.6</c:v>
                </c:pt>
                <c:pt idx="1">
                  <c:v>1.6</c:v>
                </c:pt>
                <c:pt idx="2">
                  <c:v>1.6</c:v>
                </c:pt>
              </c:numCache>
            </c:numRef>
          </c:val>
          <c:smooth val="0"/>
          <c:extLst>
            <c:ext xmlns:c16="http://schemas.microsoft.com/office/drawing/2014/chart" uri="{C3380CC4-5D6E-409C-BE32-E72D297353CC}">
              <c16:uniqueId val="{00000002-5F5F-4587-9F4B-2109266284B7}"/>
            </c:ext>
          </c:extLst>
        </c:ser>
        <c:ser>
          <c:idx val="2"/>
          <c:order val="2"/>
          <c:tx>
            <c:strRef>
              <c:f>'gramo Pc %'!$R$6</c:f>
              <c:strCache>
                <c:ptCount val="1"/>
                <c:pt idx="0">
                  <c:v> ± EMP</c:v>
                </c:pt>
              </c:strCache>
            </c:strRef>
          </c:tx>
          <c:spPr>
            <a:ln w="28575" cap="rnd">
              <a:solidFill>
                <a:srgbClr val="FF0000"/>
              </a:solidFill>
              <a:round/>
            </a:ln>
            <a:effectLst/>
          </c:spPr>
          <c:marker>
            <c:symbol val="none"/>
          </c:marker>
          <c:dLbls>
            <c:delete val="1"/>
          </c:dLbls>
          <c:val>
            <c:numRef>
              <c:f>'gramo Pc %'!$R$9:$T$9</c:f>
              <c:numCache>
                <c:formatCode>General</c:formatCode>
                <c:ptCount val="3"/>
                <c:pt idx="0">
                  <c:v>-1.6</c:v>
                </c:pt>
                <c:pt idx="1">
                  <c:v>-1.6</c:v>
                </c:pt>
                <c:pt idx="2">
                  <c:v>-1.6</c:v>
                </c:pt>
              </c:numCache>
            </c:numRef>
          </c:val>
          <c:smooth val="0"/>
          <c:extLst>
            <c:ext xmlns:c16="http://schemas.microsoft.com/office/drawing/2014/chart" uri="{C3380CC4-5D6E-409C-BE32-E72D297353CC}">
              <c16:uniqueId val="{00000003-5F5F-4587-9F4B-2109266284B7}"/>
            </c:ext>
          </c:extLst>
        </c:ser>
        <c:dLbls>
          <c:dLblPos val="t"/>
          <c:showLegendKey val="0"/>
          <c:showVal val="1"/>
          <c:showCatName val="0"/>
          <c:showSerName val="0"/>
          <c:showPercent val="0"/>
          <c:showBubbleSize val="0"/>
        </c:dLbls>
        <c:marker val="1"/>
        <c:smooth val="0"/>
        <c:axId val="212093952"/>
        <c:axId val="212103936"/>
      </c:lineChart>
      <c:dateAx>
        <c:axId val="212093952"/>
        <c:scaling>
          <c:orientation val="minMax"/>
        </c:scaling>
        <c:delete val="0"/>
        <c:axPos val="b"/>
        <c:majorTickMark val="none"/>
        <c:minorTickMark val="none"/>
        <c:tickLblPos val="none"/>
        <c:spPr>
          <a:solidFill>
            <a:schemeClr val="bg1"/>
          </a:solidFill>
          <a:ln w="12700" cap="flat" cmpd="sng" algn="ctr">
            <a:solidFill>
              <a:srgbClr val="00B0F0">
                <a:alpha val="98000"/>
              </a:srgbClr>
            </a:solidFill>
            <a:round/>
          </a:ln>
          <a:effectLst>
            <a:glow>
              <a:srgbClr val="FFFF00">
                <a:alpha val="93000"/>
              </a:srgbClr>
            </a:glow>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212103936"/>
        <c:crosses val="autoZero"/>
        <c:auto val="0"/>
        <c:lblOffset val="100"/>
        <c:baseTimeUnit val="days"/>
        <c:majorUnit val="1"/>
      </c:dateAx>
      <c:valAx>
        <c:axId val="212103936"/>
        <c:scaling>
          <c:orientation val="minMax"/>
          <c:max val="1.8"/>
          <c:min val="-1.8"/>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r>
                  <a:rPr lang="es-CO"/>
                  <a:t>Error en masa convencional</a:t>
                </a:r>
              </a:p>
            </c:rich>
          </c:tx>
          <c:layout>
            <c:manualLayout>
              <c:xMode val="edge"/>
              <c:yMode val="edge"/>
              <c:x val="2.3869556481850931E-2"/>
              <c:y val="8.8691212950741352E-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endParaRPr lang="es-CO"/>
            </a:p>
          </c:txPr>
        </c:title>
        <c:numFmt formatCode="0.00\ &quot;mg&quot;"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212093952"/>
        <c:crossesAt val="1"/>
        <c:crossBetween val="between"/>
        <c:minorUnit val="0.1"/>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accent6">
        <a:lumMod val="20000"/>
        <a:lumOff val="80000"/>
      </a:schemeClr>
    </a:solidFill>
    <a:ln w="12700" cap="flat" cmpd="sng" algn="ctr">
      <a:solidFill>
        <a:schemeClr val="accent2"/>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r>
              <a:rPr lang="en-US"/>
              <a:t>10 g</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endParaRPr lang="es-CO"/>
        </a:p>
      </c:txPr>
    </c:title>
    <c:autoTitleDeleted val="0"/>
    <c:plotArea>
      <c:layout>
        <c:manualLayout>
          <c:layoutTarget val="inner"/>
          <c:xMode val="edge"/>
          <c:yMode val="edge"/>
          <c:x val="0.21190239059451396"/>
          <c:y val="0.27784722685881863"/>
          <c:w val="0.7562171585857882"/>
          <c:h val="0.68632714797105399"/>
        </c:manualLayout>
      </c:layout>
      <c:lineChart>
        <c:grouping val="standard"/>
        <c:varyColors val="0"/>
        <c:ser>
          <c:idx val="0"/>
          <c:order val="0"/>
          <c:tx>
            <c:strRef>
              <c:f>'gramo Pc %'!$D$6</c:f>
              <c:strCache>
                <c:ptCount val="1"/>
                <c:pt idx="0">
                  <c:v>Error en masa convencional </c:v>
                </c:pt>
              </c:strCache>
            </c:strRef>
          </c:tx>
          <c:spPr>
            <a:ln w="28575" cap="rnd">
              <a:solidFill>
                <a:schemeClr val="accent1"/>
              </a:solidFill>
              <a:round/>
            </a:ln>
            <a:effectLst/>
          </c:spPr>
          <c:marker>
            <c:symbol val="circle"/>
            <c:size val="6"/>
            <c:spPr>
              <a:solidFill>
                <a:srgbClr val="92D050"/>
              </a:solidFill>
              <a:ln w="9525">
                <a:solidFill>
                  <a:schemeClr val="accent1"/>
                </a:solidFill>
              </a:ln>
              <a:effectLst/>
            </c:spPr>
          </c:marker>
          <c:dLbls>
            <c:dLbl>
              <c:idx val="0"/>
              <c:layout>
                <c:manualLayout>
                  <c:x val="5.0438200024420697E-2"/>
                  <c:y val="-7.865975748140058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2BC-460A-BE0D-D8DF7146B420}"/>
                </c:ext>
              </c:extLst>
            </c:dLbl>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errBars>
            <c:errDir val="y"/>
            <c:errBarType val="both"/>
            <c:errValType val="cust"/>
            <c:noEndCap val="0"/>
            <c:plus>
              <c:numRef>
                <c:f>[2]Pc!$G$13</c:f>
                <c:numCache>
                  <c:formatCode>General</c:formatCode>
                  <c:ptCount val="1"/>
                  <c:pt idx="0">
                    <c:v>0.6</c:v>
                  </c:pt>
                </c:numCache>
              </c:numRef>
            </c:plus>
            <c:minus>
              <c:numRef>
                <c:f>[2]Pc!$G$13</c:f>
                <c:numCache>
                  <c:formatCode>General</c:formatCode>
                  <c:ptCount val="1"/>
                  <c:pt idx="0">
                    <c:v>0.6</c:v>
                  </c:pt>
                </c:numCache>
              </c:numRef>
            </c:minus>
            <c:spPr>
              <a:noFill/>
              <a:ln w="22225" cap="flat" cmpd="sng" algn="ctr">
                <a:solidFill>
                  <a:srgbClr val="0070C0"/>
                </a:solidFill>
                <a:round/>
              </a:ln>
              <a:effectLst/>
            </c:spPr>
          </c:errBars>
          <c:val>
            <c:numRef>
              <c:f>'gramo Pc %'!$D$11</c:f>
              <c:numCache>
                <c:formatCode>0.00\ "mg"</c:formatCode>
                <c:ptCount val="1"/>
                <c:pt idx="0">
                  <c:v>#N/A</c:v>
                </c:pt>
              </c:numCache>
            </c:numRef>
          </c:val>
          <c:smooth val="0"/>
          <c:extLst>
            <c:ext xmlns:c16="http://schemas.microsoft.com/office/drawing/2014/chart" uri="{C3380CC4-5D6E-409C-BE32-E72D297353CC}">
              <c16:uniqueId val="{00000001-31EF-4AAA-9AC8-A9D538888726}"/>
            </c:ext>
          </c:extLst>
        </c:ser>
        <c:ser>
          <c:idx val="1"/>
          <c:order val="1"/>
          <c:tx>
            <c:strRef>
              <c:f>'gramo Pc %'!$O$6</c:f>
              <c:strCache>
                <c:ptCount val="1"/>
                <c:pt idx="0">
                  <c:v> ± EMP</c:v>
                </c:pt>
              </c:strCache>
            </c:strRef>
          </c:tx>
          <c:spPr>
            <a:ln w="28575" cap="rnd">
              <a:solidFill>
                <a:srgbClr val="FF0000"/>
              </a:solidFill>
              <a:round/>
            </a:ln>
            <a:effectLst/>
          </c:spPr>
          <c:marker>
            <c:symbol val="none"/>
          </c:marker>
          <c:dLbls>
            <c:delete val="1"/>
          </c:dLbls>
          <c:val>
            <c:numRef>
              <c:f>'gramo Pc %'!$O$10:$Q$10</c:f>
              <c:numCache>
                <c:formatCode>0.0</c:formatCode>
                <c:ptCount val="3"/>
                <c:pt idx="0">
                  <c:v>2</c:v>
                </c:pt>
                <c:pt idx="1">
                  <c:v>2</c:v>
                </c:pt>
                <c:pt idx="2">
                  <c:v>2</c:v>
                </c:pt>
              </c:numCache>
            </c:numRef>
          </c:val>
          <c:smooth val="0"/>
          <c:extLst>
            <c:ext xmlns:c16="http://schemas.microsoft.com/office/drawing/2014/chart" uri="{C3380CC4-5D6E-409C-BE32-E72D297353CC}">
              <c16:uniqueId val="{00000002-31EF-4AAA-9AC8-A9D538888726}"/>
            </c:ext>
          </c:extLst>
        </c:ser>
        <c:ser>
          <c:idx val="2"/>
          <c:order val="2"/>
          <c:tx>
            <c:strRef>
              <c:f>'gramo Pc %'!$R$6</c:f>
              <c:strCache>
                <c:ptCount val="1"/>
                <c:pt idx="0">
                  <c:v> ± EMP</c:v>
                </c:pt>
              </c:strCache>
            </c:strRef>
          </c:tx>
          <c:spPr>
            <a:ln w="28575" cap="rnd">
              <a:solidFill>
                <a:srgbClr val="FF0000"/>
              </a:solidFill>
              <a:round/>
            </a:ln>
            <a:effectLst/>
          </c:spPr>
          <c:marker>
            <c:symbol val="none"/>
          </c:marker>
          <c:dLbls>
            <c:delete val="1"/>
          </c:dLbls>
          <c:val>
            <c:numRef>
              <c:f>'gramo Pc %'!$R$10:$T$10</c:f>
              <c:numCache>
                <c:formatCode>0.0</c:formatCode>
                <c:ptCount val="3"/>
                <c:pt idx="0">
                  <c:v>-2</c:v>
                </c:pt>
                <c:pt idx="1">
                  <c:v>-2</c:v>
                </c:pt>
                <c:pt idx="2">
                  <c:v>-2</c:v>
                </c:pt>
              </c:numCache>
            </c:numRef>
          </c:val>
          <c:smooth val="0"/>
          <c:extLst>
            <c:ext xmlns:c16="http://schemas.microsoft.com/office/drawing/2014/chart" uri="{C3380CC4-5D6E-409C-BE32-E72D297353CC}">
              <c16:uniqueId val="{00000003-31EF-4AAA-9AC8-A9D538888726}"/>
            </c:ext>
          </c:extLst>
        </c:ser>
        <c:dLbls>
          <c:dLblPos val="t"/>
          <c:showLegendKey val="0"/>
          <c:showVal val="1"/>
          <c:showCatName val="0"/>
          <c:showSerName val="0"/>
          <c:showPercent val="0"/>
          <c:showBubbleSize val="0"/>
        </c:dLbls>
        <c:marker val="1"/>
        <c:smooth val="0"/>
        <c:axId val="212165760"/>
        <c:axId val="212167296"/>
      </c:lineChart>
      <c:dateAx>
        <c:axId val="212165760"/>
        <c:scaling>
          <c:orientation val="minMax"/>
        </c:scaling>
        <c:delete val="0"/>
        <c:axPos val="b"/>
        <c:majorTickMark val="none"/>
        <c:minorTickMark val="none"/>
        <c:tickLblPos val="none"/>
        <c:spPr>
          <a:solidFill>
            <a:schemeClr val="bg1"/>
          </a:solidFill>
          <a:ln w="12700" cap="flat" cmpd="sng" algn="ctr">
            <a:solidFill>
              <a:srgbClr val="00B0F0">
                <a:alpha val="98000"/>
              </a:srgbClr>
            </a:solidFill>
            <a:round/>
          </a:ln>
          <a:effectLst>
            <a:glow>
              <a:srgbClr val="FFFF00">
                <a:alpha val="93000"/>
              </a:srgbClr>
            </a:glow>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212167296"/>
        <c:crosses val="autoZero"/>
        <c:auto val="0"/>
        <c:lblOffset val="100"/>
        <c:baseTimeUnit val="days"/>
        <c:majorUnit val="1"/>
      </c:dateAx>
      <c:valAx>
        <c:axId val="212167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r>
                  <a:rPr lang="es-CO"/>
                  <a:t>Error en masa convencional</a:t>
                </a:r>
              </a:p>
            </c:rich>
          </c:tx>
          <c:layout>
            <c:manualLayout>
              <c:xMode val="edge"/>
              <c:yMode val="edge"/>
              <c:x val="1.5883167301333066E-2"/>
              <c:y val="0.10173645528922946"/>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endParaRPr lang="es-CO"/>
            </a:p>
          </c:txPr>
        </c:title>
        <c:numFmt formatCode="0.00\ &quot;mg&quot;"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212165760"/>
        <c:crossesAt val="1"/>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accent6">
        <a:lumMod val="20000"/>
        <a:lumOff val="80000"/>
      </a:schemeClr>
    </a:solidFill>
    <a:ln w="12700" cap="flat" cmpd="sng" algn="ctr">
      <a:solidFill>
        <a:schemeClr val="accent2"/>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r>
              <a:rPr lang="en-US"/>
              <a:t>20 g</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endParaRPr lang="es-CO"/>
        </a:p>
      </c:txPr>
    </c:title>
    <c:autoTitleDeleted val="0"/>
    <c:plotArea>
      <c:layout>
        <c:manualLayout>
          <c:layoutTarget val="inner"/>
          <c:xMode val="edge"/>
          <c:yMode val="edge"/>
          <c:x val="0.21190239059451396"/>
          <c:y val="0.27784722685881863"/>
          <c:w val="0.7562171585857882"/>
          <c:h val="0.68632714797105399"/>
        </c:manualLayout>
      </c:layout>
      <c:lineChart>
        <c:grouping val="standard"/>
        <c:varyColors val="0"/>
        <c:ser>
          <c:idx val="0"/>
          <c:order val="0"/>
          <c:tx>
            <c:strRef>
              <c:f>'gramo Pc %'!$D$6</c:f>
              <c:strCache>
                <c:ptCount val="1"/>
                <c:pt idx="0">
                  <c:v>Error en masa convencional </c:v>
                </c:pt>
              </c:strCache>
            </c:strRef>
          </c:tx>
          <c:spPr>
            <a:ln w="28575" cap="rnd">
              <a:solidFill>
                <a:schemeClr val="accent1"/>
              </a:solidFill>
              <a:round/>
            </a:ln>
            <a:effectLst/>
          </c:spPr>
          <c:marker>
            <c:symbol val="circle"/>
            <c:size val="6"/>
            <c:spPr>
              <a:solidFill>
                <a:srgbClr val="92D050"/>
              </a:solidFill>
              <a:ln w="9525">
                <a:solidFill>
                  <a:schemeClr val="accent1"/>
                </a:solidFill>
              </a:ln>
              <a:effectLst/>
            </c:spPr>
          </c:marker>
          <c:dLbls>
            <c:dLbl>
              <c:idx val="0"/>
              <c:layout>
                <c:manualLayout>
                  <c:x val="3.4221603718968645E-2"/>
                  <c:y val="-0.11308949796093841"/>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2CE-43CC-877E-111B35E52978}"/>
                </c:ext>
              </c:extLst>
            </c:dLbl>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errBars>
            <c:errDir val="y"/>
            <c:errBarType val="both"/>
            <c:errValType val="cust"/>
            <c:noEndCap val="0"/>
            <c:plus>
              <c:numRef>
                <c:f>[2]Pc!$G$14</c:f>
                <c:numCache>
                  <c:formatCode>General</c:formatCode>
                  <c:ptCount val="1"/>
                  <c:pt idx="0">
                    <c:v>0.8</c:v>
                  </c:pt>
                </c:numCache>
              </c:numRef>
            </c:plus>
            <c:minus>
              <c:numRef>
                <c:f>[2]Pc!$G$14</c:f>
                <c:numCache>
                  <c:formatCode>General</c:formatCode>
                  <c:ptCount val="1"/>
                  <c:pt idx="0">
                    <c:v>0.8</c:v>
                  </c:pt>
                </c:numCache>
              </c:numRef>
            </c:minus>
            <c:spPr>
              <a:noFill/>
              <a:ln w="22225" cap="flat" cmpd="sng" algn="ctr">
                <a:solidFill>
                  <a:srgbClr val="0070C0"/>
                </a:solidFill>
                <a:round/>
              </a:ln>
              <a:effectLst/>
            </c:spPr>
          </c:errBars>
          <c:val>
            <c:numRef>
              <c:f>'gramo Pc %'!$D$12</c:f>
              <c:numCache>
                <c:formatCode>0.00\ "mg"</c:formatCode>
                <c:ptCount val="1"/>
                <c:pt idx="0">
                  <c:v>#N/A</c:v>
                </c:pt>
              </c:numCache>
            </c:numRef>
          </c:val>
          <c:smooth val="0"/>
          <c:extLst>
            <c:ext xmlns:c16="http://schemas.microsoft.com/office/drawing/2014/chart" uri="{C3380CC4-5D6E-409C-BE32-E72D297353CC}">
              <c16:uniqueId val="{00000001-F68C-4E39-A057-581313721978}"/>
            </c:ext>
          </c:extLst>
        </c:ser>
        <c:ser>
          <c:idx val="1"/>
          <c:order val="1"/>
          <c:tx>
            <c:strRef>
              <c:f>'gramo Pc %'!$O$6</c:f>
              <c:strCache>
                <c:ptCount val="1"/>
                <c:pt idx="0">
                  <c:v> ± EMP</c:v>
                </c:pt>
              </c:strCache>
            </c:strRef>
          </c:tx>
          <c:spPr>
            <a:ln w="28575" cap="rnd">
              <a:solidFill>
                <a:srgbClr val="FF0000"/>
              </a:solidFill>
              <a:round/>
            </a:ln>
            <a:effectLst/>
          </c:spPr>
          <c:marker>
            <c:symbol val="none"/>
          </c:marker>
          <c:dLbls>
            <c:delete val="1"/>
          </c:dLbls>
          <c:val>
            <c:numRef>
              <c:f>'gramo Pc %'!$O$11:$Q$11</c:f>
              <c:numCache>
                <c:formatCode>General</c:formatCode>
                <c:ptCount val="3"/>
                <c:pt idx="0">
                  <c:v>2.5</c:v>
                </c:pt>
                <c:pt idx="1">
                  <c:v>2.5</c:v>
                </c:pt>
                <c:pt idx="2">
                  <c:v>2.5</c:v>
                </c:pt>
              </c:numCache>
            </c:numRef>
          </c:val>
          <c:smooth val="0"/>
          <c:extLst>
            <c:ext xmlns:c16="http://schemas.microsoft.com/office/drawing/2014/chart" uri="{C3380CC4-5D6E-409C-BE32-E72D297353CC}">
              <c16:uniqueId val="{00000002-F68C-4E39-A057-581313721978}"/>
            </c:ext>
          </c:extLst>
        </c:ser>
        <c:ser>
          <c:idx val="2"/>
          <c:order val="2"/>
          <c:tx>
            <c:strRef>
              <c:f>'gramo Pc %'!$R$6</c:f>
              <c:strCache>
                <c:ptCount val="1"/>
                <c:pt idx="0">
                  <c:v> ± EMP</c:v>
                </c:pt>
              </c:strCache>
            </c:strRef>
          </c:tx>
          <c:spPr>
            <a:ln w="28575" cap="rnd">
              <a:solidFill>
                <a:srgbClr val="FF0000"/>
              </a:solidFill>
              <a:round/>
            </a:ln>
            <a:effectLst/>
          </c:spPr>
          <c:marker>
            <c:symbol val="none"/>
          </c:marker>
          <c:dLbls>
            <c:delete val="1"/>
          </c:dLbls>
          <c:val>
            <c:numRef>
              <c:f>'gramo Pc %'!$R$11:$T$11</c:f>
              <c:numCache>
                <c:formatCode>General</c:formatCode>
                <c:ptCount val="3"/>
                <c:pt idx="0">
                  <c:v>-2.5</c:v>
                </c:pt>
                <c:pt idx="1">
                  <c:v>-2.5</c:v>
                </c:pt>
                <c:pt idx="2">
                  <c:v>-2.5</c:v>
                </c:pt>
              </c:numCache>
            </c:numRef>
          </c:val>
          <c:smooth val="0"/>
          <c:extLst>
            <c:ext xmlns:c16="http://schemas.microsoft.com/office/drawing/2014/chart" uri="{C3380CC4-5D6E-409C-BE32-E72D297353CC}">
              <c16:uniqueId val="{00000003-F68C-4E39-A057-581313721978}"/>
            </c:ext>
          </c:extLst>
        </c:ser>
        <c:dLbls>
          <c:dLblPos val="t"/>
          <c:showLegendKey val="0"/>
          <c:showVal val="1"/>
          <c:showCatName val="0"/>
          <c:showSerName val="0"/>
          <c:showPercent val="0"/>
          <c:showBubbleSize val="0"/>
        </c:dLbls>
        <c:marker val="1"/>
        <c:smooth val="0"/>
        <c:axId val="212192256"/>
        <c:axId val="203424512"/>
      </c:lineChart>
      <c:dateAx>
        <c:axId val="212192256"/>
        <c:scaling>
          <c:orientation val="minMax"/>
        </c:scaling>
        <c:delete val="0"/>
        <c:axPos val="b"/>
        <c:majorTickMark val="none"/>
        <c:minorTickMark val="none"/>
        <c:tickLblPos val="none"/>
        <c:spPr>
          <a:solidFill>
            <a:schemeClr val="bg1"/>
          </a:solidFill>
          <a:ln w="12700" cap="flat" cmpd="sng" algn="ctr">
            <a:solidFill>
              <a:srgbClr val="00B0F0">
                <a:alpha val="98000"/>
              </a:srgbClr>
            </a:solidFill>
            <a:round/>
          </a:ln>
          <a:effectLst>
            <a:glow>
              <a:srgbClr val="FFFF00">
                <a:alpha val="93000"/>
              </a:srgbClr>
            </a:glow>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203424512"/>
        <c:crosses val="autoZero"/>
        <c:auto val="0"/>
        <c:lblOffset val="100"/>
        <c:baseTimeUnit val="days"/>
        <c:majorUnit val="1"/>
      </c:dateAx>
      <c:valAx>
        <c:axId val="20342451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r>
                  <a:rPr lang="es-CO"/>
                  <a:t>Error en masa convencional</a:t>
                </a:r>
              </a:p>
            </c:rich>
          </c:tx>
          <c:layout>
            <c:manualLayout>
              <c:xMode val="edge"/>
              <c:yMode val="edge"/>
              <c:x val="2.3869556481850931E-2"/>
              <c:y val="0.10173645528922946"/>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endParaRPr lang="es-CO"/>
            </a:p>
          </c:txPr>
        </c:title>
        <c:numFmt formatCode="0.00\ &quot;mg&quot;"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212192256"/>
        <c:crossesAt val="1"/>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accent6">
        <a:lumMod val="20000"/>
        <a:lumOff val="80000"/>
      </a:schemeClr>
    </a:solidFill>
    <a:ln w="12700" cap="flat" cmpd="sng" algn="ctr">
      <a:solidFill>
        <a:schemeClr val="accent2"/>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r>
              <a:rPr lang="en-US"/>
              <a:t>50 g</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endParaRPr lang="es-CO"/>
        </a:p>
      </c:txPr>
    </c:title>
    <c:autoTitleDeleted val="0"/>
    <c:plotArea>
      <c:layout>
        <c:manualLayout>
          <c:layoutTarget val="inner"/>
          <c:xMode val="edge"/>
          <c:yMode val="edge"/>
          <c:x val="0.21190239059451396"/>
          <c:y val="0.27784722685881863"/>
          <c:w val="0.7562171585857882"/>
          <c:h val="0.68632714797105399"/>
        </c:manualLayout>
      </c:layout>
      <c:lineChart>
        <c:grouping val="standard"/>
        <c:varyColors val="0"/>
        <c:ser>
          <c:idx val="0"/>
          <c:order val="0"/>
          <c:tx>
            <c:strRef>
              <c:f>'gramo Pc %'!$D$6</c:f>
              <c:strCache>
                <c:ptCount val="1"/>
                <c:pt idx="0">
                  <c:v>Error en masa convencional </c:v>
                </c:pt>
              </c:strCache>
            </c:strRef>
          </c:tx>
          <c:spPr>
            <a:ln w="28575" cap="rnd">
              <a:solidFill>
                <a:schemeClr val="accent1"/>
              </a:solidFill>
              <a:round/>
            </a:ln>
            <a:effectLst/>
          </c:spPr>
          <c:marker>
            <c:symbol val="circle"/>
            <c:size val="6"/>
            <c:spPr>
              <a:solidFill>
                <a:srgbClr val="92D050"/>
              </a:solidFill>
              <a:ln w="9525">
                <a:solidFill>
                  <a:schemeClr val="accent1"/>
                </a:solidFill>
              </a:ln>
              <a:effectLst/>
            </c:spPr>
          </c:marker>
          <c:dLbls>
            <c:dLbl>
              <c:idx val="0"/>
              <c:layout>
                <c:manualLayout>
                  <c:x val="0.10252937188016949"/>
                  <c:y val="-7.865975748140066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2CF-4349-A8FC-FAC0C4B6FA95}"/>
                </c:ext>
              </c:extLst>
            </c:dLbl>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errBars>
            <c:errDir val="y"/>
            <c:errBarType val="both"/>
            <c:errValType val="cust"/>
            <c:noEndCap val="0"/>
            <c:plus>
              <c:numRef>
                <c:f>'gramo Pc %'!$E$14</c:f>
                <c:numCache>
                  <c:formatCode>General</c:formatCode>
                  <c:ptCount val="1"/>
                  <c:pt idx="0">
                    <c:v>1</c:v>
                  </c:pt>
                </c:numCache>
              </c:numRef>
            </c:plus>
            <c:minus>
              <c:numRef>
                <c:f>'gramo Pc %'!$E$14</c:f>
                <c:numCache>
                  <c:formatCode>General</c:formatCode>
                  <c:ptCount val="1"/>
                  <c:pt idx="0">
                    <c:v>1</c:v>
                  </c:pt>
                </c:numCache>
              </c:numRef>
            </c:minus>
            <c:spPr>
              <a:noFill/>
              <a:ln w="22225" cap="flat" cmpd="sng" algn="ctr">
                <a:solidFill>
                  <a:srgbClr val="0070C0"/>
                </a:solidFill>
                <a:round/>
              </a:ln>
              <a:effectLst/>
            </c:spPr>
          </c:errBars>
          <c:val>
            <c:numRef>
              <c:f>'gramo Pc %'!$D$14</c:f>
              <c:numCache>
                <c:formatCode>0.0\ "mg"</c:formatCode>
                <c:ptCount val="1"/>
                <c:pt idx="0">
                  <c:v>#N/A</c:v>
                </c:pt>
              </c:numCache>
            </c:numRef>
          </c:val>
          <c:smooth val="0"/>
          <c:extLst>
            <c:ext xmlns:c16="http://schemas.microsoft.com/office/drawing/2014/chart" uri="{C3380CC4-5D6E-409C-BE32-E72D297353CC}">
              <c16:uniqueId val="{00000001-7CCA-49DE-8E27-CC77F29DDE12}"/>
            </c:ext>
          </c:extLst>
        </c:ser>
        <c:ser>
          <c:idx val="1"/>
          <c:order val="1"/>
          <c:tx>
            <c:strRef>
              <c:f>'gramo Pc %'!$O$6</c:f>
              <c:strCache>
                <c:ptCount val="1"/>
                <c:pt idx="0">
                  <c:v> ± EMP</c:v>
                </c:pt>
              </c:strCache>
            </c:strRef>
          </c:tx>
          <c:spPr>
            <a:ln w="28575" cap="rnd">
              <a:solidFill>
                <a:srgbClr val="FF0000"/>
              </a:solidFill>
              <a:round/>
            </a:ln>
            <a:effectLst/>
          </c:spPr>
          <c:marker>
            <c:symbol val="none"/>
          </c:marker>
          <c:dLbls>
            <c:delete val="1"/>
          </c:dLbls>
          <c:val>
            <c:numRef>
              <c:f>'gramo Pc %'!$O$12:$Q$12</c:f>
              <c:numCache>
                <c:formatCode>0.0</c:formatCode>
                <c:ptCount val="3"/>
                <c:pt idx="0">
                  <c:v>3</c:v>
                </c:pt>
                <c:pt idx="1">
                  <c:v>3</c:v>
                </c:pt>
                <c:pt idx="2">
                  <c:v>3</c:v>
                </c:pt>
              </c:numCache>
            </c:numRef>
          </c:val>
          <c:smooth val="0"/>
          <c:extLst>
            <c:ext xmlns:c16="http://schemas.microsoft.com/office/drawing/2014/chart" uri="{C3380CC4-5D6E-409C-BE32-E72D297353CC}">
              <c16:uniqueId val="{00000002-7CCA-49DE-8E27-CC77F29DDE12}"/>
            </c:ext>
          </c:extLst>
        </c:ser>
        <c:ser>
          <c:idx val="2"/>
          <c:order val="2"/>
          <c:tx>
            <c:strRef>
              <c:f>'gramo Pc %'!$R$6</c:f>
              <c:strCache>
                <c:ptCount val="1"/>
                <c:pt idx="0">
                  <c:v> ± EMP</c:v>
                </c:pt>
              </c:strCache>
            </c:strRef>
          </c:tx>
          <c:spPr>
            <a:ln w="28575" cap="rnd">
              <a:solidFill>
                <a:srgbClr val="FF0000"/>
              </a:solidFill>
              <a:round/>
            </a:ln>
            <a:effectLst/>
          </c:spPr>
          <c:marker>
            <c:symbol val="none"/>
          </c:marker>
          <c:dLbls>
            <c:delete val="1"/>
          </c:dLbls>
          <c:val>
            <c:numRef>
              <c:f>'gramo Pc %'!$R$12:$T$12</c:f>
              <c:numCache>
                <c:formatCode>0.0</c:formatCode>
                <c:ptCount val="3"/>
                <c:pt idx="0">
                  <c:v>-3</c:v>
                </c:pt>
                <c:pt idx="1">
                  <c:v>-3</c:v>
                </c:pt>
                <c:pt idx="2">
                  <c:v>-3</c:v>
                </c:pt>
              </c:numCache>
            </c:numRef>
          </c:val>
          <c:smooth val="0"/>
          <c:extLst>
            <c:ext xmlns:c16="http://schemas.microsoft.com/office/drawing/2014/chart" uri="{C3380CC4-5D6E-409C-BE32-E72D297353CC}">
              <c16:uniqueId val="{00000003-7CCA-49DE-8E27-CC77F29DDE12}"/>
            </c:ext>
          </c:extLst>
        </c:ser>
        <c:dLbls>
          <c:dLblPos val="t"/>
          <c:showLegendKey val="0"/>
          <c:showVal val="1"/>
          <c:showCatName val="0"/>
          <c:showSerName val="0"/>
          <c:showPercent val="0"/>
          <c:showBubbleSize val="0"/>
        </c:dLbls>
        <c:marker val="1"/>
        <c:smooth val="0"/>
        <c:axId val="203469952"/>
        <c:axId val="203471488"/>
      </c:lineChart>
      <c:dateAx>
        <c:axId val="203469952"/>
        <c:scaling>
          <c:orientation val="minMax"/>
        </c:scaling>
        <c:delete val="0"/>
        <c:axPos val="b"/>
        <c:majorTickMark val="none"/>
        <c:minorTickMark val="none"/>
        <c:tickLblPos val="none"/>
        <c:spPr>
          <a:solidFill>
            <a:schemeClr val="bg1"/>
          </a:solidFill>
          <a:ln w="12700" cap="flat" cmpd="sng" algn="ctr">
            <a:solidFill>
              <a:srgbClr val="00B0F0">
                <a:alpha val="98000"/>
              </a:srgbClr>
            </a:solidFill>
            <a:round/>
          </a:ln>
          <a:effectLst>
            <a:glow>
              <a:srgbClr val="FFFF00">
                <a:alpha val="93000"/>
              </a:srgbClr>
            </a:glow>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203471488"/>
        <c:crosses val="autoZero"/>
        <c:auto val="0"/>
        <c:lblOffset val="100"/>
        <c:baseTimeUnit val="days"/>
        <c:majorUnit val="1"/>
      </c:dateAx>
      <c:valAx>
        <c:axId val="203471488"/>
        <c:scaling>
          <c:orientation val="minMax"/>
          <c:max val="4"/>
          <c:min val="-4"/>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r>
                  <a:rPr lang="es-CO"/>
                  <a:t>Error en masa convencional</a:t>
                </a:r>
              </a:p>
            </c:rich>
          </c:tx>
          <c:layout>
            <c:manualLayout>
              <c:xMode val="edge"/>
              <c:yMode val="edge"/>
              <c:x val="2.3869556481850931E-2"/>
              <c:y val="0.12130431879696157"/>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endParaRPr lang="es-CO"/>
            </a:p>
          </c:txPr>
        </c:title>
        <c:numFmt formatCode="0.0\ &quot;mg&quot;"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203469952"/>
        <c:crossesAt val="1"/>
        <c:crossBetween val="between"/>
        <c:majorUnit val="1"/>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accent6">
        <a:lumMod val="20000"/>
        <a:lumOff val="80000"/>
      </a:schemeClr>
    </a:solidFill>
    <a:ln w="12700" cap="flat" cmpd="sng" algn="ctr">
      <a:solidFill>
        <a:schemeClr val="accent2"/>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r>
              <a:rPr lang="en-US"/>
              <a:t>100 g</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endParaRPr lang="es-CO"/>
        </a:p>
      </c:txPr>
    </c:title>
    <c:autoTitleDeleted val="0"/>
    <c:plotArea>
      <c:layout>
        <c:manualLayout>
          <c:layoutTarget val="inner"/>
          <c:xMode val="edge"/>
          <c:yMode val="edge"/>
          <c:x val="0.21190239059451396"/>
          <c:y val="0.27784722685881863"/>
          <c:w val="0.7562171585857882"/>
          <c:h val="0.68632714797105399"/>
        </c:manualLayout>
      </c:layout>
      <c:lineChart>
        <c:grouping val="standard"/>
        <c:varyColors val="0"/>
        <c:ser>
          <c:idx val="0"/>
          <c:order val="0"/>
          <c:tx>
            <c:strRef>
              <c:f>'gramo Pc %'!$D$6</c:f>
              <c:strCache>
                <c:ptCount val="1"/>
                <c:pt idx="0">
                  <c:v>Error en masa convencional </c:v>
                </c:pt>
              </c:strCache>
            </c:strRef>
          </c:tx>
          <c:spPr>
            <a:ln w="28575" cap="rnd">
              <a:solidFill>
                <a:schemeClr val="accent1"/>
              </a:solidFill>
              <a:round/>
            </a:ln>
            <a:effectLst/>
          </c:spPr>
          <c:marker>
            <c:symbol val="circle"/>
            <c:size val="6"/>
            <c:spPr>
              <a:solidFill>
                <a:srgbClr val="92D050"/>
              </a:solidFill>
              <a:ln w="9525">
                <a:solidFill>
                  <a:schemeClr val="accent1"/>
                </a:solidFill>
              </a:ln>
              <a:effectLst/>
            </c:spPr>
          </c:marker>
          <c:dLbls>
            <c:dLbl>
              <c:idx val="0"/>
              <c:layout>
                <c:manualLayout>
                  <c:x val="0.10461115974030952"/>
                  <c:y val="-0.1913611424521501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3CA-4E52-8249-4066A1B13ACF}"/>
                </c:ext>
              </c:extLst>
            </c:dLbl>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errBars>
            <c:errDir val="y"/>
            <c:errBarType val="both"/>
            <c:errValType val="cust"/>
            <c:noEndCap val="0"/>
            <c:plus>
              <c:numRef>
                <c:f>'gramo Pc %'!$E$15</c:f>
                <c:numCache>
                  <c:formatCode>General</c:formatCode>
                  <c:ptCount val="1"/>
                  <c:pt idx="0">
                    <c:v>1.7</c:v>
                  </c:pt>
                </c:numCache>
              </c:numRef>
            </c:plus>
            <c:minus>
              <c:numRef>
                <c:f>'gramo Pc %'!$E$15</c:f>
                <c:numCache>
                  <c:formatCode>General</c:formatCode>
                  <c:ptCount val="1"/>
                  <c:pt idx="0">
                    <c:v>1.7</c:v>
                  </c:pt>
                </c:numCache>
              </c:numRef>
            </c:minus>
            <c:spPr>
              <a:noFill/>
              <a:ln w="22225" cap="flat" cmpd="sng" algn="ctr">
                <a:solidFill>
                  <a:srgbClr val="0070C0"/>
                </a:solidFill>
                <a:round/>
              </a:ln>
              <a:effectLst/>
            </c:spPr>
          </c:errBars>
          <c:val>
            <c:numRef>
              <c:f>'gramo Pc %'!$D$15</c:f>
              <c:numCache>
                <c:formatCode>0.0\ "mg"</c:formatCode>
                <c:ptCount val="1"/>
                <c:pt idx="0">
                  <c:v>#N/A</c:v>
                </c:pt>
              </c:numCache>
            </c:numRef>
          </c:val>
          <c:smooth val="0"/>
          <c:extLst>
            <c:ext xmlns:c16="http://schemas.microsoft.com/office/drawing/2014/chart" uri="{C3380CC4-5D6E-409C-BE32-E72D297353CC}">
              <c16:uniqueId val="{00000001-5DAA-439F-883B-6DB42530EB88}"/>
            </c:ext>
          </c:extLst>
        </c:ser>
        <c:ser>
          <c:idx val="1"/>
          <c:order val="1"/>
          <c:tx>
            <c:strRef>
              <c:f>'gramo Pc %'!$O$6</c:f>
              <c:strCache>
                <c:ptCount val="1"/>
                <c:pt idx="0">
                  <c:v> ± EMP</c:v>
                </c:pt>
              </c:strCache>
            </c:strRef>
          </c:tx>
          <c:spPr>
            <a:ln w="28575" cap="rnd">
              <a:solidFill>
                <a:srgbClr val="FF0000"/>
              </a:solidFill>
              <a:round/>
            </a:ln>
            <a:effectLst/>
          </c:spPr>
          <c:marker>
            <c:symbol val="none"/>
          </c:marker>
          <c:dLbls>
            <c:delete val="1"/>
          </c:dLbls>
          <c:val>
            <c:numRef>
              <c:f>'gramo Pc %'!$O$13:$Q$13</c:f>
              <c:numCache>
                <c:formatCode>0.0</c:formatCode>
                <c:ptCount val="3"/>
                <c:pt idx="0">
                  <c:v>5</c:v>
                </c:pt>
                <c:pt idx="1">
                  <c:v>5</c:v>
                </c:pt>
                <c:pt idx="2">
                  <c:v>5</c:v>
                </c:pt>
              </c:numCache>
            </c:numRef>
          </c:val>
          <c:smooth val="0"/>
          <c:extLst>
            <c:ext xmlns:c16="http://schemas.microsoft.com/office/drawing/2014/chart" uri="{C3380CC4-5D6E-409C-BE32-E72D297353CC}">
              <c16:uniqueId val="{00000002-5DAA-439F-883B-6DB42530EB88}"/>
            </c:ext>
          </c:extLst>
        </c:ser>
        <c:ser>
          <c:idx val="2"/>
          <c:order val="2"/>
          <c:tx>
            <c:strRef>
              <c:f>'gramo Pc %'!$R$6</c:f>
              <c:strCache>
                <c:ptCount val="1"/>
                <c:pt idx="0">
                  <c:v> ± EMP</c:v>
                </c:pt>
              </c:strCache>
            </c:strRef>
          </c:tx>
          <c:spPr>
            <a:ln w="28575" cap="rnd">
              <a:solidFill>
                <a:srgbClr val="FF0000"/>
              </a:solidFill>
              <a:round/>
            </a:ln>
            <a:effectLst/>
          </c:spPr>
          <c:marker>
            <c:symbol val="none"/>
          </c:marker>
          <c:dLbls>
            <c:delete val="1"/>
          </c:dLbls>
          <c:val>
            <c:numRef>
              <c:f>'gramo Pc %'!$R$13:$T$13</c:f>
              <c:numCache>
                <c:formatCode>0.0</c:formatCode>
                <c:ptCount val="3"/>
                <c:pt idx="0">
                  <c:v>-5</c:v>
                </c:pt>
                <c:pt idx="1">
                  <c:v>-5</c:v>
                </c:pt>
                <c:pt idx="2">
                  <c:v>-5</c:v>
                </c:pt>
              </c:numCache>
            </c:numRef>
          </c:val>
          <c:smooth val="0"/>
          <c:extLst>
            <c:ext xmlns:c16="http://schemas.microsoft.com/office/drawing/2014/chart" uri="{C3380CC4-5D6E-409C-BE32-E72D297353CC}">
              <c16:uniqueId val="{00000003-5DAA-439F-883B-6DB42530EB88}"/>
            </c:ext>
          </c:extLst>
        </c:ser>
        <c:dLbls>
          <c:dLblPos val="t"/>
          <c:showLegendKey val="0"/>
          <c:showVal val="1"/>
          <c:showCatName val="0"/>
          <c:showSerName val="0"/>
          <c:showPercent val="0"/>
          <c:showBubbleSize val="0"/>
        </c:dLbls>
        <c:marker val="1"/>
        <c:smooth val="0"/>
        <c:axId val="212634624"/>
        <c:axId val="212636416"/>
      </c:lineChart>
      <c:dateAx>
        <c:axId val="212634624"/>
        <c:scaling>
          <c:orientation val="minMax"/>
        </c:scaling>
        <c:delete val="0"/>
        <c:axPos val="b"/>
        <c:majorTickMark val="none"/>
        <c:minorTickMark val="none"/>
        <c:tickLblPos val="none"/>
        <c:spPr>
          <a:solidFill>
            <a:schemeClr val="bg1"/>
          </a:solidFill>
          <a:ln w="12700" cap="flat" cmpd="sng" algn="ctr">
            <a:solidFill>
              <a:srgbClr val="00B0F0">
                <a:alpha val="98000"/>
              </a:srgbClr>
            </a:solidFill>
            <a:round/>
          </a:ln>
          <a:effectLst>
            <a:glow>
              <a:srgbClr val="FFFF00">
                <a:alpha val="93000"/>
              </a:srgbClr>
            </a:glow>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212636416"/>
        <c:crosses val="autoZero"/>
        <c:auto val="0"/>
        <c:lblOffset val="100"/>
        <c:baseTimeUnit val="days"/>
        <c:majorUnit val="1"/>
      </c:dateAx>
      <c:valAx>
        <c:axId val="21263641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r>
                  <a:rPr lang="es-CO"/>
                  <a:t>Error en masa convencional</a:t>
                </a:r>
              </a:p>
            </c:rich>
          </c:tx>
          <c:layout>
            <c:manualLayout>
              <c:xMode val="edge"/>
              <c:yMode val="edge"/>
              <c:x val="1.9876361891592E-2"/>
              <c:y val="0.12130431879696157"/>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endParaRPr lang="es-CO"/>
            </a:p>
          </c:txPr>
        </c:title>
        <c:numFmt formatCode="0.0\ &quot;mg&quot;"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212634624"/>
        <c:crossesAt val="1"/>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accent6">
        <a:lumMod val="20000"/>
        <a:lumOff val="80000"/>
      </a:schemeClr>
    </a:solidFill>
    <a:ln w="12700" cap="flat" cmpd="sng" algn="ctr">
      <a:solidFill>
        <a:schemeClr val="accent2"/>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r>
              <a:rPr lang="en-US"/>
              <a:t>200 g</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endParaRPr lang="es-CO"/>
        </a:p>
      </c:txPr>
    </c:title>
    <c:autoTitleDeleted val="0"/>
    <c:plotArea>
      <c:layout>
        <c:manualLayout>
          <c:layoutTarget val="inner"/>
          <c:xMode val="edge"/>
          <c:yMode val="edge"/>
          <c:x val="0.21190239059451396"/>
          <c:y val="0.27784722685881863"/>
          <c:w val="0.7562171585857882"/>
          <c:h val="0.68632714797105399"/>
        </c:manualLayout>
      </c:layout>
      <c:lineChart>
        <c:grouping val="standard"/>
        <c:varyColors val="0"/>
        <c:ser>
          <c:idx val="0"/>
          <c:order val="0"/>
          <c:tx>
            <c:strRef>
              <c:f>'gramo Pc %'!$D$6</c:f>
              <c:strCache>
                <c:ptCount val="1"/>
                <c:pt idx="0">
                  <c:v>Error en masa convencional </c:v>
                </c:pt>
              </c:strCache>
            </c:strRef>
          </c:tx>
          <c:spPr>
            <a:ln w="28575" cap="rnd">
              <a:solidFill>
                <a:schemeClr val="accent1"/>
              </a:solidFill>
              <a:round/>
            </a:ln>
            <a:effectLst/>
          </c:spPr>
          <c:marker>
            <c:symbol val="circle"/>
            <c:size val="6"/>
            <c:spPr>
              <a:solidFill>
                <a:srgbClr val="92D050"/>
              </a:solidFill>
              <a:ln w="9525">
                <a:solidFill>
                  <a:schemeClr val="accent1"/>
                </a:solidFill>
              </a:ln>
              <a:effectLst/>
            </c:spPr>
          </c:marker>
          <c:dLbls>
            <c:dLbl>
              <c:idx val="0"/>
              <c:layout>
                <c:manualLayout>
                  <c:x val="8.8554992154772205E-3"/>
                  <c:y val="-0.1376821697320367"/>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320-471D-9D35-70935810CEC1}"/>
                </c:ext>
              </c:extLst>
            </c:dLbl>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errBars>
            <c:errDir val="y"/>
            <c:errBarType val="both"/>
            <c:errValType val="cust"/>
            <c:noEndCap val="0"/>
            <c:plus>
              <c:numRef>
                <c:f>[2]Pc!$G$17</c:f>
                <c:numCache>
                  <c:formatCode>General</c:formatCode>
                  <c:ptCount val="1"/>
                  <c:pt idx="0">
                    <c:v>3</c:v>
                  </c:pt>
                </c:numCache>
              </c:numRef>
            </c:plus>
            <c:minus>
              <c:numRef>
                <c:f>[2]Pc!$G$17</c:f>
                <c:numCache>
                  <c:formatCode>General</c:formatCode>
                  <c:ptCount val="1"/>
                  <c:pt idx="0">
                    <c:v>3</c:v>
                  </c:pt>
                </c:numCache>
              </c:numRef>
            </c:minus>
            <c:spPr>
              <a:noFill/>
              <a:ln w="22225" cap="flat" cmpd="sng" algn="ctr">
                <a:solidFill>
                  <a:srgbClr val="0070C0"/>
                </a:solidFill>
                <a:round/>
              </a:ln>
              <a:effectLst/>
            </c:spPr>
          </c:errBars>
          <c:val>
            <c:numRef>
              <c:f>'gramo Pc %'!$D$16</c:f>
              <c:numCache>
                <c:formatCode>0.0\ "mg"</c:formatCode>
                <c:ptCount val="1"/>
                <c:pt idx="0">
                  <c:v>#N/A</c:v>
                </c:pt>
              </c:numCache>
            </c:numRef>
          </c:val>
          <c:smooth val="0"/>
          <c:extLst>
            <c:ext xmlns:c16="http://schemas.microsoft.com/office/drawing/2014/chart" uri="{C3380CC4-5D6E-409C-BE32-E72D297353CC}">
              <c16:uniqueId val="{00000001-DC0D-472D-A1F3-4A0F4BE10113}"/>
            </c:ext>
          </c:extLst>
        </c:ser>
        <c:ser>
          <c:idx val="1"/>
          <c:order val="1"/>
          <c:tx>
            <c:strRef>
              <c:f>'gramo Pc %'!$O$6</c:f>
              <c:strCache>
                <c:ptCount val="1"/>
                <c:pt idx="0">
                  <c:v> ± EMP</c:v>
                </c:pt>
              </c:strCache>
            </c:strRef>
          </c:tx>
          <c:spPr>
            <a:ln w="28575" cap="rnd">
              <a:solidFill>
                <a:srgbClr val="FF0000"/>
              </a:solidFill>
              <a:round/>
            </a:ln>
            <a:effectLst/>
          </c:spPr>
          <c:marker>
            <c:symbol val="none"/>
          </c:marker>
          <c:dLbls>
            <c:delete val="1"/>
          </c:dLbls>
          <c:val>
            <c:numRef>
              <c:f>'gramo Pc %'!$O$14:$Q$14</c:f>
              <c:numCache>
                <c:formatCode>General</c:formatCode>
                <c:ptCount val="3"/>
                <c:pt idx="0">
                  <c:v>10</c:v>
                </c:pt>
                <c:pt idx="1">
                  <c:v>10</c:v>
                </c:pt>
                <c:pt idx="2">
                  <c:v>10</c:v>
                </c:pt>
              </c:numCache>
            </c:numRef>
          </c:val>
          <c:smooth val="0"/>
          <c:extLst>
            <c:ext xmlns:c16="http://schemas.microsoft.com/office/drawing/2014/chart" uri="{C3380CC4-5D6E-409C-BE32-E72D297353CC}">
              <c16:uniqueId val="{00000002-DC0D-472D-A1F3-4A0F4BE10113}"/>
            </c:ext>
          </c:extLst>
        </c:ser>
        <c:ser>
          <c:idx val="2"/>
          <c:order val="2"/>
          <c:tx>
            <c:strRef>
              <c:f>'gramo Pc %'!$R$6</c:f>
              <c:strCache>
                <c:ptCount val="1"/>
                <c:pt idx="0">
                  <c:v> ± EMP</c:v>
                </c:pt>
              </c:strCache>
            </c:strRef>
          </c:tx>
          <c:spPr>
            <a:ln w="28575" cap="rnd">
              <a:solidFill>
                <a:srgbClr val="FF0000"/>
              </a:solidFill>
              <a:round/>
            </a:ln>
            <a:effectLst/>
          </c:spPr>
          <c:marker>
            <c:symbol val="none"/>
          </c:marker>
          <c:dLbls>
            <c:delete val="1"/>
          </c:dLbls>
          <c:val>
            <c:numRef>
              <c:f>'gramo Pc %'!$R$14:$T$14</c:f>
              <c:numCache>
                <c:formatCode>General</c:formatCode>
                <c:ptCount val="3"/>
                <c:pt idx="0">
                  <c:v>-10</c:v>
                </c:pt>
                <c:pt idx="1">
                  <c:v>-10</c:v>
                </c:pt>
                <c:pt idx="2">
                  <c:v>-10</c:v>
                </c:pt>
              </c:numCache>
            </c:numRef>
          </c:val>
          <c:smooth val="0"/>
          <c:extLst>
            <c:ext xmlns:c16="http://schemas.microsoft.com/office/drawing/2014/chart" uri="{C3380CC4-5D6E-409C-BE32-E72D297353CC}">
              <c16:uniqueId val="{00000003-DC0D-472D-A1F3-4A0F4BE10113}"/>
            </c:ext>
          </c:extLst>
        </c:ser>
        <c:dLbls>
          <c:dLblPos val="t"/>
          <c:showLegendKey val="0"/>
          <c:showVal val="1"/>
          <c:showCatName val="0"/>
          <c:showSerName val="0"/>
          <c:showPercent val="0"/>
          <c:showBubbleSize val="0"/>
        </c:dLbls>
        <c:marker val="1"/>
        <c:smooth val="0"/>
        <c:axId val="212694144"/>
        <c:axId val="212695680"/>
      </c:lineChart>
      <c:dateAx>
        <c:axId val="212694144"/>
        <c:scaling>
          <c:orientation val="minMax"/>
        </c:scaling>
        <c:delete val="0"/>
        <c:axPos val="b"/>
        <c:majorTickMark val="none"/>
        <c:minorTickMark val="none"/>
        <c:tickLblPos val="none"/>
        <c:spPr>
          <a:solidFill>
            <a:schemeClr val="bg1"/>
          </a:solidFill>
          <a:ln w="12700" cap="flat" cmpd="sng" algn="ctr">
            <a:solidFill>
              <a:srgbClr val="00B0F0">
                <a:alpha val="98000"/>
              </a:srgbClr>
            </a:solidFill>
            <a:round/>
          </a:ln>
          <a:effectLst>
            <a:glow>
              <a:srgbClr val="FFFF00">
                <a:alpha val="93000"/>
              </a:srgbClr>
            </a:glow>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212695680"/>
        <c:crosses val="autoZero"/>
        <c:auto val="0"/>
        <c:lblOffset val="100"/>
        <c:baseTimeUnit val="days"/>
        <c:majorUnit val="1"/>
      </c:dateAx>
      <c:valAx>
        <c:axId val="21269568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r>
                  <a:rPr lang="es-CO"/>
                  <a:t>Error en masa convencional</a:t>
                </a:r>
              </a:p>
            </c:rich>
          </c:tx>
          <c:layout>
            <c:manualLayout>
              <c:xMode val="edge"/>
              <c:yMode val="edge"/>
              <c:x val="2.3869556481850931E-2"/>
              <c:y val="0.10173645528922946"/>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endParaRPr lang="es-CO"/>
            </a:p>
          </c:txPr>
        </c:title>
        <c:numFmt formatCode="0.0\ &quot;mg&quot;"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212694144"/>
        <c:crossesAt val="1"/>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accent6">
        <a:lumMod val="20000"/>
        <a:lumOff val="80000"/>
      </a:schemeClr>
    </a:solidFill>
    <a:ln w="12700" cap="flat" cmpd="sng" algn="ctr">
      <a:solidFill>
        <a:schemeClr val="accent2"/>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r>
              <a:rPr lang="en-US"/>
              <a:t>500 g</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endParaRPr lang="es-CO"/>
        </a:p>
      </c:txPr>
    </c:title>
    <c:autoTitleDeleted val="0"/>
    <c:plotArea>
      <c:layout>
        <c:manualLayout>
          <c:layoutTarget val="inner"/>
          <c:xMode val="edge"/>
          <c:yMode val="edge"/>
          <c:x val="0.21190239059451396"/>
          <c:y val="0.27784722685881863"/>
          <c:w val="0.7562171585857882"/>
          <c:h val="0.68632714797105399"/>
        </c:manualLayout>
      </c:layout>
      <c:lineChart>
        <c:grouping val="standard"/>
        <c:varyColors val="0"/>
        <c:ser>
          <c:idx val="0"/>
          <c:order val="0"/>
          <c:tx>
            <c:strRef>
              <c:f>'gramo Pc %'!$D$6</c:f>
              <c:strCache>
                <c:ptCount val="1"/>
                <c:pt idx="0">
                  <c:v>Error en masa convencional </c:v>
                </c:pt>
              </c:strCache>
            </c:strRef>
          </c:tx>
          <c:spPr>
            <a:ln w="28575" cap="rnd">
              <a:solidFill>
                <a:schemeClr val="accent1"/>
              </a:solidFill>
              <a:round/>
            </a:ln>
            <a:effectLst/>
          </c:spPr>
          <c:marker>
            <c:symbol val="circle"/>
            <c:size val="6"/>
            <c:spPr>
              <a:solidFill>
                <a:srgbClr val="92D050"/>
              </a:solidFill>
              <a:ln w="9525">
                <a:solidFill>
                  <a:schemeClr val="accent1"/>
                </a:solidFill>
              </a:ln>
              <a:effectLst/>
            </c:spPr>
          </c:marker>
          <c:dLbls>
            <c:dLbl>
              <c:idx val="0"/>
              <c:layout>
                <c:manualLayout>
                  <c:x val="0.13783310139461319"/>
                  <c:y val="-0.11735838978567796"/>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D5C-487B-93B7-C3FDBD3308A2}"/>
                </c:ext>
              </c:extLst>
            </c:dLbl>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errBars>
            <c:errDir val="y"/>
            <c:errBarType val="both"/>
            <c:errValType val="cust"/>
            <c:noEndCap val="0"/>
            <c:plus>
              <c:numRef>
                <c:f>[2]Pc!$G$18</c:f>
                <c:numCache>
                  <c:formatCode>General</c:formatCode>
                  <c:ptCount val="1"/>
                  <c:pt idx="0">
                    <c:v>8</c:v>
                  </c:pt>
                </c:numCache>
              </c:numRef>
            </c:plus>
            <c:minus>
              <c:numRef>
                <c:f>[2]Pc!$G$18</c:f>
                <c:numCache>
                  <c:formatCode>General</c:formatCode>
                  <c:ptCount val="1"/>
                  <c:pt idx="0">
                    <c:v>8</c:v>
                  </c:pt>
                </c:numCache>
              </c:numRef>
            </c:minus>
            <c:spPr>
              <a:noFill/>
              <a:ln w="22225" cap="flat" cmpd="sng" algn="ctr">
                <a:solidFill>
                  <a:srgbClr val="0070C0"/>
                </a:solidFill>
                <a:round/>
              </a:ln>
              <a:effectLst/>
            </c:spPr>
          </c:errBars>
          <c:val>
            <c:numRef>
              <c:f>'gramo Pc %'!$D$18</c:f>
              <c:numCache>
                <c:formatCode>0\ "mg"</c:formatCode>
                <c:ptCount val="1"/>
                <c:pt idx="0">
                  <c:v>#N/A</c:v>
                </c:pt>
              </c:numCache>
            </c:numRef>
          </c:val>
          <c:smooth val="0"/>
          <c:extLst>
            <c:ext xmlns:c16="http://schemas.microsoft.com/office/drawing/2014/chart" uri="{C3380CC4-5D6E-409C-BE32-E72D297353CC}">
              <c16:uniqueId val="{00000001-2F87-4126-872C-E02D60CDCD01}"/>
            </c:ext>
          </c:extLst>
        </c:ser>
        <c:ser>
          <c:idx val="1"/>
          <c:order val="1"/>
          <c:tx>
            <c:strRef>
              <c:f>'gramo Pc %'!$O$6</c:f>
              <c:strCache>
                <c:ptCount val="1"/>
                <c:pt idx="0">
                  <c:v> ± EMP</c:v>
                </c:pt>
              </c:strCache>
            </c:strRef>
          </c:tx>
          <c:spPr>
            <a:ln w="28575" cap="rnd">
              <a:solidFill>
                <a:srgbClr val="FF0000"/>
              </a:solidFill>
              <a:round/>
            </a:ln>
            <a:effectLst/>
          </c:spPr>
          <c:marker>
            <c:symbol val="none"/>
          </c:marker>
          <c:dLbls>
            <c:delete val="1"/>
          </c:dLbls>
          <c:val>
            <c:numRef>
              <c:f>'gramo Pc %'!$O$15:$Q$15</c:f>
              <c:numCache>
                <c:formatCode>General</c:formatCode>
                <c:ptCount val="3"/>
                <c:pt idx="0">
                  <c:v>25</c:v>
                </c:pt>
                <c:pt idx="1">
                  <c:v>25</c:v>
                </c:pt>
                <c:pt idx="2">
                  <c:v>25</c:v>
                </c:pt>
              </c:numCache>
            </c:numRef>
          </c:val>
          <c:smooth val="0"/>
          <c:extLst>
            <c:ext xmlns:c16="http://schemas.microsoft.com/office/drawing/2014/chart" uri="{C3380CC4-5D6E-409C-BE32-E72D297353CC}">
              <c16:uniqueId val="{00000002-2F87-4126-872C-E02D60CDCD01}"/>
            </c:ext>
          </c:extLst>
        </c:ser>
        <c:ser>
          <c:idx val="2"/>
          <c:order val="2"/>
          <c:tx>
            <c:strRef>
              <c:f>'gramo Pc %'!$R$6</c:f>
              <c:strCache>
                <c:ptCount val="1"/>
                <c:pt idx="0">
                  <c:v> ± EMP</c:v>
                </c:pt>
              </c:strCache>
            </c:strRef>
          </c:tx>
          <c:spPr>
            <a:ln w="28575" cap="rnd">
              <a:solidFill>
                <a:srgbClr val="FF0000"/>
              </a:solidFill>
              <a:round/>
            </a:ln>
            <a:effectLst/>
          </c:spPr>
          <c:marker>
            <c:symbol val="none"/>
          </c:marker>
          <c:dLbls>
            <c:delete val="1"/>
          </c:dLbls>
          <c:val>
            <c:numRef>
              <c:f>'gramo Pc %'!$R$15:$T$15</c:f>
              <c:numCache>
                <c:formatCode>General</c:formatCode>
                <c:ptCount val="3"/>
                <c:pt idx="0">
                  <c:v>-25</c:v>
                </c:pt>
                <c:pt idx="1">
                  <c:v>-25</c:v>
                </c:pt>
                <c:pt idx="2">
                  <c:v>-25</c:v>
                </c:pt>
              </c:numCache>
            </c:numRef>
          </c:val>
          <c:smooth val="0"/>
          <c:extLst>
            <c:ext xmlns:c16="http://schemas.microsoft.com/office/drawing/2014/chart" uri="{C3380CC4-5D6E-409C-BE32-E72D297353CC}">
              <c16:uniqueId val="{00000003-2F87-4126-872C-E02D60CDCD01}"/>
            </c:ext>
          </c:extLst>
        </c:ser>
        <c:dLbls>
          <c:dLblPos val="t"/>
          <c:showLegendKey val="0"/>
          <c:showVal val="1"/>
          <c:showCatName val="0"/>
          <c:showSerName val="0"/>
          <c:showPercent val="0"/>
          <c:showBubbleSize val="0"/>
        </c:dLbls>
        <c:marker val="1"/>
        <c:smooth val="0"/>
        <c:axId val="211831808"/>
        <c:axId val="211849984"/>
      </c:lineChart>
      <c:dateAx>
        <c:axId val="211831808"/>
        <c:scaling>
          <c:orientation val="minMax"/>
        </c:scaling>
        <c:delete val="0"/>
        <c:axPos val="b"/>
        <c:majorTickMark val="none"/>
        <c:minorTickMark val="none"/>
        <c:tickLblPos val="none"/>
        <c:spPr>
          <a:solidFill>
            <a:schemeClr val="bg1"/>
          </a:solidFill>
          <a:ln w="12700" cap="flat" cmpd="sng" algn="ctr">
            <a:solidFill>
              <a:srgbClr val="00B0F0">
                <a:alpha val="98000"/>
              </a:srgbClr>
            </a:solidFill>
            <a:round/>
          </a:ln>
          <a:effectLst>
            <a:glow>
              <a:srgbClr val="FFFF00">
                <a:alpha val="93000"/>
              </a:srgbClr>
            </a:glow>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211849984"/>
        <c:crosses val="autoZero"/>
        <c:auto val="0"/>
        <c:lblOffset val="100"/>
        <c:baseTimeUnit val="days"/>
        <c:majorUnit val="1"/>
      </c:dateAx>
      <c:valAx>
        <c:axId val="21184998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r>
                  <a:rPr lang="es-CO"/>
                  <a:t>Error en masa convencional</a:t>
                </a:r>
              </a:p>
            </c:rich>
          </c:tx>
          <c:layout>
            <c:manualLayout>
              <c:xMode val="edge"/>
              <c:yMode val="edge"/>
              <c:x val="3.9035835305562716E-3"/>
              <c:y val="0.14087218230469375"/>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endParaRPr lang="es-CO"/>
            </a:p>
          </c:txPr>
        </c:title>
        <c:numFmt formatCode="0\ &quot;mg&quot;"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211831808"/>
        <c:crossesAt val="1"/>
        <c:crossBetween val="between"/>
      </c:valAx>
      <c:spPr>
        <a:noFill/>
        <a:ln w="25400">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accent6">
        <a:lumMod val="20000"/>
        <a:lumOff val="80000"/>
      </a:schemeClr>
    </a:solidFill>
    <a:ln w="12700" cap="flat" cmpd="sng" algn="ctr">
      <a:solidFill>
        <a:schemeClr val="accent2"/>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r>
              <a:rPr lang="en-US"/>
              <a:t>1</a:t>
            </a:r>
            <a:r>
              <a:rPr lang="en-US" baseline="0"/>
              <a:t> k</a:t>
            </a:r>
            <a:r>
              <a:rPr lang="en-US"/>
              <a:t>g</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endParaRPr lang="es-CO"/>
        </a:p>
      </c:txPr>
    </c:title>
    <c:autoTitleDeleted val="0"/>
    <c:plotArea>
      <c:layout>
        <c:manualLayout>
          <c:layoutTarget val="inner"/>
          <c:xMode val="edge"/>
          <c:yMode val="edge"/>
          <c:x val="0.21190239059451396"/>
          <c:y val="0.27784722685881863"/>
          <c:w val="0.7562171585857882"/>
          <c:h val="0.68632714797105399"/>
        </c:manualLayout>
      </c:layout>
      <c:lineChart>
        <c:grouping val="standard"/>
        <c:varyColors val="0"/>
        <c:ser>
          <c:idx val="0"/>
          <c:order val="0"/>
          <c:tx>
            <c:strRef>
              <c:f>'gramo Pc %'!$D$6</c:f>
              <c:strCache>
                <c:ptCount val="1"/>
                <c:pt idx="0">
                  <c:v>Error en masa convencional </c:v>
                </c:pt>
              </c:strCache>
            </c:strRef>
          </c:tx>
          <c:spPr>
            <a:ln w="28575" cap="rnd">
              <a:solidFill>
                <a:schemeClr val="accent1"/>
              </a:solidFill>
              <a:round/>
            </a:ln>
            <a:effectLst/>
          </c:spPr>
          <c:marker>
            <c:symbol val="circle"/>
            <c:size val="6"/>
            <c:spPr>
              <a:solidFill>
                <a:srgbClr val="92D050"/>
              </a:solidFill>
              <a:ln w="9525">
                <a:solidFill>
                  <a:schemeClr val="accent1"/>
                </a:solidFill>
              </a:ln>
              <a:effectLst/>
            </c:spPr>
          </c:marker>
          <c:dLbls>
            <c:dLbl>
              <c:idx val="0"/>
              <c:layout>
                <c:manualLayout>
                  <c:x val="0.12874787740505234"/>
                  <c:y val="6.527500295315519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558-493D-8D6E-345076264C58}"/>
                </c:ext>
              </c:extLst>
            </c:dLbl>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errBars>
            <c:errDir val="y"/>
            <c:errBarType val="both"/>
            <c:errValType val="cust"/>
            <c:noEndCap val="0"/>
            <c:plus>
              <c:numRef>
                <c:f>[2]Pc!$G$19</c:f>
                <c:numCache>
                  <c:formatCode>General</c:formatCode>
                  <c:ptCount val="1"/>
                  <c:pt idx="0">
                    <c:v>16</c:v>
                  </c:pt>
                </c:numCache>
              </c:numRef>
            </c:plus>
            <c:minus>
              <c:numRef>
                <c:f>[2]Pc!$G$19</c:f>
                <c:numCache>
                  <c:formatCode>General</c:formatCode>
                  <c:ptCount val="1"/>
                  <c:pt idx="0">
                    <c:v>16</c:v>
                  </c:pt>
                </c:numCache>
              </c:numRef>
            </c:minus>
            <c:spPr>
              <a:noFill/>
              <a:ln w="22225" cap="flat" cmpd="sng" algn="ctr">
                <a:solidFill>
                  <a:srgbClr val="0070C0"/>
                </a:solidFill>
                <a:round/>
              </a:ln>
              <a:effectLst/>
            </c:spPr>
          </c:errBars>
          <c:val>
            <c:numRef>
              <c:f>'gramo Pc %'!$D$19</c:f>
              <c:numCache>
                <c:formatCode>0\ "mg"</c:formatCode>
                <c:ptCount val="1"/>
                <c:pt idx="0">
                  <c:v>#N/A</c:v>
                </c:pt>
              </c:numCache>
            </c:numRef>
          </c:val>
          <c:smooth val="0"/>
          <c:extLst>
            <c:ext xmlns:c16="http://schemas.microsoft.com/office/drawing/2014/chart" uri="{C3380CC4-5D6E-409C-BE32-E72D297353CC}">
              <c16:uniqueId val="{00000001-AF56-4D2C-BE89-675743B6C381}"/>
            </c:ext>
          </c:extLst>
        </c:ser>
        <c:ser>
          <c:idx val="1"/>
          <c:order val="1"/>
          <c:tx>
            <c:strRef>
              <c:f>'gramo Pc %'!$O$6</c:f>
              <c:strCache>
                <c:ptCount val="1"/>
                <c:pt idx="0">
                  <c:v> ± EMP</c:v>
                </c:pt>
              </c:strCache>
            </c:strRef>
          </c:tx>
          <c:spPr>
            <a:ln w="28575" cap="rnd">
              <a:solidFill>
                <a:srgbClr val="FF0000"/>
              </a:solidFill>
              <a:round/>
            </a:ln>
            <a:effectLst/>
          </c:spPr>
          <c:marker>
            <c:symbol val="none"/>
          </c:marker>
          <c:dLbls>
            <c:delete val="1"/>
          </c:dLbls>
          <c:val>
            <c:numRef>
              <c:f>'gramo Pc %'!$O$16:$Q$16</c:f>
              <c:numCache>
                <c:formatCode>General</c:formatCode>
                <c:ptCount val="3"/>
                <c:pt idx="0">
                  <c:v>50</c:v>
                </c:pt>
                <c:pt idx="1">
                  <c:v>50</c:v>
                </c:pt>
                <c:pt idx="2">
                  <c:v>50</c:v>
                </c:pt>
              </c:numCache>
            </c:numRef>
          </c:val>
          <c:smooth val="0"/>
          <c:extLst>
            <c:ext xmlns:c16="http://schemas.microsoft.com/office/drawing/2014/chart" uri="{C3380CC4-5D6E-409C-BE32-E72D297353CC}">
              <c16:uniqueId val="{00000002-AF56-4D2C-BE89-675743B6C381}"/>
            </c:ext>
          </c:extLst>
        </c:ser>
        <c:ser>
          <c:idx val="2"/>
          <c:order val="2"/>
          <c:tx>
            <c:strRef>
              <c:f>'gramo Pc %'!$R$6</c:f>
              <c:strCache>
                <c:ptCount val="1"/>
                <c:pt idx="0">
                  <c:v> ± EMP</c:v>
                </c:pt>
              </c:strCache>
            </c:strRef>
          </c:tx>
          <c:spPr>
            <a:ln w="28575" cap="rnd">
              <a:solidFill>
                <a:srgbClr val="FF0000"/>
              </a:solidFill>
              <a:round/>
            </a:ln>
            <a:effectLst/>
          </c:spPr>
          <c:marker>
            <c:symbol val="none"/>
          </c:marker>
          <c:dLbls>
            <c:delete val="1"/>
          </c:dLbls>
          <c:val>
            <c:numRef>
              <c:f>'gramo Pc %'!$R$16:$T$16</c:f>
              <c:numCache>
                <c:formatCode>General</c:formatCode>
                <c:ptCount val="3"/>
                <c:pt idx="0">
                  <c:v>-50</c:v>
                </c:pt>
                <c:pt idx="1">
                  <c:v>-50</c:v>
                </c:pt>
                <c:pt idx="2">
                  <c:v>-50</c:v>
                </c:pt>
              </c:numCache>
            </c:numRef>
          </c:val>
          <c:smooth val="0"/>
          <c:extLst>
            <c:ext xmlns:c16="http://schemas.microsoft.com/office/drawing/2014/chart" uri="{C3380CC4-5D6E-409C-BE32-E72D297353CC}">
              <c16:uniqueId val="{00000003-AF56-4D2C-BE89-675743B6C381}"/>
            </c:ext>
          </c:extLst>
        </c:ser>
        <c:dLbls>
          <c:dLblPos val="t"/>
          <c:showLegendKey val="0"/>
          <c:showVal val="1"/>
          <c:showCatName val="0"/>
          <c:showSerName val="0"/>
          <c:showPercent val="0"/>
          <c:showBubbleSize val="0"/>
        </c:dLbls>
        <c:marker val="1"/>
        <c:smooth val="0"/>
        <c:axId val="211891328"/>
        <c:axId val="211892864"/>
      </c:lineChart>
      <c:dateAx>
        <c:axId val="211891328"/>
        <c:scaling>
          <c:orientation val="minMax"/>
        </c:scaling>
        <c:delete val="0"/>
        <c:axPos val="b"/>
        <c:majorTickMark val="none"/>
        <c:minorTickMark val="none"/>
        <c:tickLblPos val="none"/>
        <c:spPr>
          <a:solidFill>
            <a:schemeClr val="bg1"/>
          </a:solidFill>
          <a:ln w="12700" cap="flat" cmpd="sng" algn="ctr">
            <a:solidFill>
              <a:srgbClr val="00B0F0">
                <a:alpha val="98000"/>
              </a:srgbClr>
            </a:solidFill>
            <a:round/>
          </a:ln>
          <a:effectLst>
            <a:glow>
              <a:srgbClr val="FFFF00">
                <a:alpha val="93000"/>
              </a:srgbClr>
            </a:glow>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211892864"/>
        <c:crosses val="autoZero"/>
        <c:auto val="0"/>
        <c:lblOffset val="100"/>
        <c:baseTimeUnit val="days"/>
        <c:majorUnit val="1"/>
      </c:dateAx>
      <c:valAx>
        <c:axId val="21189286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r>
                  <a:rPr lang="es-CO"/>
                  <a:t>Error en masa convencional</a:t>
                </a:r>
              </a:p>
            </c:rich>
          </c:tx>
          <c:layout>
            <c:manualLayout>
              <c:xMode val="edge"/>
              <c:yMode val="edge"/>
              <c:x val="1.9876361891592E-2"/>
              <c:y val="8.8691212950741352E-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endParaRPr lang="es-CO"/>
            </a:p>
          </c:txPr>
        </c:title>
        <c:numFmt formatCode="0\ &quot;mg&quot;"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211891328"/>
        <c:crossesAt val="1"/>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accent6">
        <a:lumMod val="20000"/>
        <a:lumOff val="80000"/>
      </a:schemeClr>
    </a:solidFill>
    <a:ln w="12700" cap="flat" cmpd="sng" algn="ctr">
      <a:solidFill>
        <a:schemeClr val="accent2"/>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r>
              <a:rPr lang="en-US" baseline="0"/>
              <a:t>2 k</a:t>
            </a:r>
            <a:r>
              <a:rPr lang="en-US"/>
              <a:t>g</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endParaRPr lang="es-CO"/>
        </a:p>
      </c:txPr>
    </c:title>
    <c:autoTitleDeleted val="0"/>
    <c:plotArea>
      <c:layout>
        <c:manualLayout>
          <c:layoutTarget val="inner"/>
          <c:xMode val="edge"/>
          <c:yMode val="edge"/>
          <c:x val="0.21190239059451396"/>
          <c:y val="0.27784722685881863"/>
          <c:w val="0.7562171585857882"/>
          <c:h val="0.68632714797105399"/>
        </c:manualLayout>
      </c:layout>
      <c:lineChart>
        <c:grouping val="standard"/>
        <c:varyColors val="0"/>
        <c:ser>
          <c:idx val="0"/>
          <c:order val="0"/>
          <c:tx>
            <c:strRef>
              <c:f>'gramo Pc %'!$D$20</c:f>
              <c:strCache>
                <c:ptCount val="1"/>
                <c:pt idx="0">
                  <c:v>#N/D</c:v>
                </c:pt>
              </c:strCache>
            </c:strRef>
          </c:tx>
          <c:spPr>
            <a:ln w="28575" cap="rnd">
              <a:solidFill>
                <a:schemeClr val="accent1"/>
              </a:solidFill>
              <a:round/>
            </a:ln>
            <a:effectLst/>
          </c:spPr>
          <c:marker>
            <c:symbol val="circle"/>
            <c:size val="6"/>
            <c:spPr>
              <a:solidFill>
                <a:srgbClr val="92D050"/>
              </a:solidFill>
              <a:ln w="9525">
                <a:solidFill>
                  <a:schemeClr val="accent1"/>
                </a:solidFill>
              </a:ln>
              <a:effectLst/>
            </c:spPr>
          </c:marker>
          <c:dLbls>
            <c:dLbl>
              <c:idx val="0"/>
              <c:layout>
                <c:manualLayout>
                  <c:x val="4.8020144810635219E-2"/>
                  <c:y val="-0.14997149563189824"/>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501-441F-9CF6-B138230FD74A}"/>
                </c:ext>
              </c:extLst>
            </c:dLbl>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errBars>
            <c:errDir val="y"/>
            <c:errBarType val="both"/>
            <c:errValType val="cust"/>
            <c:noEndCap val="0"/>
            <c:plus>
              <c:numRef>
                <c:f>[2]Pc!$G$20</c:f>
                <c:numCache>
                  <c:formatCode>General</c:formatCode>
                  <c:ptCount val="1"/>
                  <c:pt idx="0">
                    <c:v>30</c:v>
                  </c:pt>
                </c:numCache>
              </c:numRef>
            </c:plus>
            <c:minus>
              <c:numRef>
                <c:f>[2]Pc!$G$20</c:f>
                <c:numCache>
                  <c:formatCode>General</c:formatCode>
                  <c:ptCount val="1"/>
                  <c:pt idx="0">
                    <c:v>30</c:v>
                  </c:pt>
                </c:numCache>
              </c:numRef>
            </c:minus>
            <c:spPr>
              <a:noFill/>
              <a:ln w="22225" cap="flat" cmpd="sng" algn="ctr">
                <a:solidFill>
                  <a:srgbClr val="0070C0"/>
                </a:solidFill>
                <a:round/>
              </a:ln>
              <a:effectLst/>
            </c:spPr>
          </c:errBars>
          <c:val>
            <c:numRef>
              <c:f>'gramo Pc %'!$D$20</c:f>
              <c:numCache>
                <c:formatCode>0\ "mg"</c:formatCode>
                <c:ptCount val="1"/>
                <c:pt idx="0">
                  <c:v>#N/A</c:v>
                </c:pt>
              </c:numCache>
            </c:numRef>
          </c:val>
          <c:smooth val="0"/>
          <c:extLst>
            <c:ext xmlns:c16="http://schemas.microsoft.com/office/drawing/2014/chart" uri="{C3380CC4-5D6E-409C-BE32-E72D297353CC}">
              <c16:uniqueId val="{00000001-FC94-40DC-B8EB-8F3D7DE5494B}"/>
            </c:ext>
          </c:extLst>
        </c:ser>
        <c:ser>
          <c:idx val="1"/>
          <c:order val="1"/>
          <c:tx>
            <c:strRef>
              <c:f>'gramo Pc %'!$O$6</c:f>
              <c:strCache>
                <c:ptCount val="1"/>
                <c:pt idx="0">
                  <c:v> ± EMP</c:v>
                </c:pt>
              </c:strCache>
            </c:strRef>
          </c:tx>
          <c:spPr>
            <a:ln w="28575" cap="rnd">
              <a:solidFill>
                <a:srgbClr val="FF0000"/>
              </a:solidFill>
              <a:round/>
            </a:ln>
            <a:effectLst/>
          </c:spPr>
          <c:marker>
            <c:symbol val="none"/>
          </c:marker>
          <c:dLbls>
            <c:delete val="1"/>
          </c:dLbls>
          <c:val>
            <c:numRef>
              <c:f>'gramo Pc %'!$O$17:$Q$17</c:f>
              <c:numCache>
                <c:formatCode>General</c:formatCode>
                <c:ptCount val="3"/>
                <c:pt idx="0">
                  <c:v>100</c:v>
                </c:pt>
                <c:pt idx="1">
                  <c:v>100</c:v>
                </c:pt>
                <c:pt idx="2">
                  <c:v>100</c:v>
                </c:pt>
              </c:numCache>
            </c:numRef>
          </c:val>
          <c:smooth val="0"/>
          <c:extLst>
            <c:ext xmlns:c16="http://schemas.microsoft.com/office/drawing/2014/chart" uri="{C3380CC4-5D6E-409C-BE32-E72D297353CC}">
              <c16:uniqueId val="{00000002-FC94-40DC-B8EB-8F3D7DE5494B}"/>
            </c:ext>
          </c:extLst>
        </c:ser>
        <c:ser>
          <c:idx val="2"/>
          <c:order val="2"/>
          <c:tx>
            <c:strRef>
              <c:f>'gramo Pc %'!$R$6</c:f>
              <c:strCache>
                <c:ptCount val="1"/>
                <c:pt idx="0">
                  <c:v> ± EMP</c:v>
                </c:pt>
              </c:strCache>
            </c:strRef>
          </c:tx>
          <c:spPr>
            <a:ln w="28575" cap="rnd">
              <a:solidFill>
                <a:srgbClr val="FF0000"/>
              </a:solidFill>
              <a:round/>
            </a:ln>
            <a:effectLst/>
          </c:spPr>
          <c:marker>
            <c:symbol val="none"/>
          </c:marker>
          <c:dLbls>
            <c:delete val="1"/>
          </c:dLbls>
          <c:val>
            <c:numRef>
              <c:f>'gramo Pc %'!$R$17:$T$17</c:f>
              <c:numCache>
                <c:formatCode>General</c:formatCode>
                <c:ptCount val="3"/>
                <c:pt idx="0">
                  <c:v>-100</c:v>
                </c:pt>
                <c:pt idx="1">
                  <c:v>-100</c:v>
                </c:pt>
                <c:pt idx="2">
                  <c:v>-100</c:v>
                </c:pt>
              </c:numCache>
            </c:numRef>
          </c:val>
          <c:smooth val="0"/>
          <c:extLst>
            <c:ext xmlns:c16="http://schemas.microsoft.com/office/drawing/2014/chart" uri="{C3380CC4-5D6E-409C-BE32-E72D297353CC}">
              <c16:uniqueId val="{00000003-FC94-40DC-B8EB-8F3D7DE5494B}"/>
            </c:ext>
          </c:extLst>
        </c:ser>
        <c:dLbls>
          <c:dLblPos val="t"/>
          <c:showLegendKey val="0"/>
          <c:showVal val="1"/>
          <c:showCatName val="0"/>
          <c:showSerName val="0"/>
          <c:showPercent val="0"/>
          <c:showBubbleSize val="0"/>
        </c:dLbls>
        <c:marker val="1"/>
        <c:smooth val="0"/>
        <c:axId val="212061184"/>
        <c:axId val="212071168"/>
      </c:lineChart>
      <c:dateAx>
        <c:axId val="212061184"/>
        <c:scaling>
          <c:orientation val="minMax"/>
        </c:scaling>
        <c:delete val="0"/>
        <c:axPos val="b"/>
        <c:majorTickMark val="none"/>
        <c:minorTickMark val="none"/>
        <c:tickLblPos val="none"/>
        <c:spPr>
          <a:solidFill>
            <a:schemeClr val="bg1"/>
          </a:solidFill>
          <a:ln w="12700" cap="flat" cmpd="sng" algn="ctr">
            <a:solidFill>
              <a:srgbClr val="00B0F0">
                <a:alpha val="98000"/>
              </a:srgbClr>
            </a:solidFill>
            <a:round/>
          </a:ln>
          <a:effectLst>
            <a:glow>
              <a:srgbClr val="FFFF00">
                <a:alpha val="93000"/>
              </a:srgbClr>
            </a:glow>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212071168"/>
        <c:crosses val="autoZero"/>
        <c:auto val="0"/>
        <c:lblOffset val="100"/>
        <c:baseTimeUnit val="days"/>
        <c:majorUnit val="1"/>
      </c:dateAx>
      <c:valAx>
        <c:axId val="21207116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r>
                  <a:rPr lang="es-CO"/>
                  <a:t>Error en masa convencional</a:t>
                </a:r>
              </a:p>
            </c:rich>
          </c:tx>
          <c:layout>
            <c:manualLayout>
              <c:xMode val="edge"/>
              <c:yMode val="edge"/>
              <c:x val="1.1889972711074134E-2"/>
              <c:y val="0.12130431879696157"/>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endParaRPr lang="es-CO"/>
            </a:p>
          </c:txPr>
        </c:title>
        <c:numFmt formatCode="0\ &quot;mg&quot;"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212061184"/>
        <c:crossesAt val="1"/>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accent6">
        <a:lumMod val="20000"/>
        <a:lumOff val="80000"/>
      </a:schemeClr>
    </a:solidFill>
    <a:ln w="12700" cap="flat" cmpd="sng" algn="ctr">
      <a:solidFill>
        <a:schemeClr val="accent2"/>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800" b="1" i="0" u="none" strike="noStrike" kern="1200" baseline="0">
              <a:solidFill>
                <a:schemeClr val="dk1"/>
              </a:solidFill>
              <a:latin typeface="+mn-lt"/>
              <a:ea typeface="+mn-ea"/>
              <a:cs typeface="+mn-cs"/>
            </a:defRPr>
          </a:pPr>
          <a:endParaRPr lang="es-CO"/>
        </a:p>
      </c:txPr>
    </c:title>
    <c:autoTitleDeleted val="0"/>
    <c:plotArea>
      <c:layout/>
      <c:barChart>
        <c:barDir val="col"/>
        <c:grouping val="clustered"/>
        <c:varyColors val="0"/>
        <c:ser>
          <c:idx val="0"/>
          <c:order val="0"/>
          <c:tx>
            <c:strRef>
              <c:f>'20 mg % '!$G$58</c:f>
              <c:strCache>
                <c:ptCount val="1"/>
                <c:pt idx="0">
                  <c:v>Aporte a la Incertidumbre</c:v>
                </c:pt>
              </c:strCache>
            </c:strRef>
          </c:tx>
          <c:spPr>
            <a:solidFill>
              <a:schemeClr val="accent2">
                <a:alpha val="85000"/>
              </a:schemeClr>
            </a:solidFill>
            <a:ln w="9525" cap="flat" cmpd="sng" algn="ctr">
              <a:solidFill>
                <a:schemeClr val="lt1">
                  <a:alpha val="50000"/>
                </a:schemeClr>
              </a:solidFill>
              <a:round/>
            </a:ln>
            <a:effectLst/>
          </c:spPr>
          <c:invertIfNegative val="0"/>
          <c:dLbls>
            <c:dLbl>
              <c:idx val="0"/>
              <c:layout>
                <c:manualLayout>
                  <c:x val="5.8076231684837075E-3"/>
                  <c:y val="-1.0880458124555947E-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A92-4B78-B221-9B032EAF95B3}"/>
                </c:ext>
              </c:extLst>
            </c:dLbl>
            <c:dLbl>
              <c:idx val="1"/>
              <c:layout>
                <c:manualLayout>
                  <c:x val="0"/>
                  <c:y val="4.240515390121689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A92-4B78-B221-9B032EAF95B3}"/>
                </c:ext>
              </c:extLst>
            </c:dLbl>
            <c:dLbl>
              <c:idx val="2"/>
              <c:layout>
                <c:manualLayout>
                  <c:x val="0"/>
                  <c:y val="-9.454488188976377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A92-4B78-B221-9B032EAF95B3}"/>
                </c:ext>
              </c:extLst>
            </c:dLbl>
            <c:dLbl>
              <c:idx val="3"/>
              <c:layout>
                <c:manualLayout>
                  <c:x val="0"/>
                  <c:y val="2.320400858983469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A92-4B78-B221-9B032EAF95B3}"/>
                </c:ext>
              </c:extLst>
            </c:dLbl>
            <c:spPr>
              <a:noFill/>
              <a:ln>
                <a:noFill/>
              </a:ln>
              <a:effectLst/>
            </c:spPr>
            <c:txPr>
              <a:bodyPr rot="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('RT03-F13 (mg)% '!$A$59,'RT03-F13 (mg)% '!$A$62,'RT03-F13 (mg)% '!$A$66:$A$68)</c:f>
              <c:strCache>
                <c:ptCount val="5"/>
                <c:pt idx="0">
                  <c:v>Proceso de pesaje</c:v>
                </c:pt>
                <c:pt idx="1">
                  <c:v>Pesa de referencia</c:v>
                </c:pt>
                <c:pt idx="2">
                  <c:v>Corrección por empuje del aire</c:v>
                </c:pt>
                <c:pt idx="3">
                  <c:v>Resolución balanza</c:v>
                </c:pt>
                <c:pt idx="4">
                  <c:v>Incertidumbre por repetibilidad del método</c:v>
                </c:pt>
              </c:strCache>
            </c:strRef>
          </c:cat>
          <c:val>
            <c:numRef>
              <c:f>('20 mg % '!$G$59,'20 mg % '!$G$62,'20 mg % '!$G$66:$G$67,'20 mg % '!$G$68)</c:f>
              <c:numCache>
                <c:formatCode>0%</c:formatCode>
                <c:ptCount val="5"/>
                <c:pt idx="0">
                  <c:v>0</c:v>
                </c:pt>
                <c:pt idx="1">
                  <c:v>#N/A</c:v>
                </c:pt>
                <c:pt idx="2">
                  <c:v>#N/A</c:v>
                </c:pt>
                <c:pt idx="3">
                  <c:v>#N/A</c:v>
                </c:pt>
                <c:pt idx="4">
                  <c:v>0</c:v>
                </c:pt>
              </c:numCache>
            </c:numRef>
          </c:val>
          <c:extLst>
            <c:ext xmlns:c16="http://schemas.microsoft.com/office/drawing/2014/chart" uri="{C3380CC4-5D6E-409C-BE32-E72D297353CC}">
              <c16:uniqueId val="{00000004-8A92-4B78-B221-9B032EAF95B3}"/>
            </c:ext>
          </c:extLst>
        </c:ser>
        <c:dLbls>
          <c:dLblPos val="inEnd"/>
          <c:showLegendKey val="0"/>
          <c:showVal val="1"/>
          <c:showCatName val="0"/>
          <c:showSerName val="0"/>
          <c:showPercent val="0"/>
          <c:showBubbleSize val="0"/>
        </c:dLbls>
        <c:gapWidth val="65"/>
        <c:axId val="194066304"/>
        <c:axId val="194069248"/>
      </c:barChart>
      <c:catAx>
        <c:axId val="194066304"/>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solidFill>
                <a:latin typeface="+mn-lt"/>
                <a:ea typeface="+mn-ea"/>
                <a:cs typeface="+mn-cs"/>
              </a:defRPr>
            </a:pPr>
            <a:endParaRPr lang="es-CO"/>
          </a:p>
        </c:txPr>
        <c:crossAx val="194069248"/>
        <c:crosses val="autoZero"/>
        <c:auto val="1"/>
        <c:lblAlgn val="ctr"/>
        <c:lblOffset val="100"/>
        <c:noMultiLvlLbl val="0"/>
      </c:catAx>
      <c:valAx>
        <c:axId val="194069248"/>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 sourceLinked="1"/>
        <c:majorTickMark val="none"/>
        <c:minorTickMark val="none"/>
        <c:tickLblPos val="nextTo"/>
        <c:crossAx val="194066304"/>
        <c:crosses val="autoZero"/>
        <c:crossBetween val="between"/>
      </c:valAx>
      <c:spPr>
        <a:noFill/>
        <a:ln>
          <a:noFill/>
        </a:ln>
        <a:effectLst/>
      </c:spPr>
    </c:plotArea>
    <c:plotVisOnly val="1"/>
    <c:dispBlanksAs val="gap"/>
    <c:showDLblsOverMax val="0"/>
  </c:chart>
  <c:spPr>
    <a:solidFill>
      <a:schemeClr val="accent6">
        <a:lumMod val="40000"/>
        <a:lumOff val="60000"/>
      </a:schemeClr>
    </a:solidFill>
    <a:ln w="12700" cap="flat" cmpd="sng" algn="ctr">
      <a:solidFill>
        <a:schemeClr val="dk1"/>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r>
              <a:rPr lang="en-US" baseline="0"/>
              <a:t>5 k</a:t>
            </a:r>
            <a:r>
              <a:rPr lang="en-US"/>
              <a:t>g</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endParaRPr lang="es-CO"/>
        </a:p>
      </c:txPr>
    </c:title>
    <c:autoTitleDeleted val="0"/>
    <c:plotArea>
      <c:layout>
        <c:manualLayout>
          <c:layoutTarget val="inner"/>
          <c:xMode val="edge"/>
          <c:yMode val="edge"/>
          <c:x val="0.21190239059451396"/>
          <c:y val="0.27784722685881863"/>
          <c:w val="0.7562171585857882"/>
          <c:h val="0.68632714797105399"/>
        </c:manualLayout>
      </c:layout>
      <c:lineChart>
        <c:grouping val="standard"/>
        <c:varyColors val="0"/>
        <c:ser>
          <c:idx val="0"/>
          <c:order val="0"/>
          <c:tx>
            <c:strRef>
              <c:f>'gramo Pc %'!$D$6</c:f>
              <c:strCache>
                <c:ptCount val="1"/>
                <c:pt idx="0">
                  <c:v>Error en masa convencional </c:v>
                </c:pt>
              </c:strCache>
            </c:strRef>
          </c:tx>
          <c:spPr>
            <a:ln w="28575" cap="rnd">
              <a:solidFill>
                <a:schemeClr val="accent1"/>
              </a:solidFill>
              <a:round/>
            </a:ln>
            <a:effectLst/>
          </c:spPr>
          <c:marker>
            <c:symbol val="circle"/>
            <c:size val="6"/>
            <c:spPr>
              <a:solidFill>
                <a:srgbClr val="92D050"/>
              </a:solidFill>
              <a:ln w="9525">
                <a:solidFill>
                  <a:schemeClr val="accent1"/>
                </a:solidFill>
              </a:ln>
              <a:effectLst/>
            </c:spPr>
          </c:marker>
          <c:dLbls>
            <c:dLbl>
              <c:idx val="0"/>
              <c:layout>
                <c:manualLayout>
                  <c:x val="8.5059789137033145E-2"/>
                  <c:y val="-0.1564941168011422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638-4D86-A06C-B20BE7E55C8C}"/>
                </c:ext>
              </c:extLst>
            </c:dLbl>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errBars>
            <c:errDir val="y"/>
            <c:errBarType val="both"/>
            <c:errValType val="cust"/>
            <c:noEndCap val="0"/>
            <c:plus>
              <c:numRef>
                <c:f>'gramo Pc %'!$E$22</c:f>
                <c:numCache>
                  <c:formatCode>General</c:formatCode>
                  <c:ptCount val="1"/>
                  <c:pt idx="0">
                    <c:v>83</c:v>
                  </c:pt>
                </c:numCache>
              </c:numRef>
            </c:plus>
            <c:minus>
              <c:numRef>
                <c:f>'gramo Pc %'!$E$22</c:f>
                <c:numCache>
                  <c:formatCode>General</c:formatCode>
                  <c:ptCount val="1"/>
                  <c:pt idx="0">
                    <c:v>83</c:v>
                  </c:pt>
                </c:numCache>
              </c:numRef>
            </c:minus>
            <c:spPr>
              <a:noFill/>
              <a:ln w="22225" cap="flat" cmpd="sng" algn="ctr">
                <a:solidFill>
                  <a:srgbClr val="0070C0"/>
                </a:solidFill>
                <a:round/>
              </a:ln>
              <a:effectLst/>
            </c:spPr>
          </c:errBars>
          <c:val>
            <c:numRef>
              <c:f>'gramo Pc %'!$D$22</c:f>
              <c:numCache>
                <c:formatCode>0\ "mg"</c:formatCode>
                <c:ptCount val="1"/>
                <c:pt idx="0">
                  <c:v>#N/A</c:v>
                </c:pt>
              </c:numCache>
            </c:numRef>
          </c:val>
          <c:smooth val="0"/>
          <c:extLst>
            <c:ext xmlns:c16="http://schemas.microsoft.com/office/drawing/2014/chart" uri="{C3380CC4-5D6E-409C-BE32-E72D297353CC}">
              <c16:uniqueId val="{00000001-618D-4672-B295-C85A2AAF7F68}"/>
            </c:ext>
          </c:extLst>
        </c:ser>
        <c:ser>
          <c:idx val="1"/>
          <c:order val="1"/>
          <c:tx>
            <c:strRef>
              <c:f>'gramo Pc %'!$O$6</c:f>
              <c:strCache>
                <c:ptCount val="1"/>
                <c:pt idx="0">
                  <c:v> ± EMP</c:v>
                </c:pt>
              </c:strCache>
            </c:strRef>
          </c:tx>
          <c:spPr>
            <a:ln w="28575" cap="rnd">
              <a:solidFill>
                <a:srgbClr val="FF0000"/>
              </a:solidFill>
              <a:round/>
            </a:ln>
            <a:effectLst/>
          </c:spPr>
          <c:marker>
            <c:symbol val="none"/>
          </c:marker>
          <c:dLbls>
            <c:delete val="1"/>
          </c:dLbls>
          <c:val>
            <c:numRef>
              <c:f>'gramo Pc %'!$O$18:$Q$18</c:f>
              <c:numCache>
                <c:formatCode>General</c:formatCode>
                <c:ptCount val="3"/>
                <c:pt idx="0">
                  <c:v>250</c:v>
                </c:pt>
                <c:pt idx="1">
                  <c:v>250</c:v>
                </c:pt>
                <c:pt idx="2">
                  <c:v>250</c:v>
                </c:pt>
              </c:numCache>
            </c:numRef>
          </c:val>
          <c:smooth val="0"/>
          <c:extLst>
            <c:ext xmlns:c16="http://schemas.microsoft.com/office/drawing/2014/chart" uri="{C3380CC4-5D6E-409C-BE32-E72D297353CC}">
              <c16:uniqueId val="{00000002-618D-4672-B295-C85A2AAF7F68}"/>
            </c:ext>
          </c:extLst>
        </c:ser>
        <c:ser>
          <c:idx val="2"/>
          <c:order val="2"/>
          <c:tx>
            <c:strRef>
              <c:f>'gramo Pc %'!$R$6</c:f>
              <c:strCache>
                <c:ptCount val="1"/>
                <c:pt idx="0">
                  <c:v> ± EMP</c:v>
                </c:pt>
              </c:strCache>
            </c:strRef>
          </c:tx>
          <c:spPr>
            <a:ln w="28575" cap="rnd">
              <a:solidFill>
                <a:srgbClr val="FF0000"/>
              </a:solidFill>
              <a:round/>
            </a:ln>
            <a:effectLst/>
          </c:spPr>
          <c:marker>
            <c:symbol val="none"/>
          </c:marker>
          <c:dLbls>
            <c:delete val="1"/>
          </c:dLbls>
          <c:val>
            <c:numRef>
              <c:f>'gramo Pc %'!$R$18:$T$18</c:f>
              <c:numCache>
                <c:formatCode>General</c:formatCode>
                <c:ptCount val="3"/>
                <c:pt idx="0">
                  <c:v>-250</c:v>
                </c:pt>
                <c:pt idx="1">
                  <c:v>-250</c:v>
                </c:pt>
                <c:pt idx="2">
                  <c:v>-250</c:v>
                </c:pt>
              </c:numCache>
            </c:numRef>
          </c:val>
          <c:smooth val="0"/>
          <c:extLst>
            <c:ext xmlns:c16="http://schemas.microsoft.com/office/drawing/2014/chart" uri="{C3380CC4-5D6E-409C-BE32-E72D297353CC}">
              <c16:uniqueId val="{00000003-618D-4672-B295-C85A2AAF7F68}"/>
            </c:ext>
          </c:extLst>
        </c:ser>
        <c:dLbls>
          <c:dLblPos val="t"/>
          <c:showLegendKey val="0"/>
          <c:showVal val="1"/>
          <c:showCatName val="0"/>
          <c:showSerName val="0"/>
          <c:showPercent val="0"/>
          <c:showBubbleSize val="0"/>
        </c:dLbls>
        <c:marker val="1"/>
        <c:smooth val="0"/>
        <c:axId val="211997824"/>
        <c:axId val="211999360"/>
      </c:lineChart>
      <c:dateAx>
        <c:axId val="211997824"/>
        <c:scaling>
          <c:orientation val="minMax"/>
        </c:scaling>
        <c:delete val="0"/>
        <c:axPos val="b"/>
        <c:majorTickMark val="none"/>
        <c:minorTickMark val="none"/>
        <c:tickLblPos val="none"/>
        <c:spPr>
          <a:solidFill>
            <a:schemeClr val="bg1"/>
          </a:solidFill>
          <a:ln w="12700" cap="flat" cmpd="sng" algn="ctr">
            <a:solidFill>
              <a:srgbClr val="00B0F0">
                <a:alpha val="98000"/>
              </a:srgbClr>
            </a:solidFill>
            <a:round/>
          </a:ln>
          <a:effectLst>
            <a:glow>
              <a:srgbClr val="FFFF00">
                <a:alpha val="93000"/>
              </a:srgbClr>
            </a:glow>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211999360"/>
        <c:crosses val="autoZero"/>
        <c:auto val="0"/>
        <c:lblOffset val="100"/>
        <c:baseTimeUnit val="days"/>
        <c:majorUnit val="1"/>
      </c:dateAx>
      <c:valAx>
        <c:axId val="21199936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r>
                  <a:rPr lang="es-CO"/>
                  <a:t>Error en masa convencional</a:t>
                </a:r>
              </a:p>
            </c:rich>
          </c:tx>
          <c:layout>
            <c:manualLayout>
              <c:xMode val="edge"/>
              <c:yMode val="edge"/>
              <c:x val="1.9876361891592E-2"/>
              <c:y val="0.10825907645847349"/>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endParaRPr lang="es-CO"/>
            </a:p>
          </c:txPr>
        </c:title>
        <c:numFmt formatCode="0\ &quot;mg&quot;"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211997824"/>
        <c:crossesAt val="1"/>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accent6">
        <a:lumMod val="20000"/>
        <a:lumOff val="80000"/>
      </a:schemeClr>
    </a:solidFill>
    <a:ln w="12700" cap="flat" cmpd="sng" algn="ctr">
      <a:solidFill>
        <a:schemeClr val="accent2"/>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r>
              <a:rPr lang="en-US" baseline="0"/>
              <a:t>10 k</a:t>
            </a:r>
            <a:r>
              <a:rPr lang="en-US"/>
              <a:t>g</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endParaRPr lang="es-CO"/>
        </a:p>
      </c:txPr>
    </c:title>
    <c:autoTitleDeleted val="0"/>
    <c:plotArea>
      <c:layout>
        <c:manualLayout>
          <c:layoutTarget val="inner"/>
          <c:xMode val="edge"/>
          <c:yMode val="edge"/>
          <c:x val="0.21190239059451396"/>
          <c:y val="0.27784722685881863"/>
          <c:w val="0.7562171585857882"/>
          <c:h val="0.68632714797105399"/>
        </c:manualLayout>
      </c:layout>
      <c:lineChart>
        <c:grouping val="standard"/>
        <c:varyColors val="0"/>
        <c:ser>
          <c:idx val="0"/>
          <c:order val="0"/>
          <c:tx>
            <c:strRef>
              <c:f>'gramo Pc %'!$D$6</c:f>
              <c:strCache>
                <c:ptCount val="1"/>
                <c:pt idx="0">
                  <c:v>Error en masa convencional </c:v>
                </c:pt>
              </c:strCache>
            </c:strRef>
          </c:tx>
          <c:spPr>
            <a:ln w="28575" cap="rnd">
              <a:solidFill>
                <a:schemeClr val="accent1"/>
              </a:solidFill>
              <a:round/>
            </a:ln>
            <a:effectLst/>
          </c:spPr>
          <c:marker>
            <c:symbol val="circle"/>
            <c:size val="6"/>
            <c:spPr>
              <a:solidFill>
                <a:srgbClr val="92D050"/>
              </a:solidFill>
              <a:ln w="9525">
                <a:solidFill>
                  <a:schemeClr val="accent1"/>
                </a:solidFill>
              </a:ln>
              <a:effectLst/>
            </c:spPr>
          </c:marker>
          <c:dLbls>
            <c:dLbl>
              <c:idx val="0"/>
              <c:layout>
                <c:manualLayout>
                  <c:x val="0.12039572056076257"/>
                  <c:y val="1.309403359920296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7F9-484D-93F5-80251483D68C}"/>
                </c:ext>
              </c:extLst>
            </c:dLbl>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errBars>
            <c:errDir val="y"/>
            <c:errBarType val="both"/>
            <c:errValType val="cust"/>
            <c:noEndCap val="0"/>
            <c:plus>
              <c:numRef>
                <c:f>'gramo Pc %'!$E$23</c:f>
                <c:numCache>
                  <c:formatCode>General</c:formatCode>
                  <c:ptCount val="1"/>
                  <c:pt idx="0">
                    <c:v>0.17</c:v>
                  </c:pt>
                </c:numCache>
              </c:numRef>
            </c:plus>
            <c:minus>
              <c:numRef>
                <c:f>'gramo Pc %'!$E$23</c:f>
                <c:numCache>
                  <c:formatCode>General</c:formatCode>
                  <c:ptCount val="1"/>
                  <c:pt idx="0">
                    <c:v>0.17</c:v>
                  </c:pt>
                </c:numCache>
              </c:numRef>
            </c:minus>
            <c:spPr>
              <a:noFill/>
              <a:ln w="22225" cap="flat" cmpd="sng" algn="ctr">
                <a:solidFill>
                  <a:srgbClr val="0070C0"/>
                </a:solidFill>
                <a:round/>
              </a:ln>
              <a:effectLst/>
            </c:spPr>
          </c:errBars>
          <c:val>
            <c:numRef>
              <c:f>'gramo Pc %'!$D$23</c:f>
              <c:numCache>
                <c:formatCode>0.00\ "g"</c:formatCode>
                <c:ptCount val="1"/>
                <c:pt idx="0">
                  <c:v>#N/A</c:v>
                </c:pt>
              </c:numCache>
            </c:numRef>
          </c:val>
          <c:smooth val="0"/>
          <c:extLst>
            <c:ext xmlns:c16="http://schemas.microsoft.com/office/drawing/2014/chart" uri="{C3380CC4-5D6E-409C-BE32-E72D297353CC}">
              <c16:uniqueId val="{00000001-B906-4CBA-8A5C-515724D7D910}"/>
            </c:ext>
          </c:extLst>
        </c:ser>
        <c:ser>
          <c:idx val="1"/>
          <c:order val="1"/>
          <c:tx>
            <c:strRef>
              <c:f>'gramo Pc %'!$O$6</c:f>
              <c:strCache>
                <c:ptCount val="1"/>
                <c:pt idx="0">
                  <c:v> ± EMP</c:v>
                </c:pt>
              </c:strCache>
            </c:strRef>
          </c:tx>
          <c:spPr>
            <a:ln w="28575" cap="rnd">
              <a:solidFill>
                <a:srgbClr val="FF0000"/>
              </a:solidFill>
              <a:round/>
            </a:ln>
            <a:effectLst/>
          </c:spPr>
          <c:marker>
            <c:symbol val="none"/>
          </c:marker>
          <c:dLbls>
            <c:delete val="1"/>
          </c:dLbls>
          <c:val>
            <c:numRef>
              <c:f>'gramo Pc %'!$O$19:$Q$19</c:f>
              <c:numCache>
                <c:formatCode>0.00</c:formatCode>
                <c:ptCount val="3"/>
                <c:pt idx="0">
                  <c:v>0.5</c:v>
                </c:pt>
                <c:pt idx="1">
                  <c:v>0.5</c:v>
                </c:pt>
                <c:pt idx="2">
                  <c:v>0.5</c:v>
                </c:pt>
              </c:numCache>
            </c:numRef>
          </c:val>
          <c:smooth val="0"/>
          <c:extLst>
            <c:ext xmlns:c16="http://schemas.microsoft.com/office/drawing/2014/chart" uri="{C3380CC4-5D6E-409C-BE32-E72D297353CC}">
              <c16:uniqueId val="{00000002-B906-4CBA-8A5C-515724D7D910}"/>
            </c:ext>
          </c:extLst>
        </c:ser>
        <c:ser>
          <c:idx val="2"/>
          <c:order val="2"/>
          <c:tx>
            <c:strRef>
              <c:f>'gramo Pc %'!$R$6</c:f>
              <c:strCache>
                <c:ptCount val="1"/>
                <c:pt idx="0">
                  <c:v> ± EMP</c:v>
                </c:pt>
              </c:strCache>
            </c:strRef>
          </c:tx>
          <c:spPr>
            <a:ln w="28575" cap="rnd">
              <a:solidFill>
                <a:srgbClr val="FF0000"/>
              </a:solidFill>
              <a:round/>
            </a:ln>
            <a:effectLst/>
          </c:spPr>
          <c:marker>
            <c:symbol val="none"/>
          </c:marker>
          <c:dLbls>
            <c:delete val="1"/>
          </c:dLbls>
          <c:val>
            <c:numRef>
              <c:f>'gramo Pc %'!$R$19:$T$19</c:f>
              <c:numCache>
                <c:formatCode>0.00</c:formatCode>
                <c:ptCount val="3"/>
                <c:pt idx="0">
                  <c:v>-0.5</c:v>
                </c:pt>
                <c:pt idx="1">
                  <c:v>-0.5</c:v>
                </c:pt>
                <c:pt idx="2">
                  <c:v>-0.5</c:v>
                </c:pt>
              </c:numCache>
            </c:numRef>
          </c:val>
          <c:smooth val="0"/>
          <c:extLst>
            <c:ext xmlns:c16="http://schemas.microsoft.com/office/drawing/2014/chart" uri="{C3380CC4-5D6E-409C-BE32-E72D297353CC}">
              <c16:uniqueId val="{00000003-B906-4CBA-8A5C-515724D7D910}"/>
            </c:ext>
          </c:extLst>
        </c:ser>
        <c:dLbls>
          <c:dLblPos val="t"/>
          <c:showLegendKey val="0"/>
          <c:showVal val="1"/>
          <c:showCatName val="0"/>
          <c:showSerName val="0"/>
          <c:showPercent val="0"/>
          <c:showBubbleSize val="0"/>
        </c:dLbls>
        <c:marker val="1"/>
        <c:smooth val="0"/>
        <c:axId val="213011840"/>
        <c:axId val="213017728"/>
      </c:lineChart>
      <c:dateAx>
        <c:axId val="213011840"/>
        <c:scaling>
          <c:orientation val="minMax"/>
        </c:scaling>
        <c:delete val="0"/>
        <c:axPos val="b"/>
        <c:majorTickMark val="none"/>
        <c:minorTickMark val="none"/>
        <c:tickLblPos val="none"/>
        <c:spPr>
          <a:solidFill>
            <a:schemeClr val="bg1"/>
          </a:solidFill>
          <a:ln w="12700" cap="flat" cmpd="sng" algn="ctr">
            <a:solidFill>
              <a:srgbClr val="00B0F0">
                <a:alpha val="98000"/>
              </a:srgbClr>
            </a:solidFill>
            <a:round/>
          </a:ln>
          <a:effectLst>
            <a:glow>
              <a:srgbClr val="FFFF00">
                <a:alpha val="93000"/>
              </a:srgbClr>
            </a:glow>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213017728"/>
        <c:crosses val="autoZero"/>
        <c:auto val="0"/>
        <c:lblOffset val="100"/>
        <c:baseTimeUnit val="days"/>
        <c:majorUnit val="1"/>
      </c:dateAx>
      <c:valAx>
        <c:axId val="213017728"/>
        <c:scaling>
          <c:orientation val="minMax"/>
          <c:max val="0.70000000000000007"/>
          <c:min val="-0.70000000000000007"/>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r>
                  <a:rPr lang="es-CO"/>
                  <a:t>Error en masa convencional</a:t>
                </a:r>
              </a:p>
            </c:rich>
          </c:tx>
          <c:layout>
            <c:manualLayout>
              <c:xMode val="edge"/>
              <c:yMode val="edge"/>
              <c:x val="1.5883167301333066E-2"/>
              <c:y val="0.13434956113544969"/>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endParaRPr lang="es-CO"/>
            </a:p>
          </c:txPr>
        </c:title>
        <c:numFmt formatCode="0.00\ &quot;g&quot;"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213011840"/>
        <c:crossesAt val="1"/>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accent6">
        <a:lumMod val="20000"/>
        <a:lumOff val="80000"/>
      </a:schemeClr>
    </a:solidFill>
    <a:ln w="12700" cap="flat" cmpd="sng" algn="ctr">
      <a:solidFill>
        <a:schemeClr val="accent2"/>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r>
              <a:rPr lang="en-US" baseline="0"/>
              <a:t>20 k</a:t>
            </a:r>
            <a:r>
              <a:rPr lang="en-US"/>
              <a:t>g @ (C)</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endParaRPr lang="es-CO"/>
        </a:p>
      </c:txPr>
    </c:title>
    <c:autoTitleDeleted val="0"/>
    <c:plotArea>
      <c:layout>
        <c:manualLayout>
          <c:layoutTarget val="inner"/>
          <c:xMode val="edge"/>
          <c:yMode val="edge"/>
          <c:x val="0.21190239059451396"/>
          <c:y val="0.27784722685881863"/>
          <c:w val="0.7562171585857882"/>
          <c:h val="0.68632714797105399"/>
        </c:manualLayout>
      </c:layout>
      <c:lineChart>
        <c:grouping val="standard"/>
        <c:varyColors val="0"/>
        <c:ser>
          <c:idx val="0"/>
          <c:order val="0"/>
          <c:tx>
            <c:strRef>
              <c:f>'gramo Pc %'!$D$6</c:f>
              <c:strCache>
                <c:ptCount val="1"/>
                <c:pt idx="0">
                  <c:v>Error en masa convencional </c:v>
                </c:pt>
              </c:strCache>
            </c:strRef>
          </c:tx>
          <c:spPr>
            <a:ln w="28575" cap="rnd">
              <a:solidFill>
                <a:schemeClr val="accent1"/>
              </a:solidFill>
              <a:round/>
            </a:ln>
            <a:effectLst/>
          </c:spPr>
          <c:marker>
            <c:symbol val="circle"/>
            <c:size val="6"/>
            <c:spPr>
              <a:solidFill>
                <a:srgbClr val="92D050"/>
              </a:solidFill>
              <a:ln w="9525">
                <a:solidFill>
                  <a:schemeClr val="accent1"/>
                </a:solidFill>
              </a:ln>
              <a:effectLst/>
            </c:spPr>
          </c:marker>
          <c:dLbls>
            <c:dLbl>
              <c:idx val="0"/>
              <c:layout>
                <c:manualLayout>
                  <c:x val="7.3685184056755712E-2"/>
                  <c:y val="-0.15649411680114228"/>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221-4FB0-A1FC-A334DBC9A4D2}"/>
                </c:ext>
              </c:extLst>
            </c:dLbl>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errBars>
            <c:errDir val="y"/>
            <c:errBarType val="both"/>
            <c:errValType val="cust"/>
            <c:noEndCap val="0"/>
            <c:plus>
              <c:numRef>
                <c:f>'gramo Pc %'!$E$26</c:f>
                <c:numCache>
                  <c:formatCode>General</c:formatCode>
                  <c:ptCount val="1"/>
                  <c:pt idx="0">
                    <c:v>0.33</c:v>
                  </c:pt>
                </c:numCache>
              </c:numRef>
            </c:plus>
            <c:minus>
              <c:numRef>
                <c:f>'gramo Pc %'!$E$26</c:f>
                <c:numCache>
                  <c:formatCode>General</c:formatCode>
                  <c:ptCount val="1"/>
                  <c:pt idx="0">
                    <c:v>0.33</c:v>
                  </c:pt>
                </c:numCache>
              </c:numRef>
            </c:minus>
            <c:spPr>
              <a:noFill/>
              <a:ln w="22225" cap="flat" cmpd="sng" algn="ctr">
                <a:solidFill>
                  <a:srgbClr val="0070C0"/>
                </a:solidFill>
                <a:round/>
              </a:ln>
              <a:effectLst/>
            </c:spPr>
          </c:errBars>
          <c:val>
            <c:numRef>
              <c:f>'gramo Pc %'!$D$26</c:f>
              <c:numCache>
                <c:formatCode>0.00\ "g"</c:formatCode>
                <c:ptCount val="1"/>
                <c:pt idx="0">
                  <c:v>#N/A</c:v>
                </c:pt>
              </c:numCache>
            </c:numRef>
          </c:val>
          <c:smooth val="0"/>
          <c:extLst>
            <c:ext xmlns:c16="http://schemas.microsoft.com/office/drawing/2014/chart" uri="{C3380CC4-5D6E-409C-BE32-E72D297353CC}">
              <c16:uniqueId val="{00000001-ED23-4877-B7A6-595D04220879}"/>
            </c:ext>
          </c:extLst>
        </c:ser>
        <c:ser>
          <c:idx val="1"/>
          <c:order val="1"/>
          <c:tx>
            <c:strRef>
              <c:f>'gramo Pc %'!$O$6</c:f>
              <c:strCache>
                <c:ptCount val="1"/>
                <c:pt idx="0">
                  <c:v> ± EMP</c:v>
                </c:pt>
              </c:strCache>
            </c:strRef>
          </c:tx>
          <c:spPr>
            <a:ln w="28575" cap="rnd">
              <a:solidFill>
                <a:srgbClr val="FF0000"/>
              </a:solidFill>
              <a:round/>
            </a:ln>
            <a:effectLst/>
          </c:spPr>
          <c:marker>
            <c:symbol val="none"/>
          </c:marker>
          <c:dLbls>
            <c:delete val="1"/>
          </c:dLbls>
          <c:val>
            <c:numRef>
              <c:f>'gramo Pc %'!$O$20:$Q$20</c:f>
              <c:numCache>
                <c:formatCode>General</c:formatCode>
                <c:ptCount val="3"/>
                <c:pt idx="0">
                  <c:v>1</c:v>
                </c:pt>
                <c:pt idx="1">
                  <c:v>1</c:v>
                </c:pt>
                <c:pt idx="2">
                  <c:v>1</c:v>
                </c:pt>
              </c:numCache>
            </c:numRef>
          </c:val>
          <c:smooth val="0"/>
          <c:extLst>
            <c:ext xmlns:c16="http://schemas.microsoft.com/office/drawing/2014/chart" uri="{C3380CC4-5D6E-409C-BE32-E72D297353CC}">
              <c16:uniqueId val="{00000002-ED23-4877-B7A6-595D04220879}"/>
            </c:ext>
          </c:extLst>
        </c:ser>
        <c:ser>
          <c:idx val="2"/>
          <c:order val="2"/>
          <c:tx>
            <c:strRef>
              <c:f>'gramo Pc %'!$R$6</c:f>
              <c:strCache>
                <c:ptCount val="1"/>
                <c:pt idx="0">
                  <c:v> ± EMP</c:v>
                </c:pt>
              </c:strCache>
            </c:strRef>
          </c:tx>
          <c:spPr>
            <a:ln w="28575" cap="rnd">
              <a:solidFill>
                <a:srgbClr val="FF0000"/>
              </a:solidFill>
              <a:round/>
            </a:ln>
            <a:effectLst/>
          </c:spPr>
          <c:marker>
            <c:symbol val="none"/>
          </c:marker>
          <c:dLbls>
            <c:delete val="1"/>
          </c:dLbls>
          <c:val>
            <c:numRef>
              <c:f>'gramo Pc %'!$R$20:$T$20</c:f>
              <c:numCache>
                <c:formatCode>General</c:formatCode>
                <c:ptCount val="3"/>
                <c:pt idx="0">
                  <c:v>-1</c:v>
                </c:pt>
                <c:pt idx="1">
                  <c:v>-1</c:v>
                </c:pt>
                <c:pt idx="2">
                  <c:v>-1</c:v>
                </c:pt>
              </c:numCache>
            </c:numRef>
          </c:val>
          <c:smooth val="0"/>
          <c:extLst>
            <c:ext xmlns:c16="http://schemas.microsoft.com/office/drawing/2014/chart" uri="{C3380CC4-5D6E-409C-BE32-E72D297353CC}">
              <c16:uniqueId val="{00000003-ED23-4877-B7A6-595D04220879}"/>
            </c:ext>
          </c:extLst>
        </c:ser>
        <c:dLbls>
          <c:dLblPos val="t"/>
          <c:showLegendKey val="0"/>
          <c:showVal val="1"/>
          <c:showCatName val="0"/>
          <c:showSerName val="0"/>
          <c:showPercent val="0"/>
          <c:showBubbleSize val="0"/>
        </c:dLbls>
        <c:marker val="1"/>
        <c:smooth val="0"/>
        <c:axId val="212817408"/>
        <c:axId val="212818944"/>
      </c:lineChart>
      <c:dateAx>
        <c:axId val="212817408"/>
        <c:scaling>
          <c:orientation val="minMax"/>
        </c:scaling>
        <c:delete val="0"/>
        <c:axPos val="b"/>
        <c:majorTickMark val="none"/>
        <c:minorTickMark val="none"/>
        <c:tickLblPos val="none"/>
        <c:spPr>
          <a:solidFill>
            <a:schemeClr val="bg1"/>
          </a:solidFill>
          <a:ln w="12700" cap="flat" cmpd="sng" algn="ctr">
            <a:solidFill>
              <a:srgbClr val="00B0F0">
                <a:alpha val="98000"/>
              </a:srgbClr>
            </a:solidFill>
            <a:round/>
          </a:ln>
          <a:effectLst>
            <a:glow>
              <a:srgbClr val="FFFF00">
                <a:alpha val="93000"/>
              </a:srgbClr>
            </a:glow>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212818944"/>
        <c:crosses val="autoZero"/>
        <c:auto val="0"/>
        <c:lblOffset val="100"/>
        <c:baseTimeUnit val="days"/>
        <c:majorUnit val="1"/>
      </c:dateAx>
      <c:valAx>
        <c:axId val="212818944"/>
        <c:scaling>
          <c:orientation val="minMax"/>
          <c:max val="1.3"/>
          <c:min val="-1.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r>
                  <a:rPr lang="es-CO"/>
                  <a:t>Error en masa convencional</a:t>
                </a:r>
              </a:p>
            </c:rich>
          </c:tx>
          <c:layout>
            <c:manualLayout>
              <c:xMode val="edge"/>
              <c:yMode val="edge"/>
              <c:x val="2.7862751072109861E-2"/>
              <c:y val="0.10173645528922946"/>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endParaRPr lang="es-CO"/>
            </a:p>
          </c:txPr>
        </c:title>
        <c:numFmt formatCode="0.00\ &quot;g&quot;"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212817408"/>
        <c:crossesAt val="1"/>
        <c:crossBetween val="between"/>
        <c:majorUnit val="0.2"/>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accent6">
        <a:lumMod val="20000"/>
        <a:lumOff val="80000"/>
      </a:schemeClr>
    </a:solidFill>
    <a:ln w="12700" cap="flat" cmpd="sng" algn="ctr">
      <a:solidFill>
        <a:schemeClr val="accent2"/>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r>
              <a:rPr lang="en-US"/>
              <a:t>2 * g</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endParaRPr lang="es-CO"/>
        </a:p>
      </c:txPr>
    </c:title>
    <c:autoTitleDeleted val="0"/>
    <c:plotArea>
      <c:layout>
        <c:manualLayout>
          <c:layoutTarget val="inner"/>
          <c:xMode val="edge"/>
          <c:yMode val="edge"/>
          <c:x val="0.21190239059451396"/>
          <c:y val="0.27784722685881863"/>
          <c:w val="0.7562171585857882"/>
          <c:h val="0.68632714797105399"/>
        </c:manualLayout>
      </c:layout>
      <c:lineChart>
        <c:grouping val="standard"/>
        <c:varyColors val="0"/>
        <c:ser>
          <c:idx val="0"/>
          <c:order val="0"/>
          <c:tx>
            <c:strRef>
              <c:f>'gramo Pc %'!$D$6</c:f>
              <c:strCache>
                <c:ptCount val="1"/>
                <c:pt idx="0">
                  <c:v>Error en masa convencional </c:v>
                </c:pt>
              </c:strCache>
            </c:strRef>
          </c:tx>
          <c:spPr>
            <a:ln w="28575" cap="rnd">
              <a:solidFill>
                <a:schemeClr val="accent1"/>
              </a:solidFill>
              <a:round/>
            </a:ln>
            <a:effectLst/>
          </c:spPr>
          <c:marker>
            <c:symbol val="circle"/>
            <c:size val="6"/>
            <c:spPr>
              <a:solidFill>
                <a:srgbClr val="92D050"/>
              </a:solidFill>
              <a:ln w="9525">
                <a:solidFill>
                  <a:schemeClr val="accent1"/>
                </a:solidFill>
              </a:ln>
              <a:effectLst/>
            </c:spPr>
          </c:marker>
          <c:dLbls>
            <c:dLbl>
              <c:idx val="0"/>
              <c:layout>
                <c:manualLayout>
                  <c:x val="4.0891117116168212E-2"/>
                  <c:y val="-0.16361406658734498"/>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04E-443A-A7EF-1505B9FFDEE0}"/>
                </c:ext>
              </c:extLst>
            </c:dLbl>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errBars>
            <c:errDir val="y"/>
            <c:errBarType val="both"/>
            <c:errValType val="cust"/>
            <c:noEndCap val="0"/>
            <c:plus>
              <c:numRef>
                <c:f>[2]Pc!$G$11</c:f>
                <c:numCache>
                  <c:formatCode>General</c:formatCode>
                  <c:ptCount val="1"/>
                  <c:pt idx="0">
                    <c:v>0.4</c:v>
                  </c:pt>
                </c:numCache>
              </c:numRef>
            </c:plus>
            <c:minus>
              <c:numRef>
                <c:f>[2]Pc!$G$11</c:f>
                <c:numCache>
                  <c:formatCode>General</c:formatCode>
                  <c:ptCount val="1"/>
                  <c:pt idx="0">
                    <c:v>0.4</c:v>
                  </c:pt>
                </c:numCache>
              </c:numRef>
            </c:minus>
            <c:spPr>
              <a:noFill/>
              <a:ln w="22225" cap="flat" cmpd="sng" algn="ctr">
                <a:solidFill>
                  <a:srgbClr val="0070C0"/>
                </a:solidFill>
                <a:round/>
              </a:ln>
              <a:effectLst/>
            </c:spPr>
          </c:errBars>
          <c:val>
            <c:numRef>
              <c:f>'gramo Pc %'!$D$9</c:f>
              <c:numCache>
                <c:formatCode>0.00\ "mg"</c:formatCode>
                <c:ptCount val="1"/>
                <c:pt idx="0">
                  <c:v>#N/A</c:v>
                </c:pt>
              </c:numCache>
            </c:numRef>
          </c:val>
          <c:smooth val="0"/>
          <c:extLst>
            <c:ext xmlns:c16="http://schemas.microsoft.com/office/drawing/2014/chart" uri="{C3380CC4-5D6E-409C-BE32-E72D297353CC}">
              <c16:uniqueId val="{00000000-404E-443A-A7EF-1505B9FFDEE0}"/>
            </c:ext>
          </c:extLst>
        </c:ser>
        <c:ser>
          <c:idx val="1"/>
          <c:order val="1"/>
          <c:tx>
            <c:strRef>
              <c:f>'gramo Pc %'!$O$6</c:f>
              <c:strCache>
                <c:ptCount val="1"/>
                <c:pt idx="0">
                  <c:v> ± EMP</c:v>
                </c:pt>
              </c:strCache>
            </c:strRef>
          </c:tx>
          <c:spPr>
            <a:ln w="28575" cap="rnd">
              <a:solidFill>
                <a:srgbClr val="FF0000"/>
              </a:solidFill>
              <a:round/>
            </a:ln>
            <a:effectLst/>
          </c:spPr>
          <c:marker>
            <c:symbol val="none"/>
          </c:marker>
          <c:dLbls>
            <c:delete val="1"/>
          </c:dLbls>
          <c:val>
            <c:numRef>
              <c:f>'gramo Pc %'!$O$8:$Q$8</c:f>
              <c:numCache>
                <c:formatCode>General</c:formatCode>
                <c:ptCount val="3"/>
                <c:pt idx="0">
                  <c:v>1.2</c:v>
                </c:pt>
                <c:pt idx="1">
                  <c:v>1.2</c:v>
                </c:pt>
                <c:pt idx="2">
                  <c:v>1.2</c:v>
                </c:pt>
              </c:numCache>
            </c:numRef>
          </c:val>
          <c:smooth val="0"/>
          <c:extLst>
            <c:ext xmlns:c16="http://schemas.microsoft.com/office/drawing/2014/chart" uri="{C3380CC4-5D6E-409C-BE32-E72D297353CC}">
              <c16:uniqueId val="{00000001-404E-443A-A7EF-1505B9FFDEE0}"/>
            </c:ext>
          </c:extLst>
        </c:ser>
        <c:ser>
          <c:idx val="2"/>
          <c:order val="2"/>
          <c:tx>
            <c:strRef>
              <c:f>'gramo Pc %'!$R$6</c:f>
              <c:strCache>
                <c:ptCount val="1"/>
                <c:pt idx="0">
                  <c:v> ± EMP</c:v>
                </c:pt>
              </c:strCache>
            </c:strRef>
          </c:tx>
          <c:spPr>
            <a:ln w="28575" cap="rnd">
              <a:solidFill>
                <a:srgbClr val="FF0000"/>
              </a:solidFill>
              <a:round/>
            </a:ln>
            <a:effectLst/>
          </c:spPr>
          <c:marker>
            <c:symbol val="none"/>
          </c:marker>
          <c:dLbls>
            <c:delete val="1"/>
          </c:dLbls>
          <c:val>
            <c:numRef>
              <c:f>'gramo Pc %'!$R$8:$T$8</c:f>
              <c:numCache>
                <c:formatCode>General</c:formatCode>
                <c:ptCount val="3"/>
                <c:pt idx="0">
                  <c:v>-1.2</c:v>
                </c:pt>
                <c:pt idx="1">
                  <c:v>-1.2</c:v>
                </c:pt>
                <c:pt idx="2">
                  <c:v>-1.2</c:v>
                </c:pt>
              </c:numCache>
            </c:numRef>
          </c:val>
          <c:smooth val="0"/>
          <c:extLst>
            <c:ext xmlns:c16="http://schemas.microsoft.com/office/drawing/2014/chart" uri="{C3380CC4-5D6E-409C-BE32-E72D297353CC}">
              <c16:uniqueId val="{00000002-404E-443A-A7EF-1505B9FFDEE0}"/>
            </c:ext>
          </c:extLst>
        </c:ser>
        <c:dLbls>
          <c:dLblPos val="t"/>
          <c:showLegendKey val="0"/>
          <c:showVal val="1"/>
          <c:showCatName val="0"/>
          <c:showSerName val="0"/>
          <c:showPercent val="0"/>
          <c:showBubbleSize val="0"/>
        </c:dLbls>
        <c:marker val="1"/>
        <c:smooth val="0"/>
        <c:axId val="212865408"/>
        <c:axId val="212866944"/>
      </c:lineChart>
      <c:dateAx>
        <c:axId val="212865408"/>
        <c:scaling>
          <c:orientation val="minMax"/>
        </c:scaling>
        <c:delete val="0"/>
        <c:axPos val="b"/>
        <c:majorTickMark val="none"/>
        <c:minorTickMark val="none"/>
        <c:tickLblPos val="none"/>
        <c:spPr>
          <a:solidFill>
            <a:schemeClr val="bg1"/>
          </a:solidFill>
          <a:ln w="12700" cap="flat" cmpd="sng" algn="ctr">
            <a:solidFill>
              <a:srgbClr val="00B0F0">
                <a:alpha val="98000"/>
              </a:srgbClr>
            </a:solidFill>
            <a:round/>
          </a:ln>
          <a:effectLst>
            <a:glow>
              <a:srgbClr val="FFFF00">
                <a:alpha val="93000"/>
              </a:srgbClr>
            </a:glow>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212866944"/>
        <c:crosses val="autoZero"/>
        <c:auto val="0"/>
        <c:lblOffset val="100"/>
        <c:baseTimeUnit val="days"/>
        <c:majorUnit val="1"/>
      </c:dateAx>
      <c:valAx>
        <c:axId val="21286694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r>
                  <a:rPr lang="es-CO"/>
                  <a:t>Error en masa convencional</a:t>
                </a:r>
              </a:p>
            </c:rich>
          </c:tx>
          <c:layout>
            <c:manualLayout>
              <c:xMode val="edge"/>
              <c:yMode val="edge"/>
              <c:x val="1.9908013478628535E-2"/>
              <c:y val="0.10173645528922946"/>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endParaRPr lang="es-CO"/>
            </a:p>
          </c:txPr>
        </c:title>
        <c:numFmt formatCode="0.00\ &quot;mg&quot;"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212865408"/>
        <c:crossesAt val="1"/>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accent6">
        <a:lumMod val="20000"/>
        <a:lumOff val="80000"/>
      </a:schemeClr>
    </a:solidFill>
    <a:ln w="12700" cap="flat" cmpd="sng" algn="ctr">
      <a:solidFill>
        <a:schemeClr val="accent2"/>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r>
              <a:rPr lang="en-US"/>
              <a:t>20</a:t>
            </a:r>
            <a:r>
              <a:rPr lang="en-US" baseline="0"/>
              <a:t> * </a:t>
            </a:r>
            <a:r>
              <a:rPr lang="en-US"/>
              <a:t>g</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endParaRPr lang="es-CO"/>
        </a:p>
      </c:txPr>
    </c:title>
    <c:autoTitleDeleted val="0"/>
    <c:plotArea>
      <c:layout>
        <c:manualLayout>
          <c:layoutTarget val="inner"/>
          <c:xMode val="edge"/>
          <c:yMode val="edge"/>
          <c:x val="0.21190239059451396"/>
          <c:y val="0.27784722685881863"/>
          <c:w val="0.7562171585857882"/>
          <c:h val="0.68632714797105399"/>
        </c:manualLayout>
      </c:layout>
      <c:lineChart>
        <c:grouping val="standard"/>
        <c:varyColors val="0"/>
        <c:ser>
          <c:idx val="0"/>
          <c:order val="0"/>
          <c:tx>
            <c:strRef>
              <c:f>'gramo Pc %'!$D$6</c:f>
              <c:strCache>
                <c:ptCount val="1"/>
                <c:pt idx="0">
                  <c:v>Error en masa convencional </c:v>
                </c:pt>
              </c:strCache>
            </c:strRef>
          </c:tx>
          <c:spPr>
            <a:ln w="28575" cap="rnd">
              <a:solidFill>
                <a:schemeClr val="accent1"/>
              </a:solidFill>
              <a:round/>
            </a:ln>
            <a:effectLst/>
          </c:spPr>
          <c:marker>
            <c:symbol val="circle"/>
            <c:size val="6"/>
            <c:spPr>
              <a:solidFill>
                <a:srgbClr val="92D050"/>
              </a:solidFill>
              <a:ln w="9525">
                <a:solidFill>
                  <a:schemeClr val="accent1"/>
                </a:solidFill>
              </a:ln>
              <a:effectLst/>
            </c:spPr>
          </c:marker>
          <c:dLbls>
            <c:dLbl>
              <c:idx val="0"/>
              <c:layout>
                <c:manualLayout>
                  <c:x val="6.6102064542243891E-2"/>
                  <c:y val="-9.341536054405970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6B2-4FEB-A916-BE64AD35233A}"/>
                </c:ext>
              </c:extLst>
            </c:dLbl>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errBars>
            <c:errDir val="y"/>
            <c:errBarType val="both"/>
            <c:errValType val="cust"/>
            <c:noEndCap val="0"/>
            <c:plus>
              <c:numRef>
                <c:f>[2]Pc!$G$14</c:f>
                <c:numCache>
                  <c:formatCode>General</c:formatCode>
                  <c:ptCount val="1"/>
                  <c:pt idx="0">
                    <c:v>0.8</c:v>
                  </c:pt>
                </c:numCache>
              </c:numRef>
            </c:plus>
            <c:minus>
              <c:numRef>
                <c:f>[2]Pc!$G$14</c:f>
                <c:numCache>
                  <c:formatCode>General</c:formatCode>
                  <c:ptCount val="1"/>
                  <c:pt idx="0">
                    <c:v>0.8</c:v>
                  </c:pt>
                </c:numCache>
              </c:numRef>
            </c:minus>
            <c:spPr>
              <a:noFill/>
              <a:ln w="22225" cap="flat" cmpd="sng" algn="ctr">
                <a:solidFill>
                  <a:srgbClr val="0070C0"/>
                </a:solidFill>
                <a:round/>
              </a:ln>
              <a:effectLst/>
            </c:spPr>
          </c:errBars>
          <c:val>
            <c:numRef>
              <c:f>'gramo Pc %'!$D$13</c:f>
              <c:numCache>
                <c:formatCode>0.00\ "mg"</c:formatCode>
                <c:ptCount val="1"/>
                <c:pt idx="0">
                  <c:v>#N/A</c:v>
                </c:pt>
              </c:numCache>
            </c:numRef>
          </c:val>
          <c:smooth val="0"/>
          <c:extLst>
            <c:ext xmlns:c16="http://schemas.microsoft.com/office/drawing/2014/chart" uri="{C3380CC4-5D6E-409C-BE32-E72D297353CC}">
              <c16:uniqueId val="{00000000-36B2-4FEB-A916-BE64AD35233A}"/>
            </c:ext>
          </c:extLst>
        </c:ser>
        <c:ser>
          <c:idx val="1"/>
          <c:order val="1"/>
          <c:tx>
            <c:strRef>
              <c:f>'gramo Pc %'!$O$6</c:f>
              <c:strCache>
                <c:ptCount val="1"/>
                <c:pt idx="0">
                  <c:v> ± EMP</c:v>
                </c:pt>
              </c:strCache>
            </c:strRef>
          </c:tx>
          <c:spPr>
            <a:ln w="28575" cap="rnd">
              <a:solidFill>
                <a:srgbClr val="FF0000"/>
              </a:solidFill>
              <a:round/>
            </a:ln>
            <a:effectLst/>
          </c:spPr>
          <c:marker>
            <c:symbol val="none"/>
          </c:marker>
          <c:dLbls>
            <c:delete val="1"/>
          </c:dLbls>
          <c:val>
            <c:numRef>
              <c:f>'gramo Pc %'!$O$11:$Q$11</c:f>
              <c:numCache>
                <c:formatCode>General</c:formatCode>
                <c:ptCount val="3"/>
                <c:pt idx="0">
                  <c:v>2.5</c:v>
                </c:pt>
                <c:pt idx="1">
                  <c:v>2.5</c:v>
                </c:pt>
                <c:pt idx="2">
                  <c:v>2.5</c:v>
                </c:pt>
              </c:numCache>
            </c:numRef>
          </c:val>
          <c:smooth val="0"/>
          <c:extLst>
            <c:ext xmlns:c16="http://schemas.microsoft.com/office/drawing/2014/chart" uri="{C3380CC4-5D6E-409C-BE32-E72D297353CC}">
              <c16:uniqueId val="{00000001-36B2-4FEB-A916-BE64AD35233A}"/>
            </c:ext>
          </c:extLst>
        </c:ser>
        <c:ser>
          <c:idx val="2"/>
          <c:order val="2"/>
          <c:tx>
            <c:strRef>
              <c:f>'gramo Pc %'!$R$6</c:f>
              <c:strCache>
                <c:ptCount val="1"/>
                <c:pt idx="0">
                  <c:v> ± EMP</c:v>
                </c:pt>
              </c:strCache>
            </c:strRef>
          </c:tx>
          <c:spPr>
            <a:ln w="28575" cap="rnd">
              <a:solidFill>
                <a:srgbClr val="FF0000"/>
              </a:solidFill>
              <a:round/>
            </a:ln>
            <a:effectLst/>
          </c:spPr>
          <c:marker>
            <c:symbol val="none"/>
          </c:marker>
          <c:dLbls>
            <c:delete val="1"/>
          </c:dLbls>
          <c:val>
            <c:numRef>
              <c:f>'gramo Pc %'!$R$11:$T$11</c:f>
              <c:numCache>
                <c:formatCode>General</c:formatCode>
                <c:ptCount val="3"/>
                <c:pt idx="0">
                  <c:v>-2.5</c:v>
                </c:pt>
                <c:pt idx="1">
                  <c:v>-2.5</c:v>
                </c:pt>
                <c:pt idx="2">
                  <c:v>-2.5</c:v>
                </c:pt>
              </c:numCache>
            </c:numRef>
          </c:val>
          <c:smooth val="0"/>
          <c:extLst>
            <c:ext xmlns:c16="http://schemas.microsoft.com/office/drawing/2014/chart" uri="{C3380CC4-5D6E-409C-BE32-E72D297353CC}">
              <c16:uniqueId val="{00000002-36B2-4FEB-A916-BE64AD35233A}"/>
            </c:ext>
          </c:extLst>
        </c:ser>
        <c:dLbls>
          <c:dLblPos val="t"/>
          <c:showLegendKey val="0"/>
          <c:showVal val="1"/>
          <c:showCatName val="0"/>
          <c:showSerName val="0"/>
          <c:showPercent val="0"/>
          <c:showBubbleSize val="0"/>
        </c:dLbls>
        <c:marker val="1"/>
        <c:smooth val="0"/>
        <c:axId val="212924672"/>
        <c:axId val="212930560"/>
      </c:lineChart>
      <c:dateAx>
        <c:axId val="212924672"/>
        <c:scaling>
          <c:orientation val="minMax"/>
        </c:scaling>
        <c:delete val="0"/>
        <c:axPos val="b"/>
        <c:majorTickMark val="none"/>
        <c:minorTickMark val="none"/>
        <c:tickLblPos val="none"/>
        <c:spPr>
          <a:solidFill>
            <a:schemeClr val="bg1"/>
          </a:solidFill>
          <a:ln w="12700" cap="flat" cmpd="sng" algn="ctr">
            <a:solidFill>
              <a:srgbClr val="00B0F0">
                <a:alpha val="98000"/>
              </a:srgbClr>
            </a:solidFill>
            <a:round/>
          </a:ln>
          <a:effectLst>
            <a:glow>
              <a:srgbClr val="FFFF00">
                <a:alpha val="93000"/>
              </a:srgbClr>
            </a:glow>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212930560"/>
        <c:crosses val="autoZero"/>
        <c:auto val="0"/>
        <c:lblOffset val="100"/>
        <c:baseTimeUnit val="days"/>
        <c:majorUnit val="1"/>
      </c:dateAx>
      <c:valAx>
        <c:axId val="21293056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r>
                  <a:rPr lang="es-CO"/>
                  <a:t>Error en masa convencional</a:t>
                </a:r>
              </a:p>
            </c:rich>
          </c:tx>
          <c:layout>
            <c:manualLayout>
              <c:xMode val="edge"/>
              <c:yMode val="edge"/>
              <c:x val="2.3869556481850931E-2"/>
              <c:y val="0.10173645528922946"/>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endParaRPr lang="es-CO"/>
            </a:p>
          </c:txPr>
        </c:title>
        <c:numFmt formatCode="0.00\ &quot;mg&quot;"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212924672"/>
        <c:crossesAt val="1"/>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accent6">
        <a:lumMod val="20000"/>
        <a:lumOff val="80000"/>
      </a:schemeClr>
    </a:solidFill>
    <a:ln w="12700" cap="flat" cmpd="sng" algn="ctr">
      <a:solidFill>
        <a:schemeClr val="accent2"/>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r>
              <a:rPr lang="en-US"/>
              <a:t>200 * g</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endParaRPr lang="es-CO"/>
        </a:p>
      </c:txPr>
    </c:title>
    <c:autoTitleDeleted val="0"/>
    <c:plotArea>
      <c:layout>
        <c:manualLayout>
          <c:layoutTarget val="inner"/>
          <c:xMode val="edge"/>
          <c:yMode val="edge"/>
          <c:x val="0.21190239059451396"/>
          <c:y val="0.27784722685881863"/>
          <c:w val="0.7562171585857882"/>
          <c:h val="0.68632714797105399"/>
        </c:manualLayout>
      </c:layout>
      <c:lineChart>
        <c:grouping val="standard"/>
        <c:varyColors val="0"/>
        <c:ser>
          <c:idx val="0"/>
          <c:order val="0"/>
          <c:tx>
            <c:strRef>
              <c:f>'gramo Pc %'!$D$6</c:f>
              <c:strCache>
                <c:ptCount val="1"/>
                <c:pt idx="0">
                  <c:v>Error en masa convencional </c:v>
                </c:pt>
              </c:strCache>
            </c:strRef>
          </c:tx>
          <c:spPr>
            <a:ln w="28575" cap="rnd">
              <a:solidFill>
                <a:schemeClr val="accent1"/>
              </a:solidFill>
              <a:round/>
            </a:ln>
            <a:effectLst/>
          </c:spPr>
          <c:marker>
            <c:symbol val="circle"/>
            <c:size val="6"/>
            <c:spPr>
              <a:solidFill>
                <a:srgbClr val="92D050"/>
              </a:solidFill>
              <a:ln w="9525">
                <a:solidFill>
                  <a:schemeClr val="accent1"/>
                </a:solidFill>
              </a:ln>
              <a:effectLst/>
            </c:spPr>
          </c:marker>
          <c:dLbls>
            <c:dLbl>
              <c:idx val="0"/>
              <c:layout>
                <c:manualLayout>
                  <c:x val="5.8452226463766591E-2"/>
                  <c:y val="-0.11800803231515808"/>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6BB-4C48-B101-471900CA74E3}"/>
                </c:ext>
              </c:extLst>
            </c:dLbl>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errBars>
            <c:errDir val="y"/>
            <c:errBarType val="both"/>
            <c:errValType val="cust"/>
            <c:noEndCap val="0"/>
            <c:plus>
              <c:numRef>
                <c:f>[2]Pc!$G$17</c:f>
                <c:numCache>
                  <c:formatCode>General</c:formatCode>
                  <c:ptCount val="1"/>
                  <c:pt idx="0">
                    <c:v>3</c:v>
                  </c:pt>
                </c:numCache>
              </c:numRef>
            </c:plus>
            <c:minus>
              <c:numRef>
                <c:f>[2]Pc!$G$17</c:f>
                <c:numCache>
                  <c:formatCode>General</c:formatCode>
                  <c:ptCount val="1"/>
                  <c:pt idx="0">
                    <c:v>3</c:v>
                  </c:pt>
                </c:numCache>
              </c:numRef>
            </c:minus>
            <c:spPr>
              <a:noFill/>
              <a:ln w="22225" cap="flat" cmpd="sng" algn="ctr">
                <a:solidFill>
                  <a:srgbClr val="0070C0"/>
                </a:solidFill>
                <a:round/>
              </a:ln>
              <a:effectLst/>
            </c:spPr>
          </c:errBars>
          <c:val>
            <c:numRef>
              <c:f>'gramo Pc %'!$D$17</c:f>
              <c:numCache>
                <c:formatCode>0.0\ "mg"</c:formatCode>
                <c:ptCount val="1"/>
                <c:pt idx="0">
                  <c:v>#N/A</c:v>
                </c:pt>
              </c:numCache>
            </c:numRef>
          </c:val>
          <c:smooth val="0"/>
          <c:extLst>
            <c:ext xmlns:c16="http://schemas.microsoft.com/office/drawing/2014/chart" uri="{C3380CC4-5D6E-409C-BE32-E72D297353CC}">
              <c16:uniqueId val="{00000000-56BB-4C48-B101-471900CA74E3}"/>
            </c:ext>
          </c:extLst>
        </c:ser>
        <c:ser>
          <c:idx val="1"/>
          <c:order val="1"/>
          <c:tx>
            <c:strRef>
              <c:f>'gramo Pc %'!$O$6</c:f>
              <c:strCache>
                <c:ptCount val="1"/>
                <c:pt idx="0">
                  <c:v> ± EMP</c:v>
                </c:pt>
              </c:strCache>
            </c:strRef>
          </c:tx>
          <c:spPr>
            <a:ln w="28575" cap="rnd">
              <a:solidFill>
                <a:srgbClr val="FF0000"/>
              </a:solidFill>
              <a:round/>
            </a:ln>
            <a:effectLst/>
          </c:spPr>
          <c:marker>
            <c:symbol val="none"/>
          </c:marker>
          <c:dLbls>
            <c:delete val="1"/>
          </c:dLbls>
          <c:val>
            <c:numRef>
              <c:f>'gramo Pc %'!$O$14:$Q$14</c:f>
              <c:numCache>
                <c:formatCode>General</c:formatCode>
                <c:ptCount val="3"/>
                <c:pt idx="0">
                  <c:v>10</c:v>
                </c:pt>
                <c:pt idx="1">
                  <c:v>10</c:v>
                </c:pt>
                <c:pt idx="2">
                  <c:v>10</c:v>
                </c:pt>
              </c:numCache>
            </c:numRef>
          </c:val>
          <c:smooth val="0"/>
          <c:extLst>
            <c:ext xmlns:c16="http://schemas.microsoft.com/office/drawing/2014/chart" uri="{C3380CC4-5D6E-409C-BE32-E72D297353CC}">
              <c16:uniqueId val="{00000001-56BB-4C48-B101-471900CA74E3}"/>
            </c:ext>
          </c:extLst>
        </c:ser>
        <c:ser>
          <c:idx val="2"/>
          <c:order val="2"/>
          <c:tx>
            <c:strRef>
              <c:f>'gramo Pc %'!$R$6</c:f>
              <c:strCache>
                <c:ptCount val="1"/>
                <c:pt idx="0">
                  <c:v> ± EMP</c:v>
                </c:pt>
              </c:strCache>
            </c:strRef>
          </c:tx>
          <c:spPr>
            <a:ln w="28575" cap="rnd">
              <a:solidFill>
                <a:srgbClr val="FF0000"/>
              </a:solidFill>
              <a:round/>
            </a:ln>
            <a:effectLst/>
          </c:spPr>
          <c:marker>
            <c:symbol val="none"/>
          </c:marker>
          <c:dLbls>
            <c:delete val="1"/>
          </c:dLbls>
          <c:val>
            <c:numRef>
              <c:f>'gramo Pc %'!$R$14:$T$14</c:f>
              <c:numCache>
                <c:formatCode>General</c:formatCode>
                <c:ptCount val="3"/>
                <c:pt idx="0">
                  <c:v>-10</c:v>
                </c:pt>
                <c:pt idx="1">
                  <c:v>-10</c:v>
                </c:pt>
                <c:pt idx="2">
                  <c:v>-10</c:v>
                </c:pt>
              </c:numCache>
            </c:numRef>
          </c:val>
          <c:smooth val="0"/>
          <c:extLst>
            <c:ext xmlns:c16="http://schemas.microsoft.com/office/drawing/2014/chart" uri="{C3380CC4-5D6E-409C-BE32-E72D297353CC}">
              <c16:uniqueId val="{00000002-56BB-4C48-B101-471900CA74E3}"/>
            </c:ext>
          </c:extLst>
        </c:ser>
        <c:dLbls>
          <c:dLblPos val="t"/>
          <c:showLegendKey val="0"/>
          <c:showVal val="1"/>
          <c:showCatName val="0"/>
          <c:showSerName val="0"/>
          <c:showPercent val="0"/>
          <c:showBubbleSize val="0"/>
        </c:dLbls>
        <c:marker val="1"/>
        <c:smooth val="0"/>
        <c:axId val="212976000"/>
        <c:axId val="212977536"/>
      </c:lineChart>
      <c:dateAx>
        <c:axId val="212976000"/>
        <c:scaling>
          <c:orientation val="minMax"/>
        </c:scaling>
        <c:delete val="0"/>
        <c:axPos val="b"/>
        <c:majorTickMark val="none"/>
        <c:minorTickMark val="none"/>
        <c:tickLblPos val="none"/>
        <c:spPr>
          <a:solidFill>
            <a:schemeClr val="bg1"/>
          </a:solidFill>
          <a:ln w="12700" cap="flat" cmpd="sng" algn="ctr">
            <a:solidFill>
              <a:srgbClr val="00B0F0">
                <a:alpha val="98000"/>
              </a:srgbClr>
            </a:solidFill>
            <a:round/>
          </a:ln>
          <a:effectLst>
            <a:glow>
              <a:srgbClr val="FFFF00">
                <a:alpha val="93000"/>
              </a:srgbClr>
            </a:glow>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212977536"/>
        <c:crosses val="autoZero"/>
        <c:auto val="0"/>
        <c:lblOffset val="100"/>
        <c:baseTimeUnit val="days"/>
        <c:majorUnit val="1"/>
      </c:dateAx>
      <c:valAx>
        <c:axId val="21297753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r>
                  <a:rPr lang="es-CO"/>
                  <a:t>Error en masa convencional</a:t>
                </a:r>
              </a:p>
            </c:rich>
          </c:tx>
          <c:layout>
            <c:manualLayout>
              <c:xMode val="edge"/>
              <c:yMode val="edge"/>
              <c:x val="2.3869556481850931E-2"/>
              <c:y val="0.10173645528922946"/>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endParaRPr lang="es-CO"/>
            </a:p>
          </c:txPr>
        </c:title>
        <c:numFmt formatCode="0.0\ &quot;mg&quot;"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212976000"/>
        <c:crossesAt val="1"/>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accent6">
        <a:lumMod val="20000"/>
        <a:lumOff val="80000"/>
      </a:schemeClr>
    </a:solidFill>
    <a:ln w="12700" cap="flat" cmpd="sng" algn="ctr">
      <a:solidFill>
        <a:schemeClr val="accent2"/>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r>
              <a:rPr lang="en-US" baseline="0"/>
              <a:t>2 * k</a:t>
            </a:r>
            <a:r>
              <a:rPr lang="en-US"/>
              <a:t>g</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endParaRPr lang="es-CO"/>
        </a:p>
      </c:txPr>
    </c:title>
    <c:autoTitleDeleted val="0"/>
    <c:plotArea>
      <c:layout>
        <c:manualLayout>
          <c:layoutTarget val="inner"/>
          <c:xMode val="edge"/>
          <c:yMode val="edge"/>
          <c:x val="0.21190239059451396"/>
          <c:y val="0.27784722685881863"/>
          <c:w val="0.7562171585857882"/>
          <c:h val="0.68632714797105399"/>
        </c:manualLayout>
      </c:layout>
      <c:lineChart>
        <c:grouping val="standard"/>
        <c:varyColors val="0"/>
        <c:ser>
          <c:idx val="0"/>
          <c:order val="0"/>
          <c:tx>
            <c:strRef>
              <c:f>'gramo Pc %'!$D$20</c:f>
              <c:strCache>
                <c:ptCount val="1"/>
                <c:pt idx="0">
                  <c:v>#N/D</c:v>
                </c:pt>
              </c:strCache>
            </c:strRef>
          </c:tx>
          <c:spPr>
            <a:ln w="28575" cap="rnd">
              <a:solidFill>
                <a:schemeClr val="accent1"/>
              </a:solidFill>
              <a:round/>
            </a:ln>
            <a:effectLst/>
          </c:spPr>
          <c:marker>
            <c:symbol val="circle"/>
            <c:size val="6"/>
            <c:spPr>
              <a:solidFill>
                <a:srgbClr val="92D050"/>
              </a:solidFill>
              <a:ln w="9525">
                <a:solidFill>
                  <a:schemeClr val="accent1"/>
                </a:solidFill>
              </a:ln>
              <a:effectLst/>
            </c:spPr>
          </c:marker>
          <c:dLbls>
            <c:dLbl>
              <c:idx val="0"/>
              <c:layout>
                <c:manualLayout>
                  <c:x val="7.6657026810725542E-3"/>
                  <c:y val="-0.16953935913963045"/>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16F-4544-8FC2-7C95B4CE2953}"/>
                </c:ext>
              </c:extLst>
            </c:dLbl>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errBars>
            <c:errDir val="y"/>
            <c:errBarType val="both"/>
            <c:errValType val="cust"/>
            <c:noEndCap val="0"/>
            <c:plus>
              <c:numRef>
                <c:f>[2]Pc!$G$20</c:f>
                <c:numCache>
                  <c:formatCode>General</c:formatCode>
                  <c:ptCount val="1"/>
                  <c:pt idx="0">
                    <c:v>30</c:v>
                  </c:pt>
                </c:numCache>
              </c:numRef>
            </c:plus>
            <c:minus>
              <c:numRef>
                <c:f>[2]Pc!$G$20</c:f>
                <c:numCache>
                  <c:formatCode>General</c:formatCode>
                  <c:ptCount val="1"/>
                  <c:pt idx="0">
                    <c:v>30</c:v>
                  </c:pt>
                </c:numCache>
              </c:numRef>
            </c:minus>
            <c:spPr>
              <a:noFill/>
              <a:ln w="22225" cap="flat" cmpd="sng" algn="ctr">
                <a:solidFill>
                  <a:srgbClr val="0070C0"/>
                </a:solidFill>
                <a:round/>
              </a:ln>
              <a:effectLst/>
            </c:spPr>
          </c:errBars>
          <c:val>
            <c:numRef>
              <c:f>'gramo Pc %'!$D$21</c:f>
              <c:numCache>
                <c:formatCode>0\ "mg"</c:formatCode>
                <c:ptCount val="1"/>
                <c:pt idx="0">
                  <c:v>#N/A</c:v>
                </c:pt>
              </c:numCache>
            </c:numRef>
          </c:val>
          <c:smooth val="0"/>
          <c:extLst>
            <c:ext xmlns:c16="http://schemas.microsoft.com/office/drawing/2014/chart" uri="{C3380CC4-5D6E-409C-BE32-E72D297353CC}">
              <c16:uniqueId val="{00000001-816F-4544-8FC2-7C95B4CE2953}"/>
            </c:ext>
          </c:extLst>
        </c:ser>
        <c:ser>
          <c:idx val="1"/>
          <c:order val="1"/>
          <c:tx>
            <c:strRef>
              <c:f>'gramo Pc %'!$O$6</c:f>
              <c:strCache>
                <c:ptCount val="1"/>
                <c:pt idx="0">
                  <c:v> ± EMP</c:v>
                </c:pt>
              </c:strCache>
            </c:strRef>
          </c:tx>
          <c:spPr>
            <a:ln w="28575" cap="rnd">
              <a:solidFill>
                <a:srgbClr val="FF0000"/>
              </a:solidFill>
              <a:round/>
            </a:ln>
            <a:effectLst/>
          </c:spPr>
          <c:marker>
            <c:symbol val="none"/>
          </c:marker>
          <c:dLbls>
            <c:delete val="1"/>
          </c:dLbls>
          <c:val>
            <c:numRef>
              <c:f>'gramo Pc %'!$O$17:$Q$17</c:f>
              <c:numCache>
                <c:formatCode>General</c:formatCode>
                <c:ptCount val="3"/>
                <c:pt idx="0">
                  <c:v>100</c:v>
                </c:pt>
                <c:pt idx="1">
                  <c:v>100</c:v>
                </c:pt>
                <c:pt idx="2">
                  <c:v>100</c:v>
                </c:pt>
              </c:numCache>
            </c:numRef>
          </c:val>
          <c:smooth val="0"/>
          <c:extLst>
            <c:ext xmlns:c16="http://schemas.microsoft.com/office/drawing/2014/chart" uri="{C3380CC4-5D6E-409C-BE32-E72D297353CC}">
              <c16:uniqueId val="{00000002-816F-4544-8FC2-7C95B4CE2953}"/>
            </c:ext>
          </c:extLst>
        </c:ser>
        <c:ser>
          <c:idx val="2"/>
          <c:order val="2"/>
          <c:tx>
            <c:strRef>
              <c:f>'gramo Pc %'!$R$6</c:f>
              <c:strCache>
                <c:ptCount val="1"/>
                <c:pt idx="0">
                  <c:v> ± EMP</c:v>
                </c:pt>
              </c:strCache>
            </c:strRef>
          </c:tx>
          <c:spPr>
            <a:ln w="28575" cap="rnd">
              <a:solidFill>
                <a:srgbClr val="FF0000"/>
              </a:solidFill>
              <a:round/>
            </a:ln>
            <a:effectLst/>
          </c:spPr>
          <c:marker>
            <c:symbol val="none"/>
          </c:marker>
          <c:dLbls>
            <c:delete val="1"/>
          </c:dLbls>
          <c:val>
            <c:numRef>
              <c:f>'gramo Pc %'!$R$17:$T$17</c:f>
              <c:numCache>
                <c:formatCode>General</c:formatCode>
                <c:ptCount val="3"/>
                <c:pt idx="0">
                  <c:v>-100</c:v>
                </c:pt>
                <c:pt idx="1">
                  <c:v>-100</c:v>
                </c:pt>
                <c:pt idx="2">
                  <c:v>-100</c:v>
                </c:pt>
              </c:numCache>
            </c:numRef>
          </c:val>
          <c:smooth val="0"/>
          <c:extLst>
            <c:ext xmlns:c16="http://schemas.microsoft.com/office/drawing/2014/chart" uri="{C3380CC4-5D6E-409C-BE32-E72D297353CC}">
              <c16:uniqueId val="{00000003-816F-4544-8FC2-7C95B4CE2953}"/>
            </c:ext>
          </c:extLst>
        </c:ser>
        <c:dLbls>
          <c:dLblPos val="t"/>
          <c:showLegendKey val="0"/>
          <c:showVal val="1"/>
          <c:showCatName val="0"/>
          <c:showSerName val="0"/>
          <c:showPercent val="0"/>
          <c:showBubbleSize val="0"/>
        </c:dLbls>
        <c:marker val="1"/>
        <c:smooth val="0"/>
        <c:axId val="215509248"/>
        <c:axId val="215531520"/>
      </c:lineChart>
      <c:dateAx>
        <c:axId val="215509248"/>
        <c:scaling>
          <c:orientation val="minMax"/>
        </c:scaling>
        <c:delete val="0"/>
        <c:axPos val="b"/>
        <c:majorTickMark val="none"/>
        <c:minorTickMark val="none"/>
        <c:tickLblPos val="none"/>
        <c:spPr>
          <a:solidFill>
            <a:schemeClr val="bg1"/>
          </a:solidFill>
          <a:ln w="12700" cap="flat" cmpd="sng" algn="ctr">
            <a:solidFill>
              <a:srgbClr val="00B0F0">
                <a:alpha val="98000"/>
              </a:srgbClr>
            </a:solidFill>
            <a:round/>
          </a:ln>
          <a:effectLst>
            <a:glow>
              <a:srgbClr val="FFFF00">
                <a:alpha val="93000"/>
              </a:srgbClr>
            </a:glow>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215531520"/>
        <c:crosses val="autoZero"/>
        <c:auto val="0"/>
        <c:lblOffset val="100"/>
        <c:baseTimeUnit val="days"/>
        <c:majorUnit val="1"/>
      </c:dateAx>
      <c:valAx>
        <c:axId val="21553152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r>
                  <a:rPr lang="es-CO"/>
                  <a:t>Error en masa convencional</a:t>
                </a:r>
              </a:p>
            </c:rich>
          </c:tx>
          <c:layout>
            <c:manualLayout>
              <c:xMode val="edge"/>
              <c:yMode val="edge"/>
              <c:x val="1.1889972711074134E-2"/>
              <c:y val="0.12130431879696157"/>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endParaRPr lang="es-CO"/>
            </a:p>
          </c:txPr>
        </c:title>
        <c:numFmt formatCode="0\ &quot;mg&quot;"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215509248"/>
        <c:crossesAt val="1"/>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accent6">
        <a:lumMod val="20000"/>
        <a:lumOff val="80000"/>
      </a:schemeClr>
    </a:solidFill>
    <a:ln w="12700" cap="flat" cmpd="sng" algn="ctr">
      <a:solidFill>
        <a:schemeClr val="accent2"/>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r>
              <a:rPr lang="en-US" baseline="0"/>
              <a:t>5 k</a:t>
            </a:r>
            <a:r>
              <a:rPr lang="en-US"/>
              <a:t>g @</a:t>
            </a:r>
            <a:r>
              <a:rPr lang="en-US" baseline="0"/>
              <a:t> (C)</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endParaRPr lang="es-CO"/>
        </a:p>
      </c:txPr>
    </c:title>
    <c:autoTitleDeleted val="0"/>
    <c:plotArea>
      <c:layout>
        <c:manualLayout>
          <c:layoutTarget val="inner"/>
          <c:xMode val="edge"/>
          <c:yMode val="edge"/>
          <c:x val="0.21190239059451396"/>
          <c:y val="0.27784722685881863"/>
          <c:w val="0.7562171585857882"/>
          <c:h val="0.68632714797105399"/>
        </c:manualLayout>
      </c:layout>
      <c:lineChart>
        <c:grouping val="standard"/>
        <c:varyColors val="0"/>
        <c:ser>
          <c:idx val="0"/>
          <c:order val="0"/>
          <c:tx>
            <c:strRef>
              <c:f>'gramo Pc %'!$D$6</c:f>
              <c:strCache>
                <c:ptCount val="1"/>
                <c:pt idx="0">
                  <c:v>Error en masa convencional </c:v>
                </c:pt>
              </c:strCache>
            </c:strRef>
          </c:tx>
          <c:spPr>
            <a:ln w="28575" cap="rnd">
              <a:solidFill>
                <a:schemeClr val="accent1"/>
              </a:solidFill>
              <a:round/>
            </a:ln>
            <a:effectLst/>
          </c:spPr>
          <c:marker>
            <c:symbol val="circle"/>
            <c:size val="6"/>
            <c:spPr>
              <a:solidFill>
                <a:srgbClr val="92D050"/>
              </a:solidFill>
              <a:ln w="9525">
                <a:solidFill>
                  <a:schemeClr val="accent1"/>
                </a:solidFill>
              </a:ln>
              <a:effectLst/>
            </c:spPr>
          </c:marker>
          <c:dLbls>
            <c:dLbl>
              <c:idx val="0"/>
              <c:layout>
                <c:manualLayout>
                  <c:x val="6.3042898879498391E-2"/>
                  <c:y val="-9.779052627794583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50A-440B-BD5C-E5955DA01DC8}"/>
                </c:ext>
              </c:extLst>
            </c:dLbl>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errBars>
            <c:errDir val="y"/>
            <c:errBarType val="both"/>
            <c:errValType val="cust"/>
            <c:noEndCap val="0"/>
            <c:plus>
              <c:numRef>
                <c:f>'gramo Pc %'!$E$24</c:f>
                <c:numCache>
                  <c:formatCode>General</c:formatCode>
                  <c:ptCount val="1"/>
                  <c:pt idx="0">
                    <c:v>83</c:v>
                  </c:pt>
                </c:numCache>
              </c:numRef>
            </c:plus>
            <c:minus>
              <c:numRef>
                <c:f>'gramo Pc %'!$E$24</c:f>
                <c:numCache>
                  <c:formatCode>General</c:formatCode>
                  <c:ptCount val="1"/>
                  <c:pt idx="0">
                    <c:v>83</c:v>
                  </c:pt>
                </c:numCache>
              </c:numRef>
            </c:minus>
            <c:spPr>
              <a:noFill/>
              <a:ln w="22225" cap="flat" cmpd="sng" algn="ctr">
                <a:solidFill>
                  <a:srgbClr val="0070C0"/>
                </a:solidFill>
                <a:round/>
              </a:ln>
              <a:effectLst/>
            </c:spPr>
          </c:errBars>
          <c:val>
            <c:numRef>
              <c:f>'gramo Pc %'!$D$24</c:f>
              <c:numCache>
                <c:formatCode>0.00\ "g"</c:formatCode>
                <c:ptCount val="1"/>
                <c:pt idx="0">
                  <c:v>#N/A</c:v>
                </c:pt>
              </c:numCache>
            </c:numRef>
          </c:val>
          <c:smooth val="0"/>
          <c:extLst>
            <c:ext xmlns:c16="http://schemas.microsoft.com/office/drawing/2014/chart" uri="{C3380CC4-5D6E-409C-BE32-E72D297353CC}">
              <c16:uniqueId val="{00000000-E50A-440B-BD5C-E5955DA01DC8}"/>
            </c:ext>
          </c:extLst>
        </c:ser>
        <c:ser>
          <c:idx val="1"/>
          <c:order val="1"/>
          <c:tx>
            <c:strRef>
              <c:f>'gramo Pc %'!$O$6</c:f>
              <c:strCache>
                <c:ptCount val="1"/>
                <c:pt idx="0">
                  <c:v> ± EMP</c:v>
                </c:pt>
              </c:strCache>
            </c:strRef>
          </c:tx>
          <c:spPr>
            <a:ln w="28575" cap="rnd">
              <a:solidFill>
                <a:srgbClr val="FF0000"/>
              </a:solidFill>
              <a:round/>
            </a:ln>
            <a:effectLst/>
          </c:spPr>
          <c:marker>
            <c:symbol val="none"/>
          </c:marker>
          <c:dLbls>
            <c:delete val="1"/>
          </c:dLbls>
          <c:val>
            <c:numRef>
              <c:f>'gramo Pc %'!$O$18:$Q$18</c:f>
              <c:numCache>
                <c:formatCode>General</c:formatCode>
                <c:ptCount val="3"/>
                <c:pt idx="0">
                  <c:v>250</c:v>
                </c:pt>
                <c:pt idx="1">
                  <c:v>250</c:v>
                </c:pt>
                <c:pt idx="2">
                  <c:v>250</c:v>
                </c:pt>
              </c:numCache>
            </c:numRef>
          </c:val>
          <c:smooth val="0"/>
          <c:extLst>
            <c:ext xmlns:c16="http://schemas.microsoft.com/office/drawing/2014/chart" uri="{C3380CC4-5D6E-409C-BE32-E72D297353CC}">
              <c16:uniqueId val="{00000001-E50A-440B-BD5C-E5955DA01DC8}"/>
            </c:ext>
          </c:extLst>
        </c:ser>
        <c:ser>
          <c:idx val="2"/>
          <c:order val="2"/>
          <c:tx>
            <c:strRef>
              <c:f>'gramo Pc %'!$R$6</c:f>
              <c:strCache>
                <c:ptCount val="1"/>
                <c:pt idx="0">
                  <c:v> ± EMP</c:v>
                </c:pt>
              </c:strCache>
            </c:strRef>
          </c:tx>
          <c:spPr>
            <a:ln w="28575" cap="rnd">
              <a:solidFill>
                <a:srgbClr val="FF0000"/>
              </a:solidFill>
              <a:round/>
            </a:ln>
            <a:effectLst/>
          </c:spPr>
          <c:marker>
            <c:symbol val="none"/>
          </c:marker>
          <c:dLbls>
            <c:delete val="1"/>
          </c:dLbls>
          <c:val>
            <c:numRef>
              <c:f>'gramo Pc %'!$R$18:$T$18</c:f>
              <c:numCache>
                <c:formatCode>General</c:formatCode>
                <c:ptCount val="3"/>
                <c:pt idx="0">
                  <c:v>-250</c:v>
                </c:pt>
                <c:pt idx="1">
                  <c:v>-250</c:v>
                </c:pt>
                <c:pt idx="2">
                  <c:v>-250</c:v>
                </c:pt>
              </c:numCache>
            </c:numRef>
          </c:val>
          <c:smooth val="0"/>
          <c:extLst>
            <c:ext xmlns:c16="http://schemas.microsoft.com/office/drawing/2014/chart" uri="{C3380CC4-5D6E-409C-BE32-E72D297353CC}">
              <c16:uniqueId val="{00000002-E50A-440B-BD5C-E5955DA01DC8}"/>
            </c:ext>
          </c:extLst>
        </c:ser>
        <c:dLbls>
          <c:dLblPos val="t"/>
          <c:showLegendKey val="0"/>
          <c:showVal val="1"/>
          <c:showCatName val="0"/>
          <c:showSerName val="0"/>
          <c:showPercent val="0"/>
          <c:showBubbleSize val="0"/>
        </c:dLbls>
        <c:marker val="1"/>
        <c:smooth val="0"/>
        <c:axId val="215343488"/>
        <c:axId val="215345024"/>
      </c:lineChart>
      <c:dateAx>
        <c:axId val="215343488"/>
        <c:scaling>
          <c:orientation val="minMax"/>
        </c:scaling>
        <c:delete val="0"/>
        <c:axPos val="b"/>
        <c:majorTickMark val="none"/>
        <c:minorTickMark val="none"/>
        <c:tickLblPos val="none"/>
        <c:spPr>
          <a:solidFill>
            <a:schemeClr val="bg1"/>
          </a:solidFill>
          <a:ln w="12700" cap="flat" cmpd="sng" algn="ctr">
            <a:solidFill>
              <a:srgbClr val="00B0F0">
                <a:alpha val="98000"/>
              </a:srgbClr>
            </a:solidFill>
            <a:round/>
          </a:ln>
          <a:effectLst>
            <a:glow>
              <a:srgbClr val="FFFF00">
                <a:alpha val="93000"/>
              </a:srgbClr>
            </a:glow>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215345024"/>
        <c:crosses val="autoZero"/>
        <c:auto val="0"/>
        <c:lblOffset val="100"/>
        <c:baseTimeUnit val="days"/>
        <c:majorUnit val="1"/>
      </c:dateAx>
      <c:valAx>
        <c:axId val="21534502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r>
                  <a:rPr lang="es-CO"/>
                  <a:t>Error en masa convencional</a:t>
                </a:r>
              </a:p>
            </c:rich>
          </c:tx>
          <c:layout>
            <c:manualLayout>
              <c:xMode val="edge"/>
              <c:yMode val="edge"/>
              <c:x val="1.9876361891592E-2"/>
              <c:y val="0.10825907645847349"/>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endParaRPr lang="es-CO"/>
            </a:p>
          </c:txPr>
        </c:title>
        <c:numFmt formatCode="0.00\ &quot;g&quot;"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215343488"/>
        <c:crossesAt val="1"/>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accent6">
        <a:lumMod val="20000"/>
        <a:lumOff val="80000"/>
      </a:schemeClr>
    </a:solidFill>
    <a:ln w="12700" cap="flat" cmpd="sng" algn="ctr">
      <a:solidFill>
        <a:schemeClr val="accent2"/>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r>
              <a:rPr lang="en-US" baseline="0"/>
              <a:t>10 k</a:t>
            </a:r>
            <a:r>
              <a:rPr lang="en-US"/>
              <a:t>g @ (C)</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endParaRPr lang="es-CO"/>
        </a:p>
      </c:txPr>
    </c:title>
    <c:autoTitleDeleted val="0"/>
    <c:plotArea>
      <c:layout>
        <c:manualLayout>
          <c:layoutTarget val="inner"/>
          <c:xMode val="edge"/>
          <c:yMode val="edge"/>
          <c:x val="0.21190239059451396"/>
          <c:y val="0.27784722685881863"/>
          <c:w val="0.7562171585857882"/>
          <c:h val="0.68632714797105399"/>
        </c:manualLayout>
      </c:layout>
      <c:lineChart>
        <c:grouping val="standard"/>
        <c:varyColors val="0"/>
        <c:ser>
          <c:idx val="0"/>
          <c:order val="0"/>
          <c:tx>
            <c:strRef>
              <c:f>'gramo Pc %'!$D$6</c:f>
              <c:strCache>
                <c:ptCount val="1"/>
                <c:pt idx="0">
                  <c:v>Error en masa convencional </c:v>
                </c:pt>
              </c:strCache>
            </c:strRef>
          </c:tx>
          <c:spPr>
            <a:ln w="28575" cap="rnd">
              <a:solidFill>
                <a:schemeClr val="accent1"/>
              </a:solidFill>
              <a:round/>
            </a:ln>
            <a:effectLst/>
          </c:spPr>
          <c:marker>
            <c:symbol val="circle"/>
            <c:size val="6"/>
            <c:spPr>
              <a:solidFill>
                <a:srgbClr val="92D050"/>
              </a:solidFill>
              <a:ln w="9525">
                <a:solidFill>
                  <a:schemeClr val="accent1"/>
                </a:solidFill>
              </a:ln>
              <a:effectLst/>
            </c:spPr>
          </c:marker>
          <c:dLbls>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errBars>
            <c:errDir val="y"/>
            <c:errBarType val="both"/>
            <c:errValType val="cust"/>
            <c:noEndCap val="0"/>
            <c:plus>
              <c:numRef>
                <c:f>'gramo Pc %'!$E$25</c:f>
                <c:numCache>
                  <c:formatCode>General</c:formatCode>
                  <c:ptCount val="1"/>
                  <c:pt idx="0">
                    <c:v>0.17</c:v>
                  </c:pt>
                </c:numCache>
              </c:numRef>
            </c:plus>
            <c:minus>
              <c:numRef>
                <c:f>'gramo Pc %'!$E$25</c:f>
                <c:numCache>
                  <c:formatCode>General</c:formatCode>
                  <c:ptCount val="1"/>
                  <c:pt idx="0">
                    <c:v>0.17</c:v>
                  </c:pt>
                </c:numCache>
              </c:numRef>
            </c:minus>
            <c:spPr>
              <a:noFill/>
              <a:ln w="22225" cap="flat" cmpd="sng" algn="ctr">
                <a:solidFill>
                  <a:srgbClr val="0070C0"/>
                </a:solidFill>
                <a:round/>
              </a:ln>
              <a:effectLst/>
            </c:spPr>
          </c:errBars>
          <c:val>
            <c:numRef>
              <c:f>'gramo Pc %'!$D$25</c:f>
              <c:numCache>
                <c:formatCode>0.00\ "g"</c:formatCode>
                <c:ptCount val="1"/>
                <c:pt idx="0">
                  <c:v>#N/A</c:v>
                </c:pt>
              </c:numCache>
            </c:numRef>
          </c:val>
          <c:smooth val="0"/>
          <c:extLst>
            <c:ext xmlns:c16="http://schemas.microsoft.com/office/drawing/2014/chart" uri="{C3380CC4-5D6E-409C-BE32-E72D297353CC}">
              <c16:uniqueId val="{00000001-983C-48BC-BBD8-98A3C31AE3EF}"/>
            </c:ext>
          </c:extLst>
        </c:ser>
        <c:ser>
          <c:idx val="1"/>
          <c:order val="1"/>
          <c:tx>
            <c:strRef>
              <c:f>'gramo Pc %'!$O$6</c:f>
              <c:strCache>
                <c:ptCount val="1"/>
                <c:pt idx="0">
                  <c:v> ± EMP</c:v>
                </c:pt>
              </c:strCache>
            </c:strRef>
          </c:tx>
          <c:spPr>
            <a:ln w="28575" cap="rnd">
              <a:solidFill>
                <a:srgbClr val="FF0000"/>
              </a:solidFill>
              <a:round/>
            </a:ln>
            <a:effectLst/>
          </c:spPr>
          <c:marker>
            <c:symbol val="none"/>
          </c:marker>
          <c:dLbls>
            <c:delete val="1"/>
          </c:dLbls>
          <c:val>
            <c:numRef>
              <c:f>'gramo Pc %'!$O$19:$Q$19</c:f>
              <c:numCache>
                <c:formatCode>0.00</c:formatCode>
                <c:ptCount val="3"/>
                <c:pt idx="0">
                  <c:v>0.5</c:v>
                </c:pt>
                <c:pt idx="1">
                  <c:v>0.5</c:v>
                </c:pt>
                <c:pt idx="2">
                  <c:v>0.5</c:v>
                </c:pt>
              </c:numCache>
            </c:numRef>
          </c:val>
          <c:smooth val="0"/>
          <c:extLst>
            <c:ext xmlns:c16="http://schemas.microsoft.com/office/drawing/2014/chart" uri="{C3380CC4-5D6E-409C-BE32-E72D297353CC}">
              <c16:uniqueId val="{00000002-983C-48BC-BBD8-98A3C31AE3EF}"/>
            </c:ext>
          </c:extLst>
        </c:ser>
        <c:ser>
          <c:idx val="2"/>
          <c:order val="2"/>
          <c:tx>
            <c:strRef>
              <c:f>'gramo Pc %'!$R$6</c:f>
              <c:strCache>
                <c:ptCount val="1"/>
                <c:pt idx="0">
                  <c:v> ± EMP</c:v>
                </c:pt>
              </c:strCache>
            </c:strRef>
          </c:tx>
          <c:spPr>
            <a:ln w="28575" cap="rnd">
              <a:solidFill>
                <a:srgbClr val="FF0000"/>
              </a:solidFill>
              <a:round/>
            </a:ln>
            <a:effectLst/>
          </c:spPr>
          <c:marker>
            <c:symbol val="none"/>
          </c:marker>
          <c:dLbls>
            <c:delete val="1"/>
          </c:dLbls>
          <c:val>
            <c:numRef>
              <c:f>'gramo Pc %'!$R$19:$T$19</c:f>
              <c:numCache>
                <c:formatCode>0.00</c:formatCode>
                <c:ptCount val="3"/>
                <c:pt idx="0">
                  <c:v>-0.5</c:v>
                </c:pt>
                <c:pt idx="1">
                  <c:v>-0.5</c:v>
                </c:pt>
                <c:pt idx="2">
                  <c:v>-0.5</c:v>
                </c:pt>
              </c:numCache>
            </c:numRef>
          </c:val>
          <c:smooth val="0"/>
          <c:extLst>
            <c:ext xmlns:c16="http://schemas.microsoft.com/office/drawing/2014/chart" uri="{C3380CC4-5D6E-409C-BE32-E72D297353CC}">
              <c16:uniqueId val="{00000003-983C-48BC-BBD8-98A3C31AE3EF}"/>
            </c:ext>
          </c:extLst>
        </c:ser>
        <c:dLbls>
          <c:dLblPos val="t"/>
          <c:showLegendKey val="0"/>
          <c:showVal val="1"/>
          <c:showCatName val="0"/>
          <c:showSerName val="0"/>
          <c:showPercent val="0"/>
          <c:showBubbleSize val="0"/>
        </c:dLbls>
        <c:marker val="1"/>
        <c:smooth val="0"/>
        <c:axId val="215378176"/>
        <c:axId val="215388160"/>
      </c:lineChart>
      <c:dateAx>
        <c:axId val="215378176"/>
        <c:scaling>
          <c:orientation val="minMax"/>
        </c:scaling>
        <c:delete val="0"/>
        <c:axPos val="b"/>
        <c:majorTickMark val="none"/>
        <c:minorTickMark val="none"/>
        <c:tickLblPos val="none"/>
        <c:spPr>
          <a:solidFill>
            <a:schemeClr val="bg1"/>
          </a:solidFill>
          <a:ln w="12700" cap="flat" cmpd="sng" algn="ctr">
            <a:solidFill>
              <a:srgbClr val="00B0F0">
                <a:alpha val="98000"/>
              </a:srgbClr>
            </a:solidFill>
            <a:round/>
          </a:ln>
          <a:effectLst>
            <a:glow>
              <a:srgbClr val="FFFF00">
                <a:alpha val="93000"/>
              </a:srgbClr>
            </a:glow>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215388160"/>
        <c:crosses val="autoZero"/>
        <c:auto val="0"/>
        <c:lblOffset val="100"/>
        <c:baseTimeUnit val="days"/>
        <c:majorUnit val="1"/>
      </c:dateAx>
      <c:valAx>
        <c:axId val="215388160"/>
        <c:scaling>
          <c:orientation val="minMax"/>
          <c:max val="0.70000000000000007"/>
          <c:min val="-0.70000000000000007"/>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r>
                  <a:rPr lang="es-CO"/>
                  <a:t>Error en masa convencional</a:t>
                </a:r>
              </a:p>
            </c:rich>
          </c:tx>
          <c:layout>
            <c:manualLayout>
              <c:xMode val="edge"/>
              <c:yMode val="edge"/>
              <c:x val="1.5883167301333066E-2"/>
              <c:y val="0.13434956113544969"/>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endParaRPr lang="es-CO"/>
            </a:p>
          </c:txPr>
        </c:title>
        <c:numFmt formatCode="0.00\ &quot;g&quot;"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215378176"/>
        <c:crossesAt val="1"/>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accent6">
        <a:lumMod val="20000"/>
        <a:lumOff val="80000"/>
      </a:schemeClr>
    </a:solidFill>
    <a:ln w="12700" cap="flat" cmpd="sng" algn="ctr">
      <a:solidFill>
        <a:schemeClr val="accent2"/>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800" b="1" i="0" u="none" strike="noStrike" kern="1200" baseline="0">
              <a:solidFill>
                <a:schemeClr val="dk1"/>
              </a:solidFill>
              <a:latin typeface="+mn-lt"/>
              <a:ea typeface="+mn-ea"/>
              <a:cs typeface="+mn-cs"/>
            </a:defRPr>
          </a:pPr>
          <a:endParaRPr lang="es-CO"/>
        </a:p>
      </c:txPr>
    </c:title>
    <c:autoTitleDeleted val="0"/>
    <c:plotArea>
      <c:layout/>
      <c:barChart>
        <c:barDir val="col"/>
        <c:grouping val="clustered"/>
        <c:varyColors val="0"/>
        <c:ser>
          <c:idx val="0"/>
          <c:order val="0"/>
          <c:tx>
            <c:strRef>
              <c:f>'5 kg % (C)'!$G$58</c:f>
              <c:strCache>
                <c:ptCount val="1"/>
                <c:pt idx="0">
                  <c:v>Aporte a la Incertidumbre</c:v>
                </c:pt>
              </c:strCache>
            </c:strRef>
          </c:tx>
          <c:spPr>
            <a:solidFill>
              <a:schemeClr val="accent2">
                <a:alpha val="85000"/>
              </a:schemeClr>
            </a:solidFill>
            <a:ln w="9525" cap="flat" cmpd="sng" algn="ctr">
              <a:solidFill>
                <a:schemeClr val="lt1">
                  <a:alpha val="50000"/>
                </a:schemeClr>
              </a:solidFill>
              <a:round/>
            </a:ln>
            <a:effectLst/>
          </c:spPr>
          <c:invertIfNegative val="0"/>
          <c:dLbls>
            <c:dLbl>
              <c:idx val="0"/>
              <c:layout>
                <c:manualLayout>
                  <c:x val="5.8076231684837075E-3"/>
                  <c:y val="-1.0880458124555947E-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CAE-4638-A947-90EFC1FC4D7E}"/>
                </c:ext>
              </c:extLst>
            </c:dLbl>
            <c:dLbl>
              <c:idx val="1"/>
              <c:layout>
                <c:manualLayout>
                  <c:x val="0"/>
                  <c:y val="4.240515390121689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CAE-4638-A947-90EFC1FC4D7E}"/>
                </c:ext>
              </c:extLst>
            </c:dLbl>
            <c:dLbl>
              <c:idx val="2"/>
              <c:layout>
                <c:manualLayout>
                  <c:x val="0"/>
                  <c:y val="-9.454488188976377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CAE-4638-A947-90EFC1FC4D7E}"/>
                </c:ext>
              </c:extLst>
            </c:dLbl>
            <c:dLbl>
              <c:idx val="3"/>
              <c:layout>
                <c:manualLayout>
                  <c:x val="0"/>
                  <c:y val="2.320400858983469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CAE-4638-A947-90EFC1FC4D7E}"/>
                </c:ext>
              </c:extLst>
            </c:dLbl>
            <c:spPr>
              <a:noFill/>
              <a:ln>
                <a:noFill/>
              </a:ln>
              <a:effectLst/>
            </c:spPr>
            <c:txPr>
              <a:bodyPr rot="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('RT03-F13 (mg)% '!$A$59,'RT03-F13 (mg)% '!$A$62,'RT03-F13 (mg)% '!$A$66:$A$68)</c:f>
              <c:strCache>
                <c:ptCount val="5"/>
                <c:pt idx="0">
                  <c:v>Proceso de pesaje</c:v>
                </c:pt>
                <c:pt idx="1">
                  <c:v>Pesa de referencia</c:v>
                </c:pt>
                <c:pt idx="2">
                  <c:v>Corrección por empuje del aire</c:v>
                </c:pt>
                <c:pt idx="3">
                  <c:v>Resolución balanza</c:v>
                </c:pt>
                <c:pt idx="4">
                  <c:v>Incertidumbre por repetibilidad del método</c:v>
                </c:pt>
              </c:strCache>
            </c:strRef>
          </c:cat>
          <c:val>
            <c:numRef>
              <c:f>('5 kg % (C)'!$G$59,'5 kg % (C)'!$G$62,'5 kg % (C)'!$G$66:$G$67,'5 kg % (C)'!$G$68)</c:f>
              <c:numCache>
                <c:formatCode>0%</c:formatCode>
                <c:ptCount val="5"/>
                <c:pt idx="0">
                  <c:v>0</c:v>
                </c:pt>
                <c:pt idx="1">
                  <c:v>#N/A</c:v>
                </c:pt>
                <c:pt idx="2">
                  <c:v>#N/A</c:v>
                </c:pt>
                <c:pt idx="3">
                  <c:v>#N/A</c:v>
                </c:pt>
                <c:pt idx="4">
                  <c:v>0</c:v>
                </c:pt>
              </c:numCache>
            </c:numRef>
          </c:val>
          <c:extLst>
            <c:ext xmlns:c16="http://schemas.microsoft.com/office/drawing/2014/chart" uri="{C3380CC4-5D6E-409C-BE32-E72D297353CC}">
              <c16:uniqueId val="{00000004-0CAE-4638-A947-90EFC1FC4D7E}"/>
            </c:ext>
          </c:extLst>
        </c:ser>
        <c:dLbls>
          <c:dLblPos val="inEnd"/>
          <c:showLegendKey val="0"/>
          <c:showVal val="1"/>
          <c:showCatName val="0"/>
          <c:showSerName val="0"/>
          <c:showPercent val="0"/>
          <c:showBubbleSize val="0"/>
        </c:dLbls>
        <c:gapWidth val="65"/>
        <c:axId val="216171648"/>
        <c:axId val="216190976"/>
      </c:barChart>
      <c:catAx>
        <c:axId val="216171648"/>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solidFill>
                <a:latin typeface="+mn-lt"/>
                <a:ea typeface="+mn-ea"/>
                <a:cs typeface="+mn-cs"/>
              </a:defRPr>
            </a:pPr>
            <a:endParaRPr lang="es-CO"/>
          </a:p>
        </c:txPr>
        <c:crossAx val="216190976"/>
        <c:crosses val="autoZero"/>
        <c:auto val="1"/>
        <c:lblAlgn val="ctr"/>
        <c:lblOffset val="100"/>
        <c:noMultiLvlLbl val="0"/>
      </c:catAx>
      <c:valAx>
        <c:axId val="216190976"/>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 sourceLinked="1"/>
        <c:majorTickMark val="none"/>
        <c:minorTickMark val="none"/>
        <c:tickLblPos val="nextTo"/>
        <c:crossAx val="216171648"/>
        <c:crosses val="autoZero"/>
        <c:crossBetween val="between"/>
      </c:valAx>
      <c:spPr>
        <a:noFill/>
        <a:ln>
          <a:noFill/>
        </a:ln>
        <a:effectLst/>
      </c:spPr>
    </c:plotArea>
    <c:plotVisOnly val="1"/>
    <c:dispBlanksAs val="gap"/>
    <c:showDLblsOverMax val="0"/>
  </c:chart>
  <c:spPr>
    <a:solidFill>
      <a:schemeClr val="accent6">
        <a:lumMod val="40000"/>
        <a:lumOff val="60000"/>
      </a:schemeClr>
    </a:solidFill>
    <a:ln w="12700" cap="flat" cmpd="sng" algn="ctr">
      <a:solidFill>
        <a:schemeClr val="dk1"/>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800" b="1" i="0" u="none" strike="noStrike" kern="1200" baseline="0">
              <a:solidFill>
                <a:schemeClr val="dk1"/>
              </a:solidFill>
              <a:latin typeface="+mn-lt"/>
              <a:ea typeface="+mn-ea"/>
              <a:cs typeface="+mn-cs"/>
            </a:defRPr>
          </a:pPr>
          <a:endParaRPr lang="es-CO"/>
        </a:p>
      </c:txPr>
    </c:title>
    <c:autoTitleDeleted val="0"/>
    <c:plotArea>
      <c:layout/>
      <c:barChart>
        <c:barDir val="col"/>
        <c:grouping val="clustered"/>
        <c:varyColors val="0"/>
        <c:ser>
          <c:idx val="0"/>
          <c:order val="0"/>
          <c:tx>
            <c:strRef>
              <c:f>'20 mg + % '!$G$58</c:f>
              <c:strCache>
                <c:ptCount val="1"/>
                <c:pt idx="0">
                  <c:v>Aporte a la Incertidumbre</c:v>
                </c:pt>
              </c:strCache>
            </c:strRef>
          </c:tx>
          <c:spPr>
            <a:solidFill>
              <a:schemeClr val="accent2">
                <a:alpha val="85000"/>
              </a:schemeClr>
            </a:solidFill>
            <a:ln w="9525" cap="flat" cmpd="sng" algn="ctr">
              <a:solidFill>
                <a:schemeClr val="lt1">
                  <a:alpha val="50000"/>
                </a:schemeClr>
              </a:solidFill>
              <a:round/>
            </a:ln>
            <a:effectLst/>
          </c:spPr>
          <c:invertIfNegative val="0"/>
          <c:dLbls>
            <c:dLbl>
              <c:idx val="0"/>
              <c:layout>
                <c:manualLayout>
                  <c:x val="5.8076231684837075E-3"/>
                  <c:y val="-1.0880458124555947E-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29E-4294-8B34-E137E1DD63C2}"/>
                </c:ext>
              </c:extLst>
            </c:dLbl>
            <c:dLbl>
              <c:idx val="1"/>
              <c:layout>
                <c:manualLayout>
                  <c:x val="0"/>
                  <c:y val="4.240515390121689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29E-4294-8B34-E137E1DD63C2}"/>
                </c:ext>
              </c:extLst>
            </c:dLbl>
            <c:dLbl>
              <c:idx val="2"/>
              <c:layout>
                <c:manualLayout>
                  <c:x val="0"/>
                  <c:y val="-9.454488188976377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29E-4294-8B34-E137E1DD63C2}"/>
                </c:ext>
              </c:extLst>
            </c:dLbl>
            <c:dLbl>
              <c:idx val="3"/>
              <c:layout>
                <c:manualLayout>
                  <c:x val="0"/>
                  <c:y val="2.320400858983469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29E-4294-8B34-E137E1DD63C2}"/>
                </c:ext>
              </c:extLst>
            </c:dLbl>
            <c:spPr>
              <a:noFill/>
              <a:ln>
                <a:noFill/>
              </a:ln>
              <a:effectLst/>
            </c:spPr>
            <c:txPr>
              <a:bodyPr rot="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('RT03-F13 (mg)% '!$A$59,'RT03-F13 (mg)% '!$A$62,'RT03-F13 (mg)% '!$A$66:$A$68)</c:f>
              <c:strCache>
                <c:ptCount val="5"/>
                <c:pt idx="0">
                  <c:v>Proceso de pesaje</c:v>
                </c:pt>
                <c:pt idx="1">
                  <c:v>Pesa de referencia</c:v>
                </c:pt>
                <c:pt idx="2">
                  <c:v>Corrección por empuje del aire</c:v>
                </c:pt>
                <c:pt idx="3">
                  <c:v>Resolución balanza</c:v>
                </c:pt>
                <c:pt idx="4">
                  <c:v>Incertidumbre por repetibilidad del método</c:v>
                </c:pt>
              </c:strCache>
            </c:strRef>
          </c:cat>
          <c:val>
            <c:numRef>
              <c:f>('20 mg + % '!$G$59,'20 mg + % '!$G$62,'20 mg + % '!$G$66:$G$67,'20 mg + % '!$G$68)</c:f>
              <c:numCache>
                <c:formatCode>0%</c:formatCode>
                <c:ptCount val="5"/>
                <c:pt idx="0">
                  <c:v>0</c:v>
                </c:pt>
                <c:pt idx="1">
                  <c:v>#N/A</c:v>
                </c:pt>
                <c:pt idx="2">
                  <c:v>#N/A</c:v>
                </c:pt>
                <c:pt idx="3">
                  <c:v>#N/A</c:v>
                </c:pt>
                <c:pt idx="4">
                  <c:v>0</c:v>
                </c:pt>
              </c:numCache>
            </c:numRef>
          </c:val>
          <c:extLst>
            <c:ext xmlns:c16="http://schemas.microsoft.com/office/drawing/2014/chart" uri="{C3380CC4-5D6E-409C-BE32-E72D297353CC}">
              <c16:uniqueId val="{00000004-F29E-4294-8B34-E137E1DD63C2}"/>
            </c:ext>
          </c:extLst>
        </c:ser>
        <c:dLbls>
          <c:dLblPos val="inEnd"/>
          <c:showLegendKey val="0"/>
          <c:showVal val="1"/>
          <c:showCatName val="0"/>
          <c:showSerName val="0"/>
          <c:showPercent val="0"/>
          <c:showBubbleSize val="0"/>
        </c:dLbls>
        <c:gapWidth val="65"/>
        <c:axId val="193849984"/>
        <c:axId val="195372544"/>
      </c:barChart>
      <c:catAx>
        <c:axId val="193849984"/>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solidFill>
                <a:latin typeface="+mn-lt"/>
                <a:ea typeface="+mn-ea"/>
                <a:cs typeface="+mn-cs"/>
              </a:defRPr>
            </a:pPr>
            <a:endParaRPr lang="es-CO"/>
          </a:p>
        </c:txPr>
        <c:crossAx val="195372544"/>
        <c:crosses val="autoZero"/>
        <c:auto val="1"/>
        <c:lblAlgn val="ctr"/>
        <c:lblOffset val="100"/>
        <c:noMultiLvlLbl val="0"/>
      </c:catAx>
      <c:valAx>
        <c:axId val="195372544"/>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 sourceLinked="1"/>
        <c:majorTickMark val="none"/>
        <c:minorTickMark val="none"/>
        <c:tickLblPos val="nextTo"/>
        <c:crossAx val="193849984"/>
        <c:crosses val="autoZero"/>
        <c:crossBetween val="between"/>
      </c:valAx>
      <c:spPr>
        <a:noFill/>
        <a:ln>
          <a:noFill/>
        </a:ln>
        <a:effectLst/>
      </c:spPr>
    </c:plotArea>
    <c:plotVisOnly val="1"/>
    <c:dispBlanksAs val="gap"/>
    <c:showDLblsOverMax val="0"/>
  </c:chart>
  <c:spPr>
    <a:solidFill>
      <a:schemeClr val="accent6">
        <a:lumMod val="40000"/>
        <a:lumOff val="60000"/>
      </a:schemeClr>
    </a:solidFill>
    <a:ln w="12700" cap="flat" cmpd="sng" algn="ctr">
      <a:solidFill>
        <a:schemeClr val="dk1"/>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800" b="1" i="0" u="none" strike="noStrike" kern="1200" baseline="0">
              <a:solidFill>
                <a:schemeClr val="dk1"/>
              </a:solidFill>
              <a:latin typeface="+mn-lt"/>
              <a:ea typeface="+mn-ea"/>
              <a:cs typeface="+mn-cs"/>
            </a:defRPr>
          </a:pPr>
          <a:endParaRPr lang="es-CO"/>
        </a:p>
      </c:txPr>
    </c:title>
    <c:autoTitleDeleted val="0"/>
    <c:plotArea>
      <c:layout/>
      <c:barChart>
        <c:barDir val="col"/>
        <c:grouping val="clustered"/>
        <c:varyColors val="0"/>
        <c:ser>
          <c:idx val="0"/>
          <c:order val="0"/>
          <c:tx>
            <c:strRef>
              <c:f>'20 mg + % '!$G$58</c:f>
              <c:strCache>
                <c:ptCount val="1"/>
                <c:pt idx="0">
                  <c:v>Aporte a la Incertidumbre</c:v>
                </c:pt>
              </c:strCache>
            </c:strRef>
          </c:tx>
          <c:spPr>
            <a:solidFill>
              <a:schemeClr val="accent2">
                <a:alpha val="85000"/>
              </a:schemeClr>
            </a:solidFill>
            <a:ln w="9525" cap="flat" cmpd="sng" algn="ctr">
              <a:solidFill>
                <a:schemeClr val="lt1">
                  <a:alpha val="50000"/>
                </a:schemeClr>
              </a:solidFill>
              <a:round/>
            </a:ln>
            <a:effectLst/>
          </c:spPr>
          <c:invertIfNegative val="0"/>
          <c:dLbls>
            <c:dLbl>
              <c:idx val="1"/>
              <c:layout>
                <c:manualLayout>
                  <c:x val="0"/>
                  <c:y val="4.240515390121689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265-49BB-919D-51C1CC528435}"/>
                </c:ext>
              </c:extLst>
            </c:dLbl>
            <c:dLbl>
              <c:idx val="2"/>
              <c:layout>
                <c:manualLayout>
                  <c:x val="0"/>
                  <c:y val="-9.454488188976377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265-49BB-919D-51C1CC528435}"/>
                </c:ext>
              </c:extLst>
            </c:dLbl>
            <c:dLbl>
              <c:idx val="3"/>
              <c:layout>
                <c:manualLayout>
                  <c:x val="0"/>
                  <c:y val="2.320400858983469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265-49BB-919D-51C1CC528435}"/>
                </c:ext>
              </c:extLst>
            </c:dLbl>
            <c:spPr>
              <a:noFill/>
              <a:ln>
                <a:noFill/>
              </a:ln>
              <a:effectLst/>
            </c:spPr>
            <c:txPr>
              <a:bodyPr rot="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('RT03-F13 (mg)% '!$A$59,'RT03-F13 (mg)% '!$A$62,'RT03-F13 (mg)% '!$A$66:$A$68)</c:f>
              <c:strCache>
                <c:ptCount val="5"/>
                <c:pt idx="0">
                  <c:v>Proceso de pesaje</c:v>
                </c:pt>
                <c:pt idx="1">
                  <c:v>Pesa de referencia</c:v>
                </c:pt>
                <c:pt idx="2">
                  <c:v>Corrección por empuje del aire</c:v>
                </c:pt>
                <c:pt idx="3">
                  <c:v>Resolución balanza</c:v>
                </c:pt>
                <c:pt idx="4">
                  <c:v>Incertidumbre por repetibilidad del método</c:v>
                </c:pt>
              </c:strCache>
            </c:strRef>
          </c:cat>
          <c:val>
            <c:numRef>
              <c:f>('10 kg % (C)'!$G$59,'10 kg % (C)'!$G$62,'10 kg % (C)'!$G$66:$G$67,'10 kg % (C)'!$G$68)</c:f>
              <c:numCache>
                <c:formatCode>0%</c:formatCode>
                <c:ptCount val="5"/>
                <c:pt idx="0">
                  <c:v>0</c:v>
                </c:pt>
                <c:pt idx="1">
                  <c:v>#N/A</c:v>
                </c:pt>
                <c:pt idx="2">
                  <c:v>#N/A</c:v>
                </c:pt>
                <c:pt idx="3">
                  <c:v>#N/A</c:v>
                </c:pt>
                <c:pt idx="4">
                  <c:v>0</c:v>
                </c:pt>
              </c:numCache>
            </c:numRef>
          </c:val>
          <c:extLst>
            <c:ext xmlns:c16="http://schemas.microsoft.com/office/drawing/2014/chart" uri="{C3380CC4-5D6E-409C-BE32-E72D297353CC}">
              <c16:uniqueId val="{00000004-B265-49BB-919D-51C1CC528435}"/>
            </c:ext>
          </c:extLst>
        </c:ser>
        <c:dLbls>
          <c:dLblPos val="inEnd"/>
          <c:showLegendKey val="0"/>
          <c:showVal val="1"/>
          <c:showCatName val="0"/>
          <c:showSerName val="0"/>
          <c:showPercent val="0"/>
          <c:showBubbleSize val="0"/>
        </c:dLbls>
        <c:gapWidth val="65"/>
        <c:axId val="217092480"/>
        <c:axId val="217095168"/>
      </c:barChart>
      <c:catAx>
        <c:axId val="217092480"/>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solidFill>
                <a:latin typeface="+mn-lt"/>
                <a:ea typeface="+mn-ea"/>
                <a:cs typeface="+mn-cs"/>
              </a:defRPr>
            </a:pPr>
            <a:endParaRPr lang="es-CO"/>
          </a:p>
        </c:txPr>
        <c:crossAx val="217095168"/>
        <c:crosses val="autoZero"/>
        <c:auto val="1"/>
        <c:lblAlgn val="ctr"/>
        <c:lblOffset val="100"/>
        <c:noMultiLvlLbl val="0"/>
      </c:catAx>
      <c:valAx>
        <c:axId val="217095168"/>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 sourceLinked="1"/>
        <c:majorTickMark val="none"/>
        <c:minorTickMark val="none"/>
        <c:tickLblPos val="nextTo"/>
        <c:crossAx val="217092480"/>
        <c:crosses val="autoZero"/>
        <c:crossBetween val="between"/>
      </c:valAx>
      <c:spPr>
        <a:noFill/>
        <a:ln>
          <a:noFill/>
        </a:ln>
        <a:effectLst/>
      </c:spPr>
    </c:plotArea>
    <c:plotVisOnly val="1"/>
    <c:dispBlanksAs val="gap"/>
    <c:showDLblsOverMax val="0"/>
  </c:chart>
  <c:spPr>
    <a:solidFill>
      <a:schemeClr val="accent6">
        <a:lumMod val="40000"/>
        <a:lumOff val="60000"/>
      </a:schemeClr>
    </a:solidFill>
    <a:ln w="12700" cap="flat" cmpd="sng" algn="ctr">
      <a:solidFill>
        <a:schemeClr val="dk1"/>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800" b="1" i="0" u="none" strike="noStrike" kern="1200" baseline="0">
              <a:solidFill>
                <a:schemeClr val="dk1"/>
              </a:solidFill>
              <a:latin typeface="+mn-lt"/>
              <a:ea typeface="+mn-ea"/>
              <a:cs typeface="+mn-cs"/>
            </a:defRPr>
          </a:pPr>
          <a:endParaRPr lang="es-CO"/>
        </a:p>
      </c:txPr>
    </c:title>
    <c:autoTitleDeleted val="0"/>
    <c:plotArea>
      <c:layout/>
      <c:barChart>
        <c:barDir val="col"/>
        <c:grouping val="clustered"/>
        <c:varyColors val="0"/>
        <c:ser>
          <c:idx val="0"/>
          <c:order val="0"/>
          <c:tx>
            <c:strRef>
              <c:f>'20 kg % (C)'!$G$58</c:f>
              <c:strCache>
                <c:ptCount val="1"/>
                <c:pt idx="0">
                  <c:v>Aporte a la Incertidumbre</c:v>
                </c:pt>
              </c:strCache>
            </c:strRef>
          </c:tx>
          <c:spPr>
            <a:solidFill>
              <a:schemeClr val="accent2">
                <a:alpha val="85000"/>
              </a:schemeClr>
            </a:solidFill>
            <a:ln w="9525" cap="flat" cmpd="sng" algn="ctr">
              <a:solidFill>
                <a:schemeClr val="lt1">
                  <a:alpha val="50000"/>
                </a:schemeClr>
              </a:solidFill>
              <a:round/>
            </a:ln>
            <a:effectLst/>
          </c:spPr>
          <c:invertIfNegative val="0"/>
          <c:dLbls>
            <c:dLbl>
              <c:idx val="0"/>
              <c:layout>
                <c:manualLayout>
                  <c:x val="5.8076231684837075E-3"/>
                  <c:y val="-1.0880458124555947E-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541-49B4-A9AC-F6A9CD221304}"/>
                </c:ext>
              </c:extLst>
            </c:dLbl>
            <c:dLbl>
              <c:idx val="1"/>
              <c:layout>
                <c:manualLayout>
                  <c:x val="0"/>
                  <c:y val="4.240515390121689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541-49B4-A9AC-F6A9CD221304}"/>
                </c:ext>
              </c:extLst>
            </c:dLbl>
            <c:dLbl>
              <c:idx val="2"/>
              <c:layout>
                <c:manualLayout>
                  <c:x val="0"/>
                  <c:y val="-9.454488188976377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541-49B4-A9AC-F6A9CD221304}"/>
                </c:ext>
              </c:extLst>
            </c:dLbl>
            <c:dLbl>
              <c:idx val="3"/>
              <c:layout>
                <c:manualLayout>
                  <c:x val="0"/>
                  <c:y val="2.320400858983469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541-49B4-A9AC-F6A9CD221304}"/>
                </c:ext>
              </c:extLst>
            </c:dLbl>
            <c:spPr>
              <a:noFill/>
              <a:ln>
                <a:noFill/>
              </a:ln>
              <a:effectLst/>
            </c:spPr>
            <c:txPr>
              <a:bodyPr rot="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('RT03-F13 (mg)% '!$A$59:$A$60,'RT03-F13 (mg)% '!$A$62,'RT03-F13 (mg)% '!$A$66:$A$68)</c:f>
              <c:strCache>
                <c:ptCount val="6"/>
                <c:pt idx="0">
                  <c:v>Proceso de pesaje</c:v>
                </c:pt>
                <c:pt idx="1">
                  <c:v>Calibración pesa referencia</c:v>
                </c:pt>
                <c:pt idx="2">
                  <c:v>Pesa de referencia</c:v>
                </c:pt>
                <c:pt idx="3">
                  <c:v>Corrección por empuje del aire</c:v>
                </c:pt>
                <c:pt idx="4">
                  <c:v>Resolución balanza</c:v>
                </c:pt>
                <c:pt idx="5">
                  <c:v>Incertidumbre por repetibilidad del método</c:v>
                </c:pt>
              </c:strCache>
            </c:strRef>
          </c:cat>
          <c:val>
            <c:numRef>
              <c:f>('20 kg % (C)'!$G$59,'20 kg % (C)'!$G$62,'20 kg % (C)'!$G$66:$G$67,'20 kg % (C)'!$G$68)</c:f>
              <c:numCache>
                <c:formatCode>0%</c:formatCode>
                <c:ptCount val="5"/>
                <c:pt idx="0">
                  <c:v>0</c:v>
                </c:pt>
                <c:pt idx="1">
                  <c:v>#N/A</c:v>
                </c:pt>
                <c:pt idx="2">
                  <c:v>#N/A</c:v>
                </c:pt>
                <c:pt idx="3">
                  <c:v>#N/A</c:v>
                </c:pt>
                <c:pt idx="4">
                  <c:v>0</c:v>
                </c:pt>
              </c:numCache>
            </c:numRef>
          </c:val>
          <c:extLst>
            <c:ext xmlns:c16="http://schemas.microsoft.com/office/drawing/2014/chart" uri="{C3380CC4-5D6E-409C-BE32-E72D297353CC}">
              <c16:uniqueId val="{00000004-D541-49B4-A9AC-F6A9CD221304}"/>
            </c:ext>
          </c:extLst>
        </c:ser>
        <c:dLbls>
          <c:dLblPos val="inEnd"/>
          <c:showLegendKey val="0"/>
          <c:showVal val="1"/>
          <c:showCatName val="0"/>
          <c:showSerName val="0"/>
          <c:showPercent val="0"/>
          <c:showBubbleSize val="0"/>
        </c:dLbls>
        <c:gapWidth val="65"/>
        <c:axId val="217911680"/>
        <c:axId val="217914368"/>
      </c:barChart>
      <c:catAx>
        <c:axId val="217911680"/>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solidFill>
                <a:latin typeface="+mn-lt"/>
                <a:ea typeface="+mn-ea"/>
                <a:cs typeface="+mn-cs"/>
              </a:defRPr>
            </a:pPr>
            <a:endParaRPr lang="es-CO"/>
          </a:p>
        </c:txPr>
        <c:crossAx val="217914368"/>
        <c:crosses val="autoZero"/>
        <c:auto val="1"/>
        <c:lblAlgn val="ctr"/>
        <c:lblOffset val="100"/>
        <c:noMultiLvlLbl val="0"/>
      </c:catAx>
      <c:valAx>
        <c:axId val="217914368"/>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 sourceLinked="1"/>
        <c:majorTickMark val="none"/>
        <c:minorTickMark val="none"/>
        <c:tickLblPos val="nextTo"/>
        <c:crossAx val="217911680"/>
        <c:crosses val="autoZero"/>
        <c:crossBetween val="between"/>
      </c:valAx>
      <c:spPr>
        <a:noFill/>
        <a:ln>
          <a:noFill/>
        </a:ln>
        <a:effectLst/>
      </c:spPr>
    </c:plotArea>
    <c:plotVisOnly val="1"/>
    <c:dispBlanksAs val="gap"/>
    <c:showDLblsOverMax val="0"/>
  </c:chart>
  <c:spPr>
    <a:solidFill>
      <a:schemeClr val="accent6">
        <a:lumMod val="40000"/>
        <a:lumOff val="60000"/>
      </a:schemeClr>
    </a:solidFill>
    <a:ln w="12700" cap="flat" cmpd="sng" algn="ctr">
      <a:solidFill>
        <a:schemeClr val="dk1"/>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800" b="1" i="0" u="none" strike="noStrike" kern="1200" baseline="0">
              <a:solidFill>
                <a:schemeClr val="dk1"/>
              </a:solidFill>
              <a:latin typeface="+mn-lt"/>
              <a:ea typeface="+mn-ea"/>
              <a:cs typeface="+mn-cs"/>
            </a:defRPr>
          </a:pPr>
          <a:endParaRPr lang="es-CO"/>
        </a:p>
      </c:txPr>
    </c:title>
    <c:autoTitleDeleted val="0"/>
    <c:plotArea>
      <c:layout/>
      <c:barChart>
        <c:barDir val="col"/>
        <c:grouping val="clustered"/>
        <c:varyColors val="0"/>
        <c:ser>
          <c:idx val="0"/>
          <c:order val="0"/>
          <c:tx>
            <c:strRef>
              <c:f>'50 mg % '!$G$58</c:f>
              <c:strCache>
                <c:ptCount val="1"/>
                <c:pt idx="0">
                  <c:v>Aporte a la Incertidumbre</c:v>
                </c:pt>
              </c:strCache>
            </c:strRef>
          </c:tx>
          <c:spPr>
            <a:solidFill>
              <a:schemeClr val="accent2">
                <a:alpha val="85000"/>
              </a:schemeClr>
            </a:solidFill>
            <a:ln w="9525" cap="flat" cmpd="sng" algn="ctr">
              <a:solidFill>
                <a:schemeClr val="lt1">
                  <a:alpha val="50000"/>
                </a:schemeClr>
              </a:solidFill>
              <a:round/>
            </a:ln>
            <a:effectLst/>
          </c:spPr>
          <c:invertIfNegative val="0"/>
          <c:dLbls>
            <c:dLbl>
              <c:idx val="0"/>
              <c:layout>
                <c:manualLayout>
                  <c:x val="5.8076231684837075E-3"/>
                  <c:y val="-1.0880458124555947E-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B1E-4991-95ED-D8423B5E2716}"/>
                </c:ext>
              </c:extLst>
            </c:dLbl>
            <c:dLbl>
              <c:idx val="1"/>
              <c:layout>
                <c:manualLayout>
                  <c:x val="0"/>
                  <c:y val="4.240515390121689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B1E-4991-95ED-D8423B5E2716}"/>
                </c:ext>
              </c:extLst>
            </c:dLbl>
            <c:dLbl>
              <c:idx val="2"/>
              <c:layout>
                <c:manualLayout>
                  <c:x val="0"/>
                  <c:y val="-9.454488188976377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B1E-4991-95ED-D8423B5E2716}"/>
                </c:ext>
              </c:extLst>
            </c:dLbl>
            <c:dLbl>
              <c:idx val="3"/>
              <c:layout>
                <c:manualLayout>
                  <c:x val="0"/>
                  <c:y val="2.320400858983469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B1E-4991-95ED-D8423B5E2716}"/>
                </c:ext>
              </c:extLst>
            </c:dLbl>
            <c:spPr>
              <a:noFill/>
              <a:ln>
                <a:noFill/>
              </a:ln>
              <a:effectLst/>
            </c:spPr>
            <c:txPr>
              <a:bodyPr rot="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('RT03-F13 (mg)% '!$A$59,'RT03-F13 (mg)% '!$A$62,'RT03-F13 (mg)% '!$A$66:$A$68)</c:f>
              <c:strCache>
                <c:ptCount val="5"/>
                <c:pt idx="0">
                  <c:v>Proceso de pesaje</c:v>
                </c:pt>
                <c:pt idx="1">
                  <c:v>Pesa de referencia</c:v>
                </c:pt>
                <c:pt idx="2">
                  <c:v>Corrección por empuje del aire</c:v>
                </c:pt>
                <c:pt idx="3">
                  <c:v>Resolución balanza</c:v>
                </c:pt>
                <c:pt idx="4">
                  <c:v>Incertidumbre por repetibilidad del método</c:v>
                </c:pt>
              </c:strCache>
            </c:strRef>
          </c:cat>
          <c:val>
            <c:numRef>
              <c:f>('50 mg % '!$G$59,'50 mg % '!$G$62,'50 mg % '!$G$66:$G$67,'50 mg % '!$G$68)</c:f>
              <c:numCache>
                <c:formatCode>0%</c:formatCode>
                <c:ptCount val="5"/>
                <c:pt idx="0">
                  <c:v>0</c:v>
                </c:pt>
                <c:pt idx="1">
                  <c:v>#N/A</c:v>
                </c:pt>
                <c:pt idx="2">
                  <c:v>#N/A</c:v>
                </c:pt>
                <c:pt idx="3">
                  <c:v>#N/A</c:v>
                </c:pt>
                <c:pt idx="4">
                  <c:v>0</c:v>
                </c:pt>
              </c:numCache>
            </c:numRef>
          </c:val>
          <c:extLst>
            <c:ext xmlns:c16="http://schemas.microsoft.com/office/drawing/2014/chart" uri="{C3380CC4-5D6E-409C-BE32-E72D297353CC}">
              <c16:uniqueId val="{00000004-6B1E-4991-95ED-D8423B5E2716}"/>
            </c:ext>
          </c:extLst>
        </c:ser>
        <c:dLbls>
          <c:dLblPos val="inEnd"/>
          <c:showLegendKey val="0"/>
          <c:showVal val="1"/>
          <c:showCatName val="0"/>
          <c:showSerName val="0"/>
          <c:showPercent val="0"/>
          <c:showBubbleSize val="0"/>
        </c:dLbls>
        <c:gapWidth val="65"/>
        <c:axId val="136492544"/>
        <c:axId val="194130304"/>
      </c:barChart>
      <c:catAx>
        <c:axId val="136492544"/>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solidFill>
                <a:latin typeface="+mn-lt"/>
                <a:ea typeface="+mn-ea"/>
                <a:cs typeface="+mn-cs"/>
              </a:defRPr>
            </a:pPr>
            <a:endParaRPr lang="es-CO"/>
          </a:p>
        </c:txPr>
        <c:crossAx val="194130304"/>
        <c:crosses val="autoZero"/>
        <c:auto val="1"/>
        <c:lblAlgn val="ctr"/>
        <c:lblOffset val="100"/>
        <c:noMultiLvlLbl val="0"/>
      </c:catAx>
      <c:valAx>
        <c:axId val="194130304"/>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 sourceLinked="1"/>
        <c:majorTickMark val="none"/>
        <c:minorTickMark val="none"/>
        <c:tickLblPos val="nextTo"/>
        <c:crossAx val="136492544"/>
        <c:crosses val="autoZero"/>
        <c:crossBetween val="between"/>
      </c:valAx>
      <c:spPr>
        <a:noFill/>
        <a:ln>
          <a:noFill/>
        </a:ln>
        <a:effectLst/>
      </c:spPr>
    </c:plotArea>
    <c:plotVisOnly val="1"/>
    <c:dispBlanksAs val="gap"/>
    <c:showDLblsOverMax val="0"/>
  </c:chart>
  <c:spPr>
    <a:solidFill>
      <a:schemeClr val="accent6">
        <a:lumMod val="40000"/>
        <a:lumOff val="60000"/>
      </a:schemeClr>
    </a:solidFill>
    <a:ln w="12700" cap="flat" cmpd="sng" algn="ctr">
      <a:solidFill>
        <a:schemeClr val="dk1"/>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9.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0.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1.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10.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11.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12.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13.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1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2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27.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28.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29.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3.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30.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31.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32.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33.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34.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35.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36.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37.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38.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39.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4.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40.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41.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42.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43.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44.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45.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46.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47.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48.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49.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5.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50.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51.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52.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53.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54.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55.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56.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57.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58.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5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6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7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9.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8.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80.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81.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9.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0.xml"/></Relationships>
</file>

<file path=xl/drawings/_rels/drawing1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1.xml"/></Relationships>
</file>

<file path=xl/drawings/_rels/drawing1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2.xml"/></Relationships>
</file>

<file path=xl/drawings/_rels/drawing1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3.xml"/></Relationships>
</file>

<file path=xl/drawings/_rels/drawing14.xml.rels><?xml version="1.0" encoding="UTF-8" standalone="yes"?>
<Relationships xmlns="http://schemas.openxmlformats.org/package/2006/relationships"><Relationship Id="rId1" Type="http://schemas.openxmlformats.org/officeDocument/2006/relationships/image" Target="../media/image2.png"/></Relationships>
</file>

<file path=xl/drawings/_rels/drawing15.xml.rels><?xml version="1.0" encoding="UTF-8" standalone="yes"?>
<Relationships xmlns="http://schemas.openxmlformats.org/package/2006/relationships"><Relationship Id="rId8" Type="http://schemas.openxmlformats.org/officeDocument/2006/relationships/chart" Target="../charts/chart21.xml"/><Relationship Id="rId13" Type="http://schemas.openxmlformats.org/officeDocument/2006/relationships/image" Target="../media/image3.png"/><Relationship Id="rId3" Type="http://schemas.openxmlformats.org/officeDocument/2006/relationships/chart" Target="../charts/chart16.xml"/><Relationship Id="rId7" Type="http://schemas.openxmlformats.org/officeDocument/2006/relationships/chart" Target="../charts/chart20.xml"/><Relationship Id="rId12" Type="http://schemas.openxmlformats.org/officeDocument/2006/relationships/chart" Target="../charts/chart25.xml"/><Relationship Id="rId2" Type="http://schemas.openxmlformats.org/officeDocument/2006/relationships/chart" Target="../charts/chart15.xml"/><Relationship Id="rId1" Type="http://schemas.openxmlformats.org/officeDocument/2006/relationships/chart" Target="../charts/chart14.xml"/><Relationship Id="rId6" Type="http://schemas.openxmlformats.org/officeDocument/2006/relationships/chart" Target="../charts/chart19.xml"/><Relationship Id="rId11" Type="http://schemas.openxmlformats.org/officeDocument/2006/relationships/chart" Target="../charts/chart24.xml"/><Relationship Id="rId5" Type="http://schemas.openxmlformats.org/officeDocument/2006/relationships/chart" Target="../charts/chart18.xml"/><Relationship Id="rId10" Type="http://schemas.openxmlformats.org/officeDocument/2006/relationships/chart" Target="../charts/chart23.xml"/><Relationship Id="rId4" Type="http://schemas.openxmlformats.org/officeDocument/2006/relationships/chart" Target="../charts/chart17.xml"/><Relationship Id="rId9" Type="http://schemas.openxmlformats.org/officeDocument/2006/relationships/chart" Target="../charts/chart22.xml"/></Relationships>
</file>

<file path=xl/drawings/_rels/drawing17.xml.rels><?xml version="1.0" encoding="UTF-8" standalone="yes"?>
<Relationships xmlns="http://schemas.openxmlformats.org/package/2006/relationships"><Relationship Id="rId8" Type="http://schemas.openxmlformats.org/officeDocument/2006/relationships/chart" Target="../charts/chart33.xml"/><Relationship Id="rId13" Type="http://schemas.openxmlformats.org/officeDocument/2006/relationships/chart" Target="../charts/chart38.xml"/><Relationship Id="rId3" Type="http://schemas.openxmlformats.org/officeDocument/2006/relationships/chart" Target="../charts/chart28.xml"/><Relationship Id="rId7" Type="http://schemas.openxmlformats.org/officeDocument/2006/relationships/chart" Target="../charts/chart32.xml"/><Relationship Id="rId12" Type="http://schemas.openxmlformats.org/officeDocument/2006/relationships/chart" Target="../charts/chart37.xml"/><Relationship Id="rId2" Type="http://schemas.openxmlformats.org/officeDocument/2006/relationships/chart" Target="../charts/chart27.xml"/><Relationship Id="rId16" Type="http://schemas.openxmlformats.org/officeDocument/2006/relationships/image" Target="../media/image3.png"/><Relationship Id="rId1" Type="http://schemas.openxmlformats.org/officeDocument/2006/relationships/chart" Target="../charts/chart26.xml"/><Relationship Id="rId6" Type="http://schemas.openxmlformats.org/officeDocument/2006/relationships/chart" Target="../charts/chart31.xml"/><Relationship Id="rId11" Type="http://schemas.openxmlformats.org/officeDocument/2006/relationships/chart" Target="../charts/chart36.xml"/><Relationship Id="rId5" Type="http://schemas.openxmlformats.org/officeDocument/2006/relationships/chart" Target="../charts/chart30.xml"/><Relationship Id="rId15" Type="http://schemas.openxmlformats.org/officeDocument/2006/relationships/chart" Target="../charts/chart40.xml"/><Relationship Id="rId10" Type="http://schemas.openxmlformats.org/officeDocument/2006/relationships/chart" Target="../charts/chart35.xml"/><Relationship Id="rId4" Type="http://schemas.openxmlformats.org/officeDocument/2006/relationships/chart" Target="../charts/chart29.xml"/><Relationship Id="rId9" Type="http://schemas.openxmlformats.org/officeDocument/2006/relationships/chart" Target="../charts/chart34.xml"/><Relationship Id="rId14" Type="http://schemas.openxmlformats.org/officeDocument/2006/relationships/chart" Target="../charts/chart39.xml"/></Relationships>
</file>

<file path=xl/drawings/_rels/drawing18.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chart" Target="../charts/chart41.xml"/></Relationships>
</file>

<file path=xl/drawings/_rels/drawing1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chart" Target="../charts/chart42.xml"/></Relationships>
</file>

<file path=xl/drawings/_rels/drawing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2.xml"/></Relationships>
</file>

<file path=xl/drawings/_rels/drawing20.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chart" Target="../charts/chart43.xml"/></Relationships>
</file>

<file path=xl/drawings/_rels/drawing2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chart" Target="../charts/chart44.xml"/></Relationships>
</file>

<file path=xl/drawings/_rels/drawing2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chart" Target="../charts/chart45.xml"/></Relationships>
</file>

<file path=xl/drawings/_rels/drawing2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chart" Target="../charts/chart46.xml"/></Relationships>
</file>

<file path=xl/drawings/_rels/drawing2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chart" Target="../charts/chart47.xml"/></Relationships>
</file>

<file path=xl/drawings/_rels/drawing25.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chart" Target="../charts/chart48.xml"/></Relationships>
</file>

<file path=xl/drawings/_rels/drawing26.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chart" Target="../charts/chart49.xml"/></Relationships>
</file>

<file path=xl/drawings/_rels/drawing27.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chart" Target="../charts/chart50.xml"/></Relationships>
</file>

<file path=xl/drawings/_rels/drawing2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chart" Target="../charts/chart51.xml"/></Relationships>
</file>

<file path=xl/drawings/_rels/drawing2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chart" Target="../charts/chart52.xml"/></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3.xml"/></Relationships>
</file>

<file path=xl/drawings/_rels/drawing3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chart" Target="../charts/chart53.xml"/></Relationships>
</file>

<file path=xl/drawings/_rels/drawing3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chart" Target="../charts/chart54.xml"/></Relationships>
</file>

<file path=xl/drawings/_rels/drawing3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chart" Target="../charts/chart55.xml"/></Relationships>
</file>

<file path=xl/drawings/_rels/drawing3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chart" Target="../charts/chart56.xml"/></Relationships>
</file>

<file path=xl/drawings/_rels/drawing3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chart" Target="../charts/chart57.xml"/></Relationships>
</file>

<file path=xl/drawings/_rels/drawing35.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chart" Target="../charts/chart58.xml"/></Relationships>
</file>

<file path=xl/drawings/_rels/drawing36.xml.rels><?xml version="1.0" encoding="UTF-8" standalone="yes"?>
<Relationships xmlns="http://schemas.openxmlformats.org/package/2006/relationships"><Relationship Id="rId1" Type="http://schemas.openxmlformats.org/officeDocument/2006/relationships/image" Target="../media/image3.png"/></Relationships>
</file>

<file path=xl/drawings/_rels/drawing38.xml.rels><?xml version="1.0" encoding="UTF-8" standalone="yes"?>
<Relationships xmlns="http://schemas.openxmlformats.org/package/2006/relationships"><Relationship Id="rId8" Type="http://schemas.openxmlformats.org/officeDocument/2006/relationships/chart" Target="../charts/chart66.xml"/><Relationship Id="rId13" Type="http://schemas.openxmlformats.org/officeDocument/2006/relationships/chart" Target="../charts/chart71.xml"/><Relationship Id="rId18" Type="http://schemas.openxmlformats.org/officeDocument/2006/relationships/chart" Target="../charts/chart76.xml"/><Relationship Id="rId3" Type="http://schemas.openxmlformats.org/officeDocument/2006/relationships/chart" Target="../charts/chart61.xml"/><Relationship Id="rId21" Type="http://schemas.openxmlformats.org/officeDocument/2006/relationships/image" Target="../media/image4.png"/><Relationship Id="rId7" Type="http://schemas.openxmlformats.org/officeDocument/2006/relationships/chart" Target="../charts/chart65.xml"/><Relationship Id="rId12" Type="http://schemas.openxmlformats.org/officeDocument/2006/relationships/chart" Target="../charts/chart70.xml"/><Relationship Id="rId17" Type="http://schemas.openxmlformats.org/officeDocument/2006/relationships/chart" Target="../charts/chart75.xml"/><Relationship Id="rId2" Type="http://schemas.openxmlformats.org/officeDocument/2006/relationships/chart" Target="../charts/chart60.xml"/><Relationship Id="rId16" Type="http://schemas.openxmlformats.org/officeDocument/2006/relationships/chart" Target="../charts/chart74.xml"/><Relationship Id="rId20" Type="http://schemas.openxmlformats.org/officeDocument/2006/relationships/chart" Target="../charts/chart78.xml"/><Relationship Id="rId1" Type="http://schemas.openxmlformats.org/officeDocument/2006/relationships/chart" Target="../charts/chart59.xml"/><Relationship Id="rId6" Type="http://schemas.openxmlformats.org/officeDocument/2006/relationships/chart" Target="../charts/chart64.xml"/><Relationship Id="rId11" Type="http://schemas.openxmlformats.org/officeDocument/2006/relationships/chart" Target="../charts/chart69.xml"/><Relationship Id="rId5" Type="http://schemas.openxmlformats.org/officeDocument/2006/relationships/chart" Target="../charts/chart63.xml"/><Relationship Id="rId15" Type="http://schemas.openxmlformats.org/officeDocument/2006/relationships/chart" Target="../charts/chart73.xml"/><Relationship Id="rId10" Type="http://schemas.openxmlformats.org/officeDocument/2006/relationships/chart" Target="../charts/chart68.xml"/><Relationship Id="rId19" Type="http://schemas.openxmlformats.org/officeDocument/2006/relationships/chart" Target="../charts/chart77.xml"/><Relationship Id="rId4" Type="http://schemas.openxmlformats.org/officeDocument/2006/relationships/chart" Target="../charts/chart62.xml"/><Relationship Id="rId9" Type="http://schemas.openxmlformats.org/officeDocument/2006/relationships/chart" Target="../charts/chart67.xml"/><Relationship Id="rId14" Type="http://schemas.openxmlformats.org/officeDocument/2006/relationships/chart" Target="../charts/chart72.xml"/></Relationships>
</file>

<file path=xl/drawings/_rels/drawing39.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chart" Target="../charts/chart79.xml"/></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4.xml"/></Relationships>
</file>

<file path=xl/drawings/_rels/drawing4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chart" Target="../charts/chart80.xml"/></Relationships>
</file>

<file path=xl/drawings/_rels/drawing4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chart" Target="../charts/chart81.xml"/></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5.xml"/></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6.xml"/></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7.xml"/></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8.xml"/></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oneCellAnchor>
    <xdr:from>
      <xdr:col>1</xdr:col>
      <xdr:colOff>285935</xdr:colOff>
      <xdr:row>42</xdr:row>
      <xdr:rowOff>169517</xdr:rowOff>
    </xdr:from>
    <xdr:ext cx="177356" cy="176202"/>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00000000-0008-0000-0000-000002000000}"/>
                </a:ext>
              </a:extLst>
            </xdr:cNvPr>
            <xdr:cNvSpPr txBox="1"/>
          </xdr:nvSpPr>
          <xdr:spPr>
            <a:xfrm>
              <a:off x="1314635" y="14958667"/>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bg1"/>
                            </a:solidFill>
                            <a:latin typeface="Cambria Math" panose="02040503050406030204" pitchFamily="18" charset="0"/>
                          </a:rPr>
                        </m:ctrlPr>
                      </m:accPr>
                      <m:e>
                        <m:r>
                          <a:rPr lang="es-CO" sz="1100" b="1" i="1">
                            <a:solidFill>
                              <a:schemeClr val="bg1"/>
                            </a:solidFill>
                            <a:latin typeface="Cambria Math" panose="02040503050406030204" pitchFamily="18" charset="0"/>
                            <a:ea typeface="Cambria Math" panose="02040503050406030204" pitchFamily="18" charset="0"/>
                          </a:rPr>
                          <m:t>∆</m:t>
                        </m:r>
                        <m:r>
                          <a:rPr lang="es-CO" sz="1100" b="1" i="1">
                            <a:solidFill>
                              <a:schemeClr val="bg1"/>
                            </a:solidFill>
                            <a:latin typeface="Cambria Math" panose="02040503050406030204" pitchFamily="18" charset="0"/>
                            <a:ea typeface="Cambria Math" panose="02040503050406030204" pitchFamily="18" charset="0"/>
                          </a:rPr>
                          <m:t>𝑰</m:t>
                        </m:r>
                      </m:e>
                    </m:acc>
                  </m:oMath>
                </m:oMathPara>
              </a14:m>
              <a:endParaRPr lang="es-CO" sz="1100" b="1">
                <a:solidFill>
                  <a:schemeClr val="bg1"/>
                </a:solidFill>
              </a:endParaRPr>
            </a:p>
          </xdr:txBody>
        </xdr:sp>
      </mc:Choice>
      <mc:Fallback xmlns="">
        <xdr:sp macro="" textlink="">
          <xdr:nvSpPr>
            <xdr:cNvPr id="2" name="CuadroTexto 1">
              <a:extLst>
                <a:ext uri="{FF2B5EF4-FFF2-40B4-BE49-F238E27FC236}">
                  <a16:creationId xmlns:a16="http://schemas.microsoft.com/office/drawing/2014/main" id="{98FC9332-1D30-411A-92F8-549A46F351C5}"/>
                </a:ext>
              </a:extLst>
            </xdr:cNvPr>
            <xdr:cNvSpPr txBox="1"/>
          </xdr:nvSpPr>
          <xdr:spPr>
            <a:xfrm>
              <a:off x="1314635" y="14958667"/>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bg1"/>
                  </a:solidFill>
                  <a:latin typeface="Cambria Math" panose="02040503050406030204" pitchFamily="18" charset="0"/>
                </a:rPr>
                <a:t>(</a:t>
              </a:r>
              <a:r>
                <a:rPr lang="es-CO" sz="1100" b="1" i="0">
                  <a:solidFill>
                    <a:schemeClr val="bg1"/>
                  </a:solidFill>
                  <a:latin typeface="Cambria Math" panose="02040503050406030204" pitchFamily="18" charset="0"/>
                  <a:ea typeface="Cambria Math" panose="02040503050406030204" pitchFamily="18" charset="0"/>
                </a:rPr>
                <a:t>∆𝑰) ̅</a:t>
              </a:r>
              <a:endParaRPr lang="es-CO" sz="1100" b="1">
                <a:solidFill>
                  <a:schemeClr val="bg1"/>
                </a:solidFill>
              </a:endParaRPr>
            </a:p>
          </xdr:txBody>
        </xdr:sp>
      </mc:Fallback>
    </mc:AlternateContent>
    <xdr:clientData/>
  </xdr:oneCellAnchor>
  <xdr:oneCellAnchor>
    <xdr:from>
      <xdr:col>1</xdr:col>
      <xdr:colOff>136732</xdr:colOff>
      <xdr:row>58</xdr:row>
      <xdr:rowOff>253032</xdr:rowOff>
    </xdr:from>
    <xdr:ext cx="599716" cy="172227"/>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00000000-0008-0000-0000-000003000000}"/>
                </a:ext>
              </a:extLst>
            </xdr:cNvPr>
            <xdr:cNvSpPr txBox="1"/>
          </xdr:nvSpPr>
          <xdr:spPr>
            <a:xfrm>
              <a:off x="1165432" y="20750832"/>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𝒘</m:t>
                        </m:r>
                      </m:sub>
                    </m:sSub>
                    <m:r>
                      <a:rPr lang="es-CO" sz="1100" b="1" i="1">
                        <a:latin typeface="Cambria Math" panose="02040503050406030204" pitchFamily="18" charset="0"/>
                      </a:rPr>
                      <m:t>(</m:t>
                    </m:r>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3" name="CuadroTexto 2">
              <a:extLst>
                <a:ext uri="{FF2B5EF4-FFF2-40B4-BE49-F238E27FC236}">
                  <a16:creationId xmlns:a16="http://schemas.microsoft.com/office/drawing/2014/main" id="{22B03FD4-65F8-4AE6-86C8-29842FA4D798}"/>
                </a:ext>
              </a:extLst>
            </xdr:cNvPr>
            <xdr:cNvSpPr txBox="1"/>
          </xdr:nvSpPr>
          <xdr:spPr>
            <a:xfrm>
              <a:off x="1165432" y="20750832"/>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𝒖_𝒘 (</a:t>
              </a: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1</xdr:col>
      <xdr:colOff>202651</xdr:colOff>
      <xdr:row>61</xdr:row>
      <xdr:rowOff>265287</xdr:rowOff>
    </xdr:from>
    <xdr:ext cx="483915" cy="172227"/>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id="{00000000-0008-0000-0000-000004000000}"/>
                </a:ext>
              </a:extLst>
            </xdr:cNvPr>
            <xdr:cNvSpPr txBox="1"/>
          </xdr:nvSpPr>
          <xdr:spPr>
            <a:xfrm>
              <a:off x="1231351" y="2297288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4" name="CuadroTexto 3">
              <a:extLst>
                <a:ext uri="{FF2B5EF4-FFF2-40B4-BE49-F238E27FC236}">
                  <a16:creationId xmlns:a16="http://schemas.microsoft.com/office/drawing/2014/main" id="{1C8820BD-192F-4DE0-B8B7-9212E8FCCF20}"/>
                </a:ext>
              </a:extLst>
            </xdr:cNvPr>
            <xdr:cNvSpPr txBox="1"/>
          </xdr:nvSpPr>
          <xdr:spPr>
            <a:xfrm>
              <a:off x="1231351" y="2297288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𝒖(𝒎_𝒄𝒓)</a:t>
              </a:r>
              <a:endParaRPr lang="es-CO" sz="1100" b="1"/>
            </a:p>
          </xdr:txBody>
        </xdr:sp>
      </mc:Fallback>
    </mc:AlternateContent>
    <xdr:clientData/>
  </xdr:oneCellAnchor>
  <xdr:oneCellAnchor>
    <xdr:from>
      <xdr:col>1</xdr:col>
      <xdr:colOff>34166</xdr:colOff>
      <xdr:row>60</xdr:row>
      <xdr:rowOff>250203</xdr:rowOff>
    </xdr:from>
    <xdr:ext cx="689483" cy="172227"/>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id="{00000000-0008-0000-0000-000005000000}"/>
                </a:ext>
              </a:extLst>
            </xdr:cNvPr>
            <xdr:cNvSpPr txBox="1"/>
          </xdr:nvSpPr>
          <xdr:spPr>
            <a:xfrm>
              <a:off x="1062866" y="22221203"/>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𝒊𝒏𝒔𝒕</m:t>
                        </m:r>
                      </m:sub>
                    </m:sSub>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0" i="1">
                        <a:latin typeface="Cambria Math" panose="02040503050406030204" pitchFamily="18" charset="0"/>
                      </a:rPr>
                      <m:t>)</m:t>
                    </m:r>
                  </m:oMath>
                </m:oMathPara>
              </a14:m>
              <a:endParaRPr lang="es-CO" sz="1100"/>
            </a:p>
          </xdr:txBody>
        </xdr:sp>
      </mc:Choice>
      <mc:Fallback xmlns="">
        <xdr:sp macro="" textlink="">
          <xdr:nvSpPr>
            <xdr:cNvPr id="5" name="CuadroTexto 4">
              <a:extLst>
                <a:ext uri="{FF2B5EF4-FFF2-40B4-BE49-F238E27FC236}">
                  <a16:creationId xmlns:a16="http://schemas.microsoft.com/office/drawing/2014/main" id="{3D5B64B2-3F11-423E-B3AA-C080DB24294D}"/>
                </a:ext>
              </a:extLst>
            </xdr:cNvPr>
            <xdr:cNvSpPr txBox="1"/>
          </xdr:nvSpPr>
          <xdr:spPr>
            <a:xfrm>
              <a:off x="1062866" y="22221203"/>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𝒖_𝒊𝒏𝒔𝒕 (𝒎_𝒄𝒓</a:t>
              </a:r>
              <a:r>
                <a:rPr lang="es-CO" sz="1100" b="0" i="0">
                  <a:latin typeface="Cambria Math" panose="02040503050406030204" pitchFamily="18" charset="0"/>
                </a:rPr>
                <a:t>)</a:t>
              </a:r>
              <a:endParaRPr lang="es-CO" sz="1100"/>
            </a:p>
          </xdr:txBody>
        </xdr:sp>
      </mc:Fallback>
    </mc:AlternateContent>
    <xdr:clientData/>
  </xdr:oneCellAnchor>
  <xdr:oneCellAnchor>
    <xdr:from>
      <xdr:col>1</xdr:col>
      <xdr:colOff>183870</xdr:colOff>
      <xdr:row>62</xdr:row>
      <xdr:rowOff>264645</xdr:rowOff>
    </xdr:from>
    <xdr:ext cx="397353" cy="172227"/>
    <mc:AlternateContent xmlns:mc="http://schemas.openxmlformats.org/markup-compatibility/2006" xmlns:a14="http://schemas.microsoft.com/office/drawing/2010/main">
      <mc:Choice Requires="a14">
        <xdr:sp macro="" textlink="">
          <xdr:nvSpPr>
            <xdr:cNvPr id="6" name="CuadroTexto 5">
              <a:extLst>
                <a:ext uri="{FF2B5EF4-FFF2-40B4-BE49-F238E27FC236}">
                  <a16:creationId xmlns:a16="http://schemas.microsoft.com/office/drawing/2014/main" id="{00000000-0008-0000-0000-000006000000}"/>
                </a:ext>
              </a:extLst>
            </xdr:cNvPr>
            <xdr:cNvSpPr txBox="1"/>
          </xdr:nvSpPr>
          <xdr:spPr>
            <a:xfrm>
              <a:off x="1212570" y="23708845"/>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𝒂</m:t>
                        </m:r>
                      </m:sub>
                    </m:sSub>
                    <m:r>
                      <a:rPr lang="es-CO" sz="1100" b="1" i="1">
                        <a:latin typeface="Cambria Math" panose="02040503050406030204" pitchFamily="18" charset="0"/>
                      </a:rPr>
                      <m:t>)</m:t>
                    </m:r>
                  </m:oMath>
                </m:oMathPara>
              </a14:m>
              <a:endParaRPr lang="es-CO" sz="1100" b="1"/>
            </a:p>
          </xdr:txBody>
        </xdr:sp>
      </mc:Choice>
      <mc:Fallback xmlns="">
        <xdr:sp macro="" textlink="">
          <xdr:nvSpPr>
            <xdr:cNvPr id="6" name="CuadroTexto 5">
              <a:extLst>
                <a:ext uri="{FF2B5EF4-FFF2-40B4-BE49-F238E27FC236}">
                  <a16:creationId xmlns:a16="http://schemas.microsoft.com/office/drawing/2014/main" id="{2E722B46-5E85-4840-9537-E97B602304A5}"/>
                </a:ext>
              </a:extLst>
            </xdr:cNvPr>
            <xdr:cNvSpPr txBox="1"/>
          </xdr:nvSpPr>
          <xdr:spPr>
            <a:xfrm>
              <a:off x="1212570" y="23708845"/>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𝒂)</a:t>
              </a:r>
              <a:endParaRPr lang="es-CO" sz="1100" b="1"/>
            </a:p>
          </xdr:txBody>
        </xdr:sp>
      </mc:Fallback>
    </mc:AlternateContent>
    <xdr:clientData/>
  </xdr:oneCellAnchor>
  <xdr:oneCellAnchor>
    <xdr:from>
      <xdr:col>1</xdr:col>
      <xdr:colOff>186298</xdr:colOff>
      <xdr:row>63</xdr:row>
      <xdr:rowOff>266606</xdr:rowOff>
    </xdr:from>
    <xdr:ext cx="376642" cy="172227"/>
    <mc:AlternateContent xmlns:mc="http://schemas.openxmlformats.org/markup-compatibility/2006" xmlns:a14="http://schemas.microsoft.com/office/drawing/2010/main">
      <mc:Choice Requires="a14">
        <xdr:sp macro="" textlink="">
          <xdr:nvSpPr>
            <xdr:cNvPr id="7" name="CuadroTexto 6">
              <a:extLst>
                <a:ext uri="{FF2B5EF4-FFF2-40B4-BE49-F238E27FC236}">
                  <a16:creationId xmlns:a16="http://schemas.microsoft.com/office/drawing/2014/main" id="{00000000-0008-0000-0000-000007000000}"/>
                </a:ext>
              </a:extLst>
            </xdr:cNvPr>
            <xdr:cNvSpPr txBox="1"/>
          </xdr:nvSpPr>
          <xdr:spPr>
            <a:xfrm>
              <a:off x="1214998" y="244474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𝒕</m:t>
                        </m:r>
                      </m:sub>
                    </m:sSub>
                    <m:r>
                      <a:rPr lang="es-CO" sz="1100" b="1" i="1">
                        <a:latin typeface="Cambria Math" panose="02040503050406030204" pitchFamily="18" charset="0"/>
                      </a:rPr>
                      <m:t>)</m:t>
                    </m:r>
                  </m:oMath>
                </m:oMathPara>
              </a14:m>
              <a:endParaRPr lang="es-CO" sz="1100" b="1"/>
            </a:p>
          </xdr:txBody>
        </xdr:sp>
      </mc:Choice>
      <mc:Fallback xmlns="">
        <xdr:sp macro="" textlink="">
          <xdr:nvSpPr>
            <xdr:cNvPr id="7" name="CuadroTexto 6">
              <a:extLst>
                <a:ext uri="{FF2B5EF4-FFF2-40B4-BE49-F238E27FC236}">
                  <a16:creationId xmlns:a16="http://schemas.microsoft.com/office/drawing/2014/main" id="{0B969605-019C-440E-97D9-7D015BF27FF9}"/>
                </a:ext>
              </a:extLst>
            </xdr:cNvPr>
            <xdr:cNvSpPr txBox="1"/>
          </xdr:nvSpPr>
          <xdr:spPr>
            <a:xfrm>
              <a:off x="1214998" y="244474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𝒕)</a:t>
              </a:r>
              <a:endParaRPr lang="es-CO" sz="1100" b="1"/>
            </a:p>
          </xdr:txBody>
        </xdr:sp>
      </mc:Fallback>
    </mc:AlternateContent>
    <xdr:clientData/>
  </xdr:oneCellAnchor>
  <xdr:oneCellAnchor>
    <xdr:from>
      <xdr:col>1</xdr:col>
      <xdr:colOff>186298</xdr:colOff>
      <xdr:row>64</xdr:row>
      <xdr:rowOff>222250</xdr:rowOff>
    </xdr:from>
    <xdr:ext cx="388696" cy="172227"/>
    <mc:AlternateContent xmlns:mc="http://schemas.openxmlformats.org/markup-compatibility/2006" xmlns:a14="http://schemas.microsoft.com/office/drawing/2010/main">
      <mc:Choice Requires="a14">
        <xdr:sp macro="" textlink="">
          <xdr:nvSpPr>
            <xdr:cNvPr id="8" name="CuadroTexto 7">
              <a:extLst>
                <a:ext uri="{FF2B5EF4-FFF2-40B4-BE49-F238E27FC236}">
                  <a16:creationId xmlns:a16="http://schemas.microsoft.com/office/drawing/2014/main" id="{00000000-0008-0000-0000-000008000000}"/>
                </a:ext>
              </a:extLst>
            </xdr:cNvPr>
            <xdr:cNvSpPr txBox="1"/>
          </xdr:nvSpPr>
          <xdr:spPr>
            <a:xfrm>
              <a:off x="1214998" y="25139650"/>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8" name="CuadroTexto 7">
              <a:extLst>
                <a:ext uri="{FF2B5EF4-FFF2-40B4-BE49-F238E27FC236}">
                  <a16:creationId xmlns:a16="http://schemas.microsoft.com/office/drawing/2014/main" id="{6D13B06A-2E0B-4A16-B87E-1CC96999108D}"/>
                </a:ext>
              </a:extLst>
            </xdr:cNvPr>
            <xdr:cNvSpPr txBox="1"/>
          </xdr:nvSpPr>
          <xdr:spPr>
            <a:xfrm>
              <a:off x="1214998" y="25139650"/>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𝒓)</a:t>
              </a:r>
              <a:endParaRPr lang="es-CO" sz="1100" b="1"/>
            </a:p>
          </xdr:txBody>
        </xdr:sp>
      </mc:Fallback>
    </mc:AlternateContent>
    <xdr:clientData/>
  </xdr:oneCellAnchor>
  <xdr:oneCellAnchor>
    <xdr:from>
      <xdr:col>1</xdr:col>
      <xdr:colOff>265579</xdr:colOff>
      <xdr:row>65</xdr:row>
      <xdr:rowOff>288458</xdr:rowOff>
    </xdr:from>
    <xdr:ext cx="191271" cy="172227"/>
    <mc:AlternateContent xmlns:mc="http://schemas.openxmlformats.org/markup-compatibility/2006" xmlns:a14="http://schemas.microsoft.com/office/drawing/2010/main">
      <mc:Choice Requires="a14">
        <xdr:sp macro="" textlink="">
          <xdr:nvSpPr>
            <xdr:cNvPr id="9" name="CuadroTexto 8">
              <a:extLst>
                <a:ext uri="{FF2B5EF4-FFF2-40B4-BE49-F238E27FC236}">
                  <a16:creationId xmlns:a16="http://schemas.microsoft.com/office/drawing/2014/main" id="{00000000-0008-0000-0000-000009000000}"/>
                </a:ext>
              </a:extLst>
            </xdr:cNvPr>
            <xdr:cNvSpPr txBox="1"/>
          </xdr:nvSpPr>
          <xdr:spPr>
            <a:xfrm>
              <a:off x="1294279" y="2594245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𝒃</m:t>
                        </m:r>
                      </m:sub>
                    </m:sSub>
                  </m:oMath>
                </m:oMathPara>
              </a14:m>
              <a:endParaRPr lang="es-CO" sz="1100" b="1"/>
            </a:p>
          </xdr:txBody>
        </xdr:sp>
      </mc:Choice>
      <mc:Fallback xmlns="">
        <xdr:sp macro="" textlink="">
          <xdr:nvSpPr>
            <xdr:cNvPr id="9" name="CuadroTexto 8">
              <a:extLst>
                <a:ext uri="{FF2B5EF4-FFF2-40B4-BE49-F238E27FC236}">
                  <a16:creationId xmlns:a16="http://schemas.microsoft.com/office/drawing/2014/main" id="{E5D22B03-EF9C-4536-97A4-124365206342}"/>
                </a:ext>
              </a:extLst>
            </xdr:cNvPr>
            <xdr:cNvSpPr txBox="1"/>
          </xdr:nvSpPr>
          <xdr:spPr>
            <a:xfrm>
              <a:off x="1294279" y="2594245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𝒖_𝒃</a:t>
              </a:r>
              <a:endParaRPr lang="es-CO" sz="1100" b="1"/>
            </a:p>
          </xdr:txBody>
        </xdr:sp>
      </mc:Fallback>
    </mc:AlternateContent>
    <xdr:clientData/>
  </xdr:oneCellAnchor>
  <xdr:oneCellAnchor>
    <xdr:from>
      <xdr:col>1</xdr:col>
      <xdr:colOff>261391</xdr:colOff>
      <xdr:row>66</xdr:row>
      <xdr:rowOff>294234</xdr:rowOff>
    </xdr:from>
    <xdr:ext cx="195053" cy="172227"/>
    <mc:AlternateContent xmlns:mc="http://schemas.openxmlformats.org/markup-compatibility/2006" xmlns:a14="http://schemas.microsoft.com/office/drawing/2010/main">
      <mc:Choice Requires="a14">
        <xdr:sp macro="" textlink="">
          <xdr:nvSpPr>
            <xdr:cNvPr id="10" name="CuadroTexto 9">
              <a:extLst>
                <a:ext uri="{FF2B5EF4-FFF2-40B4-BE49-F238E27FC236}">
                  <a16:creationId xmlns:a16="http://schemas.microsoft.com/office/drawing/2014/main" id="{00000000-0008-0000-0000-00000A000000}"/>
                </a:ext>
              </a:extLst>
            </xdr:cNvPr>
            <xdr:cNvSpPr txBox="1"/>
          </xdr:nvSpPr>
          <xdr:spPr>
            <a:xfrm>
              <a:off x="1344860" y="26976140"/>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𝒅</m:t>
                        </m:r>
                      </m:sub>
                    </m:sSub>
                  </m:oMath>
                </m:oMathPara>
              </a14:m>
              <a:endParaRPr lang="es-CO" sz="1100" b="1"/>
            </a:p>
          </xdr:txBody>
        </xdr:sp>
      </mc:Choice>
      <mc:Fallback xmlns="">
        <xdr:sp macro="" textlink="">
          <xdr:nvSpPr>
            <xdr:cNvPr id="10" name="CuadroTexto 9">
              <a:extLst>
                <a:ext uri="{FF2B5EF4-FFF2-40B4-BE49-F238E27FC236}">
                  <a16:creationId xmlns:a16="http://schemas.microsoft.com/office/drawing/2014/main" xmlns:a14="http://schemas.microsoft.com/office/drawing/2010/main" xmlns="" id="{CC18AD6D-D471-4D5F-B11C-FCF08684CA8A}"/>
                </a:ext>
              </a:extLst>
            </xdr:cNvPr>
            <xdr:cNvSpPr txBox="1"/>
          </xdr:nvSpPr>
          <xdr:spPr>
            <a:xfrm>
              <a:off x="1344860" y="26976140"/>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a:rPr>
                <a:t>_</a:t>
              </a:r>
              <a:r>
                <a:rPr lang="es-CO" sz="1100" b="1" i="0">
                  <a:latin typeface="Cambria Math" panose="02040503050406030204" pitchFamily="18" charset="0"/>
                </a:rPr>
                <a:t>𝒅</a:t>
              </a:r>
              <a:endParaRPr lang="es-CO" sz="1100" b="1"/>
            </a:p>
          </xdr:txBody>
        </xdr:sp>
      </mc:Fallback>
    </mc:AlternateContent>
    <xdr:clientData/>
  </xdr:oneCellAnchor>
  <xdr:oneCellAnchor>
    <xdr:from>
      <xdr:col>5</xdr:col>
      <xdr:colOff>417383</xdr:colOff>
      <xdr:row>69</xdr:row>
      <xdr:rowOff>114306</xdr:rowOff>
    </xdr:from>
    <xdr:ext cx="529697" cy="172227"/>
    <mc:AlternateContent xmlns:mc="http://schemas.openxmlformats.org/markup-compatibility/2006" xmlns:a14="http://schemas.microsoft.com/office/drawing/2010/main">
      <mc:Choice Requires="a14">
        <xdr:sp macro="" textlink="">
          <xdr:nvSpPr>
            <xdr:cNvPr id="11" name="CuadroTexto 10">
              <a:extLst>
                <a:ext uri="{FF2B5EF4-FFF2-40B4-BE49-F238E27FC236}">
                  <a16:creationId xmlns:a16="http://schemas.microsoft.com/office/drawing/2014/main" id="{00000000-0008-0000-0000-00000B000000}"/>
                </a:ext>
              </a:extLst>
            </xdr:cNvPr>
            <xdr:cNvSpPr txBox="1"/>
          </xdr:nvSpPr>
          <xdr:spPr>
            <a:xfrm>
              <a:off x="6148258" y="28609931"/>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𝒄</m:t>
                        </m:r>
                      </m:sub>
                    </m:sSub>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11" name="CuadroTexto 10">
              <a:extLst>
                <a:ext uri="{FF2B5EF4-FFF2-40B4-BE49-F238E27FC236}">
                  <a16:creationId xmlns:a16="http://schemas.microsoft.com/office/drawing/2014/main" id="{F55AB2D5-52A4-43B6-B5D7-720CC94D7F2B}"/>
                </a:ext>
              </a:extLst>
            </xdr:cNvPr>
            <xdr:cNvSpPr txBox="1"/>
          </xdr:nvSpPr>
          <xdr:spPr>
            <a:xfrm>
              <a:off x="6148258" y="28609931"/>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𝒖_𝒄 (</a:t>
              </a:r>
              <a:r>
                <a:rPr lang="es-CO" sz="1100" b="1" i="0">
                  <a:latin typeface="Cambria Math" panose="02040503050406030204" pitchFamily="18" charset="0"/>
                  <a:ea typeface="Cambria Math" panose="02040503050406030204" pitchFamily="18" charset="0"/>
                </a:rPr>
                <a:t>𝒎_𝒄𝒕)</a:t>
              </a:r>
              <a:endParaRPr lang="es-CO" sz="1100" b="1"/>
            </a:p>
          </xdr:txBody>
        </xdr:sp>
      </mc:Fallback>
    </mc:AlternateContent>
    <xdr:clientData/>
  </xdr:oneCellAnchor>
  <xdr:oneCellAnchor>
    <xdr:from>
      <xdr:col>5</xdr:col>
      <xdr:colOff>243965</xdr:colOff>
      <xdr:row>70</xdr:row>
      <xdr:rowOff>130277</xdr:rowOff>
    </xdr:from>
    <xdr:ext cx="780598" cy="172227"/>
    <mc:AlternateContent xmlns:mc="http://schemas.openxmlformats.org/markup-compatibility/2006" xmlns:a14="http://schemas.microsoft.com/office/drawing/2010/main">
      <mc:Choice Requires="a14">
        <xdr:sp macro="" textlink="">
          <xdr:nvSpPr>
            <xdr:cNvPr id="12" name="CuadroTexto 11">
              <a:extLst>
                <a:ext uri="{FF2B5EF4-FFF2-40B4-BE49-F238E27FC236}">
                  <a16:creationId xmlns:a16="http://schemas.microsoft.com/office/drawing/2014/main" id="{00000000-0008-0000-0000-00000C000000}"/>
                </a:ext>
              </a:extLst>
            </xdr:cNvPr>
            <xdr:cNvSpPr txBox="1"/>
          </xdr:nvSpPr>
          <xdr:spPr>
            <a:xfrm>
              <a:off x="5971665" y="2873702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100" b="1" i="1">
                      <a:latin typeface="Cambria Math" panose="02040503050406030204" pitchFamily="18" charset="0"/>
                    </a:rPr>
                    <m:t>𝑼</m:t>
                  </m:r>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a14:m>
              <a:r>
                <a:rPr lang="es-CO" sz="1100" b="1"/>
                <a:t> (k=2)</a:t>
              </a:r>
            </a:p>
          </xdr:txBody>
        </xdr:sp>
      </mc:Choice>
      <mc:Fallback xmlns="">
        <xdr:sp macro="" textlink="">
          <xdr:nvSpPr>
            <xdr:cNvPr id="12" name="CuadroTexto 11">
              <a:extLst>
                <a:ext uri="{FF2B5EF4-FFF2-40B4-BE49-F238E27FC236}">
                  <a16:creationId xmlns:a16="http://schemas.microsoft.com/office/drawing/2014/main" id="{92305B48-FDB3-4464-A429-599CC391C929}"/>
                </a:ext>
              </a:extLst>
            </xdr:cNvPr>
            <xdr:cNvSpPr txBox="1"/>
          </xdr:nvSpPr>
          <xdr:spPr>
            <a:xfrm>
              <a:off x="5971665" y="2873702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100" b="1" i="0">
                  <a:latin typeface="Cambria Math" panose="02040503050406030204" pitchFamily="18" charset="0"/>
                </a:rPr>
                <a:t>𝑼(</a:t>
              </a:r>
              <a:r>
                <a:rPr lang="es-CO" sz="1100" b="1" i="0">
                  <a:latin typeface="Cambria Math" panose="02040503050406030204" pitchFamily="18" charset="0"/>
                  <a:ea typeface="Cambria Math" panose="02040503050406030204" pitchFamily="18" charset="0"/>
                </a:rPr>
                <a:t>𝒎_𝒄𝒕)</a:t>
              </a:r>
              <a:r>
                <a:rPr lang="es-CO" sz="1100" b="1"/>
                <a:t> (k=2)</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13" name="CuadroTexto 12">
              <a:extLst>
                <a:ext uri="{FF2B5EF4-FFF2-40B4-BE49-F238E27FC236}">
                  <a16:creationId xmlns:a16="http://schemas.microsoft.com/office/drawing/2014/main" id="{00000000-0008-0000-0000-00000D000000}"/>
                </a:ext>
              </a:extLst>
            </xdr:cNvPr>
            <xdr:cNvSpPr txBox="1"/>
          </xdr:nvSpPr>
          <xdr:spPr>
            <a:xfrm>
              <a:off x="262917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13" name="CuadroTexto 12">
              <a:extLst>
                <a:ext uri="{FF2B5EF4-FFF2-40B4-BE49-F238E27FC236}">
                  <a16:creationId xmlns:a16="http://schemas.microsoft.com/office/drawing/2014/main" id="{8EAD99FE-562F-479F-B77E-26C0AC499DF4}"/>
                </a:ext>
              </a:extLst>
            </xdr:cNvPr>
            <xdr:cNvSpPr txBox="1"/>
          </xdr:nvSpPr>
          <xdr:spPr>
            <a:xfrm>
              <a:off x="262917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8</xdr:col>
      <xdr:colOff>541269</xdr:colOff>
      <xdr:row>52</xdr:row>
      <xdr:rowOff>78683</xdr:rowOff>
    </xdr:from>
    <xdr:ext cx="304571" cy="172227"/>
    <mc:AlternateContent xmlns:mc="http://schemas.openxmlformats.org/markup-compatibility/2006" xmlns:a14="http://schemas.microsoft.com/office/drawing/2010/main">
      <mc:Choice Requires="a14">
        <xdr:sp macro="" textlink="">
          <xdr:nvSpPr>
            <xdr:cNvPr id="14" name="CuadroTexto 13">
              <a:extLst>
                <a:ext uri="{FF2B5EF4-FFF2-40B4-BE49-F238E27FC236}">
                  <a16:creationId xmlns:a16="http://schemas.microsoft.com/office/drawing/2014/main" id="{00000000-0008-0000-0000-00000E000000}"/>
                </a:ext>
              </a:extLst>
            </xdr:cNvPr>
            <xdr:cNvSpPr txBox="1"/>
          </xdr:nvSpPr>
          <xdr:spPr>
            <a:xfrm>
              <a:off x="10371069" y="18595283"/>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oMath>
                </m:oMathPara>
              </a14:m>
              <a:endParaRPr lang="es-CO" sz="1100" b="1"/>
            </a:p>
          </xdr:txBody>
        </xdr:sp>
      </mc:Choice>
      <mc:Fallback xmlns="">
        <xdr:sp macro="" textlink="">
          <xdr:nvSpPr>
            <xdr:cNvPr id="14" name="CuadroTexto 13">
              <a:extLst>
                <a:ext uri="{FF2B5EF4-FFF2-40B4-BE49-F238E27FC236}">
                  <a16:creationId xmlns:a16="http://schemas.microsoft.com/office/drawing/2014/main" id="{62B52021-8096-45CA-84DB-81D16CE7240E}"/>
                </a:ext>
              </a:extLst>
            </xdr:cNvPr>
            <xdr:cNvSpPr txBox="1"/>
          </xdr:nvSpPr>
          <xdr:spPr>
            <a:xfrm>
              <a:off x="10371069" y="18595283"/>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4</xdr:col>
      <xdr:colOff>155713</xdr:colOff>
      <xdr:row>39</xdr:row>
      <xdr:rowOff>106017</xdr:rowOff>
    </xdr:from>
    <xdr:ext cx="65" cy="172227"/>
    <xdr:sp macro="" textlink="">
      <xdr:nvSpPr>
        <xdr:cNvPr id="15" name="CuadroTexto 14">
          <a:extLst>
            <a:ext uri="{FF2B5EF4-FFF2-40B4-BE49-F238E27FC236}">
              <a16:creationId xmlns:a16="http://schemas.microsoft.com/office/drawing/2014/main" id="{00000000-0008-0000-0000-00000F000000}"/>
            </a:ext>
          </a:extLst>
        </xdr:cNvPr>
        <xdr:cNvSpPr txBox="1"/>
      </xdr:nvSpPr>
      <xdr:spPr>
        <a:xfrm>
          <a:off x="4797563" y="1369501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16" name="CuadroTexto 15">
              <a:extLst>
                <a:ext uri="{FF2B5EF4-FFF2-40B4-BE49-F238E27FC236}">
                  <a16:creationId xmlns:a16="http://schemas.microsoft.com/office/drawing/2014/main" id="{00000000-0008-0000-0000-000010000000}"/>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6" name="CuadroTexto 15">
              <a:extLst>
                <a:ext uri="{FF2B5EF4-FFF2-40B4-BE49-F238E27FC236}">
                  <a16:creationId xmlns:a16="http://schemas.microsoft.com/office/drawing/2014/main" id="{A62E1A2F-741D-4AC8-BBEF-187E5B8F7370}"/>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17" name="CuadroTexto 16">
              <a:extLst>
                <a:ext uri="{FF2B5EF4-FFF2-40B4-BE49-F238E27FC236}">
                  <a16:creationId xmlns:a16="http://schemas.microsoft.com/office/drawing/2014/main" id="{00000000-0008-0000-0000-000011000000}"/>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17" name="CuadroTexto 16">
              <a:extLst>
                <a:ext uri="{FF2B5EF4-FFF2-40B4-BE49-F238E27FC236}">
                  <a16:creationId xmlns:a16="http://schemas.microsoft.com/office/drawing/2014/main" id="{E2380213-D62D-4132-87F8-9FD304AADCC1}"/>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18" name="CuadroTexto 17">
              <a:extLst>
                <a:ext uri="{FF2B5EF4-FFF2-40B4-BE49-F238E27FC236}">
                  <a16:creationId xmlns:a16="http://schemas.microsoft.com/office/drawing/2014/main" id="{00000000-0008-0000-0000-000012000000}"/>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8" name="CuadroTexto 17">
              <a:extLst>
                <a:ext uri="{FF2B5EF4-FFF2-40B4-BE49-F238E27FC236}">
                  <a16:creationId xmlns:a16="http://schemas.microsoft.com/office/drawing/2014/main" id="{CC7FDAE0-C70D-46D5-BDE6-6DD6346A5BB0}"/>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19" name="CuadroTexto 18">
              <a:extLst>
                <a:ext uri="{FF2B5EF4-FFF2-40B4-BE49-F238E27FC236}">
                  <a16:creationId xmlns:a16="http://schemas.microsoft.com/office/drawing/2014/main" id="{00000000-0008-0000-0000-000013000000}"/>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19" name="CuadroTexto 18">
              <a:extLst>
                <a:ext uri="{FF2B5EF4-FFF2-40B4-BE49-F238E27FC236}">
                  <a16:creationId xmlns:a16="http://schemas.microsoft.com/office/drawing/2014/main" id="{454FB226-04F4-4558-B161-9CA69EAEA3CD}"/>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0" name="CuadroTexto 19">
          <a:extLst>
            <a:ext uri="{FF2B5EF4-FFF2-40B4-BE49-F238E27FC236}">
              <a16:creationId xmlns:a16="http://schemas.microsoft.com/office/drawing/2014/main" id="{00000000-0008-0000-0000-000014000000}"/>
            </a:ext>
          </a:extLst>
        </xdr:cNvPr>
        <xdr:cNvSpPr txBox="1"/>
      </xdr:nvSpPr>
      <xdr:spPr>
        <a:xfrm>
          <a:off x="1376572" y="14521621"/>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3</xdr:col>
      <xdr:colOff>236456</xdr:colOff>
      <xdr:row>73</xdr:row>
      <xdr:rowOff>141002</xdr:rowOff>
    </xdr:from>
    <xdr:ext cx="730521" cy="219163"/>
    <mc:AlternateContent xmlns:mc="http://schemas.openxmlformats.org/markup-compatibility/2006" xmlns:a14="http://schemas.microsoft.com/office/drawing/2010/main">
      <mc:Choice Requires="a14">
        <xdr:sp macro="" textlink="">
          <xdr:nvSpPr>
            <xdr:cNvPr id="21" name="CuadroTexto 20">
              <a:extLst>
                <a:ext uri="{FF2B5EF4-FFF2-40B4-BE49-F238E27FC236}">
                  <a16:creationId xmlns:a16="http://schemas.microsoft.com/office/drawing/2014/main" id="{00000000-0008-0000-0000-000015000000}"/>
                </a:ext>
              </a:extLst>
            </xdr:cNvPr>
            <xdr:cNvSpPr txBox="1"/>
          </xdr:nvSpPr>
          <xdr:spPr>
            <a:xfrm>
              <a:off x="3690856" y="30062202"/>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m:t>
                  </m:r>
                  <m:sSub>
                    <m:sSubPr>
                      <m:ctrlPr>
                        <a:rPr lang="es-CO" sz="1400" b="1" i="1">
                          <a:latin typeface="Cambria Math" panose="02040503050406030204" pitchFamily="18" charset="0"/>
                          <a:ea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𝒎</m:t>
                      </m:r>
                    </m:e>
                    <m:sub>
                      <m:r>
                        <a:rPr lang="es-CO" sz="1400" b="1" i="1">
                          <a:latin typeface="Cambria Math" panose="02040503050406030204" pitchFamily="18" charset="0"/>
                          <a:ea typeface="Cambria Math" panose="02040503050406030204" pitchFamily="18" charset="0"/>
                        </a:rPr>
                        <m:t>𝒄</m:t>
                      </m:r>
                    </m:sub>
                  </m:sSub>
                </m:oMath>
              </a14:m>
              <a:r>
                <a:rPr lang="es-CO" sz="1400" b="1" i="1"/>
                <a:t> (mg</a:t>
              </a:r>
              <a:r>
                <a:rPr lang="es-CO" sz="1200" b="1" i="0"/>
                <a:t>)</a:t>
              </a:r>
            </a:p>
          </xdr:txBody>
        </xdr:sp>
      </mc:Choice>
      <mc:Fallback xmlns="">
        <xdr:sp macro="" textlink="">
          <xdr:nvSpPr>
            <xdr:cNvPr id="21" name="CuadroTexto 20">
              <a:extLst>
                <a:ext uri="{FF2B5EF4-FFF2-40B4-BE49-F238E27FC236}">
                  <a16:creationId xmlns:a16="http://schemas.microsoft.com/office/drawing/2014/main" id="{77B4B6B5-482F-40A4-8579-37E1348E4F6C}"/>
                </a:ext>
              </a:extLst>
            </xdr:cNvPr>
            <xdr:cNvSpPr txBox="1"/>
          </xdr:nvSpPr>
          <xdr:spPr>
            <a:xfrm>
              <a:off x="3690856" y="30062202"/>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400" b="1" i="0">
                  <a:latin typeface="Cambria Math" panose="02040503050406030204" pitchFamily="18" charset="0"/>
                  <a:ea typeface="Cambria Math" panose="02040503050406030204" pitchFamily="18" charset="0"/>
                </a:rPr>
                <a:t>∆𝒎_𝒄</a:t>
              </a:r>
              <a:r>
                <a:rPr lang="es-CO" sz="1400" b="1" i="1"/>
                <a:t> (mg</a:t>
              </a:r>
              <a:r>
                <a:rPr lang="es-CO" sz="1200" b="1" i="0"/>
                <a:t>)</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22" name="CuadroTexto 21">
              <a:extLst>
                <a:ext uri="{FF2B5EF4-FFF2-40B4-BE49-F238E27FC236}">
                  <a16:creationId xmlns:a16="http://schemas.microsoft.com/office/drawing/2014/main" id="{00000000-0008-0000-0000-000016000000}"/>
                </a:ext>
              </a:extLst>
            </xdr:cNvPr>
            <xdr:cNvSpPr txBox="1"/>
          </xdr:nvSpPr>
          <xdr:spPr>
            <a:xfrm>
              <a:off x="262917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22" name="CuadroTexto 21">
              <a:extLst>
                <a:ext uri="{FF2B5EF4-FFF2-40B4-BE49-F238E27FC236}">
                  <a16:creationId xmlns:a16="http://schemas.microsoft.com/office/drawing/2014/main" id="{DDE88F06-F65F-4D35-99E1-C66E10F5E467}"/>
                </a:ext>
              </a:extLst>
            </xdr:cNvPr>
            <xdr:cNvSpPr txBox="1"/>
          </xdr:nvSpPr>
          <xdr:spPr>
            <a:xfrm>
              <a:off x="262917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23" name="CuadroTexto 22">
          <a:extLst>
            <a:ext uri="{FF2B5EF4-FFF2-40B4-BE49-F238E27FC236}">
              <a16:creationId xmlns:a16="http://schemas.microsoft.com/office/drawing/2014/main" id="{00000000-0008-0000-0000-000017000000}"/>
            </a:ext>
          </a:extLst>
        </xdr:cNvPr>
        <xdr:cNvSpPr txBox="1"/>
      </xdr:nvSpPr>
      <xdr:spPr>
        <a:xfrm>
          <a:off x="4797563" y="1369501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24" name="CuadroTexto 23">
              <a:extLst>
                <a:ext uri="{FF2B5EF4-FFF2-40B4-BE49-F238E27FC236}">
                  <a16:creationId xmlns:a16="http://schemas.microsoft.com/office/drawing/2014/main" id="{00000000-0008-0000-0000-000018000000}"/>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4" name="CuadroTexto 23">
              <a:extLst>
                <a:ext uri="{FF2B5EF4-FFF2-40B4-BE49-F238E27FC236}">
                  <a16:creationId xmlns:a16="http://schemas.microsoft.com/office/drawing/2014/main" id="{33A7AAFE-FF71-478A-A648-819047DD4535}"/>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25" name="CuadroTexto 24">
              <a:extLst>
                <a:ext uri="{FF2B5EF4-FFF2-40B4-BE49-F238E27FC236}">
                  <a16:creationId xmlns:a16="http://schemas.microsoft.com/office/drawing/2014/main" id="{00000000-0008-0000-0000-000019000000}"/>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5" name="CuadroTexto 24">
              <a:extLst>
                <a:ext uri="{FF2B5EF4-FFF2-40B4-BE49-F238E27FC236}">
                  <a16:creationId xmlns:a16="http://schemas.microsoft.com/office/drawing/2014/main" id="{666CAB06-F36F-4A37-8A1B-8491268B02B4}"/>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26" name="CuadroTexto 25">
              <a:extLst>
                <a:ext uri="{FF2B5EF4-FFF2-40B4-BE49-F238E27FC236}">
                  <a16:creationId xmlns:a16="http://schemas.microsoft.com/office/drawing/2014/main" id="{00000000-0008-0000-0000-00001A000000}"/>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6" name="CuadroTexto 25">
              <a:extLst>
                <a:ext uri="{FF2B5EF4-FFF2-40B4-BE49-F238E27FC236}">
                  <a16:creationId xmlns:a16="http://schemas.microsoft.com/office/drawing/2014/main" id="{57A14E26-FBF0-4A5A-8CDD-66238D2025F7}"/>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7" name="CuadroTexto 26">
              <a:extLst>
                <a:ext uri="{FF2B5EF4-FFF2-40B4-BE49-F238E27FC236}">
                  <a16:creationId xmlns:a16="http://schemas.microsoft.com/office/drawing/2014/main" id="{00000000-0008-0000-0000-00001B000000}"/>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7" name="CuadroTexto 26">
              <a:extLst>
                <a:ext uri="{FF2B5EF4-FFF2-40B4-BE49-F238E27FC236}">
                  <a16:creationId xmlns:a16="http://schemas.microsoft.com/office/drawing/2014/main" id="{BA8E5182-F68F-4720-8846-16805DE810AD}"/>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8" name="CuadroTexto 27">
          <a:extLst>
            <a:ext uri="{FF2B5EF4-FFF2-40B4-BE49-F238E27FC236}">
              <a16:creationId xmlns:a16="http://schemas.microsoft.com/office/drawing/2014/main" id="{00000000-0008-0000-0000-00001C000000}"/>
            </a:ext>
          </a:extLst>
        </xdr:cNvPr>
        <xdr:cNvSpPr txBox="1"/>
      </xdr:nvSpPr>
      <xdr:spPr>
        <a:xfrm>
          <a:off x="1376572" y="14521621"/>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29" name="CuadroTexto 28">
              <a:extLst>
                <a:ext uri="{FF2B5EF4-FFF2-40B4-BE49-F238E27FC236}">
                  <a16:creationId xmlns:a16="http://schemas.microsoft.com/office/drawing/2014/main" id="{00000000-0008-0000-0000-00001D000000}"/>
                </a:ext>
              </a:extLst>
            </xdr:cNvPr>
            <xdr:cNvSpPr txBox="1"/>
          </xdr:nvSpPr>
          <xdr:spPr>
            <a:xfrm>
              <a:off x="262917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29" name="CuadroTexto 28">
              <a:extLst>
                <a:ext uri="{FF2B5EF4-FFF2-40B4-BE49-F238E27FC236}">
                  <a16:creationId xmlns:a16="http://schemas.microsoft.com/office/drawing/2014/main" id="{D996E812-3697-41B8-88BC-5A9F9E72396E}"/>
                </a:ext>
              </a:extLst>
            </xdr:cNvPr>
            <xdr:cNvSpPr txBox="1"/>
          </xdr:nvSpPr>
          <xdr:spPr>
            <a:xfrm>
              <a:off x="262917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30" name="CuadroTexto 29">
          <a:extLst>
            <a:ext uri="{FF2B5EF4-FFF2-40B4-BE49-F238E27FC236}">
              <a16:creationId xmlns:a16="http://schemas.microsoft.com/office/drawing/2014/main" id="{00000000-0008-0000-0000-00001E000000}"/>
            </a:ext>
          </a:extLst>
        </xdr:cNvPr>
        <xdr:cNvSpPr txBox="1"/>
      </xdr:nvSpPr>
      <xdr:spPr>
        <a:xfrm>
          <a:off x="4797563" y="1369501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31" name="CuadroTexto 30">
              <a:extLst>
                <a:ext uri="{FF2B5EF4-FFF2-40B4-BE49-F238E27FC236}">
                  <a16:creationId xmlns:a16="http://schemas.microsoft.com/office/drawing/2014/main" id="{00000000-0008-0000-0000-00001F000000}"/>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1" name="CuadroTexto 30">
              <a:extLst>
                <a:ext uri="{FF2B5EF4-FFF2-40B4-BE49-F238E27FC236}">
                  <a16:creationId xmlns:a16="http://schemas.microsoft.com/office/drawing/2014/main" id="{71D183C4-B5C0-4C50-B3FE-4AD5D362488B}"/>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32" name="CuadroTexto 31">
              <a:extLst>
                <a:ext uri="{FF2B5EF4-FFF2-40B4-BE49-F238E27FC236}">
                  <a16:creationId xmlns:a16="http://schemas.microsoft.com/office/drawing/2014/main" id="{00000000-0008-0000-0000-000020000000}"/>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2" name="CuadroTexto 31">
              <a:extLst>
                <a:ext uri="{FF2B5EF4-FFF2-40B4-BE49-F238E27FC236}">
                  <a16:creationId xmlns:a16="http://schemas.microsoft.com/office/drawing/2014/main" id="{7AAE53EB-012A-444F-8217-498DFDDA6AC9}"/>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33" name="CuadroTexto 32">
              <a:extLst>
                <a:ext uri="{FF2B5EF4-FFF2-40B4-BE49-F238E27FC236}">
                  <a16:creationId xmlns:a16="http://schemas.microsoft.com/office/drawing/2014/main" id="{00000000-0008-0000-0000-000021000000}"/>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3" name="CuadroTexto 32">
              <a:extLst>
                <a:ext uri="{FF2B5EF4-FFF2-40B4-BE49-F238E27FC236}">
                  <a16:creationId xmlns:a16="http://schemas.microsoft.com/office/drawing/2014/main" id="{61EAE884-43D3-41D9-A0B1-DDA29DD37CF9}"/>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34" name="CuadroTexto 33">
              <a:extLst>
                <a:ext uri="{FF2B5EF4-FFF2-40B4-BE49-F238E27FC236}">
                  <a16:creationId xmlns:a16="http://schemas.microsoft.com/office/drawing/2014/main" id="{00000000-0008-0000-0000-000022000000}"/>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4" name="CuadroTexto 33">
              <a:extLst>
                <a:ext uri="{FF2B5EF4-FFF2-40B4-BE49-F238E27FC236}">
                  <a16:creationId xmlns:a16="http://schemas.microsoft.com/office/drawing/2014/main" id="{5FF34370-8039-41C8-A5BD-868E36F25B9A}"/>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35" name="CuadroTexto 34">
          <a:extLst>
            <a:ext uri="{FF2B5EF4-FFF2-40B4-BE49-F238E27FC236}">
              <a16:creationId xmlns:a16="http://schemas.microsoft.com/office/drawing/2014/main" id="{00000000-0008-0000-0000-000023000000}"/>
            </a:ext>
          </a:extLst>
        </xdr:cNvPr>
        <xdr:cNvSpPr txBox="1"/>
      </xdr:nvSpPr>
      <xdr:spPr>
        <a:xfrm>
          <a:off x="1376572" y="14521621"/>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11</xdr:col>
      <xdr:colOff>628650</xdr:colOff>
      <xdr:row>61</xdr:row>
      <xdr:rowOff>0</xdr:rowOff>
    </xdr:from>
    <xdr:ext cx="65" cy="172227"/>
    <xdr:sp macro="" textlink="">
      <xdr:nvSpPr>
        <xdr:cNvPr id="37" name="CuadroTexto 36">
          <a:extLst>
            <a:ext uri="{FF2B5EF4-FFF2-40B4-BE49-F238E27FC236}">
              <a16:creationId xmlns:a16="http://schemas.microsoft.com/office/drawing/2014/main" id="{00000000-0008-0000-0000-000025000000}"/>
            </a:ext>
          </a:extLst>
        </xdr:cNvPr>
        <xdr:cNvSpPr txBox="1"/>
      </xdr:nvSpPr>
      <xdr:spPr>
        <a:xfrm>
          <a:off x="13182600" y="22707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5</xdr:col>
      <xdr:colOff>539750</xdr:colOff>
      <xdr:row>73</xdr:row>
      <xdr:rowOff>158749</xdr:rowOff>
    </xdr:from>
    <xdr:ext cx="984250" cy="210507"/>
    <mc:AlternateContent xmlns:mc="http://schemas.openxmlformats.org/markup-compatibility/2006" xmlns:a14="http://schemas.microsoft.com/office/drawing/2010/main">
      <mc:Choice Requires="a14">
        <xdr:sp macro="" textlink="">
          <xdr:nvSpPr>
            <xdr:cNvPr id="38" name="CuadroTexto 37">
              <a:extLst>
                <a:ext uri="{FF2B5EF4-FFF2-40B4-BE49-F238E27FC236}">
                  <a16:creationId xmlns:a16="http://schemas.microsoft.com/office/drawing/2014/main" id="{00000000-0008-0000-0000-000026000000}"/>
                </a:ext>
              </a:extLst>
            </xdr:cNvPr>
            <xdr:cNvSpPr txBox="1"/>
          </xdr:nvSpPr>
          <xdr:spPr>
            <a:xfrm>
              <a:off x="6267450" y="30079949"/>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𝒆</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38" name="CuadroTexto 37">
              <a:extLst>
                <a:ext uri="{FF2B5EF4-FFF2-40B4-BE49-F238E27FC236}">
                  <a16:creationId xmlns:a16="http://schemas.microsoft.com/office/drawing/2014/main" id="{778E4E14-C79F-4C2B-B8D6-929A69EBC8D0}"/>
                </a:ext>
              </a:extLst>
            </xdr:cNvPr>
            <xdr:cNvSpPr txBox="1"/>
          </xdr:nvSpPr>
          <xdr:spPr>
            <a:xfrm>
              <a:off x="6267450" y="30079949"/>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𝒆 𝒄𝒕</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4</xdr:col>
      <xdr:colOff>52917</xdr:colOff>
      <xdr:row>73</xdr:row>
      <xdr:rowOff>148167</xdr:rowOff>
    </xdr:from>
    <xdr:ext cx="984250" cy="210507"/>
    <mc:AlternateContent xmlns:mc="http://schemas.openxmlformats.org/markup-compatibility/2006" xmlns:a14="http://schemas.microsoft.com/office/drawing/2010/main">
      <mc:Choice Requires="a14">
        <xdr:sp macro="" textlink="">
          <xdr:nvSpPr>
            <xdr:cNvPr id="39" name="CuadroTexto 38">
              <a:extLst>
                <a:ext uri="{FF2B5EF4-FFF2-40B4-BE49-F238E27FC236}">
                  <a16:creationId xmlns:a16="http://schemas.microsoft.com/office/drawing/2014/main" id="{00000000-0008-0000-0000-000027000000}"/>
                </a:ext>
              </a:extLst>
            </xdr:cNvPr>
            <xdr:cNvSpPr txBox="1"/>
          </xdr:nvSpPr>
          <xdr:spPr>
            <a:xfrm>
              <a:off x="4694767" y="30069367"/>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39" name="CuadroTexto 38">
              <a:extLst>
                <a:ext uri="{FF2B5EF4-FFF2-40B4-BE49-F238E27FC236}">
                  <a16:creationId xmlns:a16="http://schemas.microsoft.com/office/drawing/2014/main" id="{5311A677-8882-42F8-9B01-07FF67426474}"/>
                </a:ext>
              </a:extLst>
            </xdr:cNvPr>
            <xdr:cNvSpPr txBox="1"/>
          </xdr:nvSpPr>
          <xdr:spPr>
            <a:xfrm>
              <a:off x="4694767" y="30069367"/>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𝒄𝒕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1</xdr:col>
      <xdr:colOff>59530</xdr:colOff>
      <xdr:row>73</xdr:row>
      <xdr:rowOff>95250</xdr:rowOff>
    </xdr:from>
    <xdr:ext cx="1210470" cy="210507"/>
    <mc:AlternateContent xmlns:mc="http://schemas.openxmlformats.org/markup-compatibility/2006" xmlns:a14="http://schemas.microsoft.com/office/drawing/2010/main">
      <mc:Choice Requires="a14">
        <xdr:sp macro="" textlink="">
          <xdr:nvSpPr>
            <xdr:cNvPr id="40" name="CuadroTexto 39">
              <a:extLst>
                <a:ext uri="{FF2B5EF4-FFF2-40B4-BE49-F238E27FC236}">
                  <a16:creationId xmlns:a16="http://schemas.microsoft.com/office/drawing/2014/main" id="{00000000-0008-0000-0000-000028000000}"/>
                </a:ext>
              </a:extLst>
            </xdr:cNvPr>
            <xdr:cNvSpPr txBox="1"/>
          </xdr:nvSpPr>
          <xdr:spPr>
            <a:xfrm>
              <a:off x="1091405" y="29908500"/>
              <a:ext cx="121047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𝑵𝒓</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0" name="CuadroTexto 39">
              <a:extLst>
                <a:ext uri="{FF2B5EF4-FFF2-40B4-BE49-F238E27FC236}">
                  <a16:creationId xmlns:a16="http://schemas.microsoft.com/office/drawing/2014/main" id="{3CE97D2C-1905-4040-93BD-39E329F866A9}"/>
                </a:ext>
              </a:extLst>
            </xdr:cNvPr>
            <xdr:cNvSpPr txBox="1"/>
          </xdr:nvSpPr>
          <xdr:spPr>
            <a:xfrm>
              <a:off x="1091405" y="29908500"/>
              <a:ext cx="121047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𝑵𝒓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8</xdr:col>
      <xdr:colOff>632354</xdr:colOff>
      <xdr:row>73</xdr:row>
      <xdr:rowOff>174626</xdr:rowOff>
    </xdr:from>
    <xdr:ext cx="1524000" cy="210507"/>
    <mc:AlternateContent xmlns:mc="http://schemas.openxmlformats.org/markup-compatibility/2006" xmlns:a14="http://schemas.microsoft.com/office/drawing/2010/main">
      <mc:Choice Requires="a14">
        <xdr:sp macro="" textlink="">
          <xdr:nvSpPr>
            <xdr:cNvPr id="41" name="CuadroTexto 40">
              <a:extLst>
                <a:ext uri="{FF2B5EF4-FFF2-40B4-BE49-F238E27FC236}">
                  <a16:creationId xmlns:a16="http://schemas.microsoft.com/office/drawing/2014/main" id="{00000000-0008-0000-0000-000029000000}"/>
                </a:ext>
              </a:extLst>
            </xdr:cNvPr>
            <xdr:cNvSpPr txBox="1"/>
          </xdr:nvSpPr>
          <xdr:spPr>
            <a:xfrm>
              <a:off x="10458979" y="30503814"/>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𝑼</m:t>
                  </m:r>
                  <m:r>
                    <a:rPr lang="es-CO" sz="1400" b="1" i="1">
                      <a:latin typeface="Cambria Math" panose="02040503050406030204" pitchFamily="18" charset="0"/>
                      <a:ea typeface="Cambria Math" panose="02040503050406030204" pitchFamily="18" charset="0"/>
                    </a:rPr>
                    <m:t> </m:t>
                  </m:r>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 </m:t>
                  </m:r>
                  <m:r>
                    <a:rPr lang="es-CO" sz="1400" b="1" i="1">
                      <a:latin typeface="Cambria Math" panose="02040503050406030204" pitchFamily="18" charset="0"/>
                      <a:ea typeface="Cambria Math" panose="02040503050406030204" pitchFamily="18" charset="0"/>
                    </a:rPr>
                    <m:t>𝒌</m:t>
                  </m:r>
                  <m:r>
                    <a:rPr lang="es-CO" sz="1400" b="1" i="1">
                      <a:latin typeface="Cambria Math" panose="02040503050406030204" pitchFamily="18" charset="0"/>
                      <a:ea typeface="Cambria Math" panose="02040503050406030204" pitchFamily="18" charset="0"/>
                    </a:rPr>
                    <m:t>=</m:t>
                  </m:r>
                  <m:r>
                    <a:rPr lang="es-CO" sz="1400" b="1" i="1">
                      <a:latin typeface="Cambria Math" panose="02040503050406030204" pitchFamily="18" charset="0"/>
                      <a:ea typeface="Cambria Math" panose="02040503050406030204" pitchFamily="18" charset="0"/>
                    </a:rPr>
                    <m:t>𝟐</m:t>
                  </m:r>
                </m:oMath>
              </a14:m>
              <a:r>
                <a:rPr lang="es-CO" sz="1400" b="1" i="1">
                  <a:latin typeface="Arial" panose="020B0604020202020204" pitchFamily="34" charset="0"/>
                  <a:cs typeface="Arial" panose="020B0604020202020204" pitchFamily="34" charset="0"/>
                </a:rPr>
                <a:t>)</a:t>
              </a:r>
            </a:p>
          </xdr:txBody>
        </xdr:sp>
      </mc:Choice>
      <mc:Fallback xmlns="">
        <xdr:sp macro="" textlink="">
          <xdr:nvSpPr>
            <xdr:cNvPr id="41" name="CuadroTexto 40">
              <a:extLst>
                <a:ext uri="{FF2B5EF4-FFF2-40B4-BE49-F238E27FC236}">
                  <a16:creationId xmlns:a16="http://schemas.microsoft.com/office/drawing/2014/main" id="{EAC229A2-874C-441D-80B5-62EDD7555BFE}"/>
                </a:ext>
              </a:extLst>
            </xdr:cNvPr>
            <xdr:cNvSpPr txBox="1"/>
          </xdr:nvSpPr>
          <xdr:spPr>
            <a:xfrm>
              <a:off x="10458979" y="30503814"/>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0">
                  <a:latin typeface="Cambria Math" panose="02040503050406030204" pitchFamily="18" charset="0"/>
                  <a:ea typeface="Cambria Math" panose="02040503050406030204" pitchFamily="18" charset="0"/>
                </a:rPr>
                <a:t>𝑼 ( 𝒎 𝒄𝒕 )  ( 𝒌=𝟐</a:t>
              </a:r>
              <a:r>
                <a:rPr lang="es-CO" sz="1400" b="1" i="1">
                  <a:latin typeface="Arial" panose="020B0604020202020204" pitchFamily="34" charset="0"/>
                  <a:cs typeface="Arial" panose="020B0604020202020204" pitchFamily="34" charset="0"/>
                </a:rPr>
                <a:t>)</a:t>
              </a:r>
            </a:p>
          </xdr:txBody>
        </xdr:sp>
      </mc:Fallback>
    </mc:AlternateContent>
    <xdr:clientData/>
  </xdr:oneCellAnchor>
  <xdr:oneCellAnchor>
    <xdr:from>
      <xdr:col>9</xdr:col>
      <xdr:colOff>603252</xdr:colOff>
      <xdr:row>74</xdr:row>
      <xdr:rowOff>84667</xdr:rowOff>
    </xdr:from>
    <xdr:ext cx="465666" cy="219163"/>
    <xdr:sp macro="" textlink="">
      <xdr:nvSpPr>
        <xdr:cNvPr id="42" name="CuadroTexto 41">
          <a:extLst>
            <a:ext uri="{FF2B5EF4-FFF2-40B4-BE49-F238E27FC236}">
              <a16:creationId xmlns:a16="http://schemas.microsoft.com/office/drawing/2014/main" id="{00000000-0008-0000-0000-00002A000000}"/>
            </a:ext>
          </a:extLst>
        </xdr:cNvPr>
        <xdr:cNvSpPr txBox="1"/>
      </xdr:nvSpPr>
      <xdr:spPr>
        <a:xfrm>
          <a:off x="11398252" y="30520217"/>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9</xdr:col>
      <xdr:colOff>571499</xdr:colOff>
      <xdr:row>75</xdr:row>
      <xdr:rowOff>116416</xdr:rowOff>
    </xdr:from>
    <xdr:ext cx="359835" cy="219163"/>
    <xdr:sp macro="" textlink="">
      <xdr:nvSpPr>
        <xdr:cNvPr id="43" name="CuadroTexto 42">
          <a:extLst>
            <a:ext uri="{FF2B5EF4-FFF2-40B4-BE49-F238E27FC236}">
              <a16:creationId xmlns:a16="http://schemas.microsoft.com/office/drawing/2014/main" id="{00000000-0008-0000-0000-00002B000000}"/>
            </a:ext>
          </a:extLst>
        </xdr:cNvPr>
        <xdr:cNvSpPr txBox="1"/>
      </xdr:nvSpPr>
      <xdr:spPr>
        <a:xfrm>
          <a:off x="11366499" y="30996466"/>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6</xdr:col>
      <xdr:colOff>275167</xdr:colOff>
      <xdr:row>74</xdr:row>
      <xdr:rowOff>148166</xdr:rowOff>
    </xdr:from>
    <xdr:ext cx="465666" cy="219163"/>
    <xdr:sp macro="" textlink="">
      <xdr:nvSpPr>
        <xdr:cNvPr id="44" name="CuadroTexto 43">
          <a:extLst>
            <a:ext uri="{FF2B5EF4-FFF2-40B4-BE49-F238E27FC236}">
              <a16:creationId xmlns:a16="http://schemas.microsoft.com/office/drawing/2014/main" id="{00000000-0008-0000-0000-00002C000000}"/>
            </a:ext>
          </a:extLst>
        </xdr:cNvPr>
        <xdr:cNvSpPr txBox="1"/>
      </xdr:nvSpPr>
      <xdr:spPr>
        <a:xfrm>
          <a:off x="7298267" y="30583716"/>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6</xdr:col>
      <xdr:colOff>328083</xdr:colOff>
      <xdr:row>75</xdr:row>
      <xdr:rowOff>84667</xdr:rowOff>
    </xdr:from>
    <xdr:ext cx="359835" cy="219163"/>
    <xdr:sp macro="" textlink="">
      <xdr:nvSpPr>
        <xdr:cNvPr id="45" name="CuadroTexto 44">
          <a:extLst>
            <a:ext uri="{FF2B5EF4-FFF2-40B4-BE49-F238E27FC236}">
              <a16:creationId xmlns:a16="http://schemas.microsoft.com/office/drawing/2014/main" id="{00000000-0008-0000-0000-00002D000000}"/>
            </a:ext>
          </a:extLst>
        </xdr:cNvPr>
        <xdr:cNvSpPr txBox="1"/>
      </xdr:nvSpPr>
      <xdr:spPr>
        <a:xfrm>
          <a:off x="7351183" y="30964717"/>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3</xdr:col>
      <xdr:colOff>560916</xdr:colOff>
      <xdr:row>72</xdr:row>
      <xdr:rowOff>74084</xdr:rowOff>
    </xdr:from>
    <xdr:ext cx="1524000" cy="210507"/>
    <mc:AlternateContent xmlns:mc="http://schemas.openxmlformats.org/markup-compatibility/2006" xmlns:a14="http://schemas.microsoft.com/office/drawing/2010/main">
      <mc:Choice Requires="a14">
        <xdr:sp macro="" textlink="">
          <xdr:nvSpPr>
            <xdr:cNvPr id="46" name="CuadroTexto 45">
              <a:extLst>
                <a:ext uri="{FF2B5EF4-FFF2-40B4-BE49-F238E27FC236}">
                  <a16:creationId xmlns:a16="http://schemas.microsoft.com/office/drawing/2014/main" id="{00000000-0008-0000-0000-00002E000000}"/>
                </a:ext>
              </a:extLst>
            </xdr:cNvPr>
            <xdr:cNvSpPr txBox="1"/>
          </xdr:nvSpPr>
          <xdr:spPr>
            <a:xfrm>
              <a:off x="4015316" y="29550784"/>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m:t>
                    </m:r>
                  </m:oMath>
                </m:oMathPara>
              </a14:m>
              <a:endParaRPr lang="es-CO" sz="1400" b="1" i="1">
                <a:latin typeface="Arial" panose="020B0604020202020204" pitchFamily="34" charset="0"/>
                <a:cs typeface="Arial" panose="020B0604020202020204" pitchFamily="34" charset="0"/>
              </a:endParaRPr>
            </a:p>
          </xdr:txBody>
        </xdr:sp>
      </mc:Choice>
      <mc:Fallback xmlns="">
        <xdr:sp macro="" textlink="">
          <xdr:nvSpPr>
            <xdr:cNvPr id="46" name="CuadroTexto 45">
              <a:extLst>
                <a:ext uri="{FF2B5EF4-FFF2-40B4-BE49-F238E27FC236}">
                  <a16:creationId xmlns:a16="http://schemas.microsoft.com/office/drawing/2014/main" id="{9E40699A-CBAA-4796-8004-135B757E02AD}"/>
                </a:ext>
              </a:extLst>
            </xdr:cNvPr>
            <xdr:cNvSpPr txBox="1"/>
          </xdr:nvSpPr>
          <xdr:spPr>
            <a:xfrm>
              <a:off x="4015316" y="29550784"/>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 𝒎 𝒄𝒕 )   </a:t>
              </a:r>
              <a:endParaRPr lang="es-CO" sz="1400" b="1" i="1">
                <a:latin typeface="Arial" panose="020B0604020202020204" pitchFamily="34" charset="0"/>
                <a:cs typeface="Arial" panose="020B0604020202020204" pitchFamily="34" charset="0"/>
              </a:endParaRPr>
            </a:p>
          </xdr:txBody>
        </xdr:sp>
      </mc:Fallback>
    </mc:AlternateContent>
    <xdr:clientData/>
  </xdr:oneCellAnchor>
  <xdr:oneCellAnchor>
    <xdr:from>
      <xdr:col>7</xdr:col>
      <xdr:colOff>411956</xdr:colOff>
      <xdr:row>71</xdr:row>
      <xdr:rowOff>406003</xdr:rowOff>
    </xdr:from>
    <xdr:ext cx="65" cy="172227"/>
    <xdr:sp macro="" textlink="">
      <xdr:nvSpPr>
        <xdr:cNvPr id="47" name="CuadroTexto 46">
          <a:extLst>
            <a:ext uri="{FF2B5EF4-FFF2-40B4-BE49-F238E27FC236}">
              <a16:creationId xmlns:a16="http://schemas.microsoft.com/office/drawing/2014/main" id="{00000000-0008-0000-0000-00002F000000}"/>
            </a:ext>
          </a:extLst>
        </xdr:cNvPr>
        <xdr:cNvSpPr txBox="1"/>
      </xdr:nvSpPr>
      <xdr:spPr>
        <a:xfrm>
          <a:off x="8533606" y="29457253"/>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49" name="CuadroTexto 48">
              <a:extLst>
                <a:ext uri="{FF2B5EF4-FFF2-40B4-BE49-F238E27FC236}">
                  <a16:creationId xmlns:a16="http://schemas.microsoft.com/office/drawing/2014/main" id="{00000000-0008-0000-0000-000031000000}"/>
                </a:ext>
              </a:extLst>
            </xdr:cNvPr>
            <xdr:cNvSpPr txBox="1"/>
          </xdr:nvSpPr>
          <xdr:spPr>
            <a:xfrm>
              <a:off x="1234281" y="27721719"/>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49" name="CuadroTexto 48">
              <a:extLst>
                <a:ext uri="{FF2B5EF4-FFF2-40B4-BE49-F238E27FC236}">
                  <a16:creationId xmlns:a16="http://schemas.microsoft.com/office/drawing/2014/main" xmlns:a14="http://schemas.microsoft.com/office/drawing/2010/main" xmlns="" id="{D8F76C74-4841-4904-BB69-F60EE8CCC6C6}"/>
                </a:ext>
              </a:extLst>
            </xdr:cNvPr>
            <xdr:cNvSpPr txBox="1"/>
          </xdr:nvSpPr>
          <xdr:spPr>
            <a:xfrm>
              <a:off x="1234281" y="27721719"/>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a:t>
              </a:r>
              <a:r>
                <a:rPr lang="es-CO" sz="1100" b="1" i="0">
                  <a:latin typeface="Cambria Math"/>
                </a:rPr>
                <a:t>_</a:t>
              </a:r>
              <a:r>
                <a:rPr lang="es-MX" sz="1100" b="1" i="0">
                  <a:latin typeface="Cambria Math" panose="02040503050406030204" pitchFamily="18" charset="0"/>
                </a:rPr>
                <a:t>𝒎𝒓</a:t>
              </a:r>
              <a:endParaRPr lang="es-CO" sz="1100" b="1"/>
            </a:p>
          </xdr:txBody>
        </xdr:sp>
      </mc:Fallback>
    </mc:AlternateContent>
    <xdr:clientData/>
  </xdr:oneCellAnchor>
  <xdr:twoCellAnchor>
    <xdr:from>
      <xdr:col>7</xdr:col>
      <xdr:colOff>817563</xdr:colOff>
      <xdr:row>62</xdr:row>
      <xdr:rowOff>166687</xdr:rowOff>
    </xdr:from>
    <xdr:to>
      <xdr:col>11</xdr:col>
      <xdr:colOff>754063</xdr:colOff>
      <xdr:row>64</xdr:row>
      <xdr:rowOff>436562</xdr:rowOff>
    </xdr:to>
    <xdr:graphicFrame macro="">
      <xdr:nvGraphicFramePr>
        <xdr:cNvPr id="52" name="Gráfico 51">
          <a:extLst>
            <a:ext uri="{FF2B5EF4-FFF2-40B4-BE49-F238E27FC236}">
              <a16:creationId xmlns:a16="http://schemas.microsoft.com/office/drawing/2014/main" id="{00000000-0008-0000-0000-00003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464345</xdr:colOff>
      <xdr:row>0</xdr:row>
      <xdr:rowOff>47625</xdr:rowOff>
    </xdr:from>
    <xdr:to>
      <xdr:col>1</xdr:col>
      <xdr:colOff>697726</xdr:colOff>
      <xdr:row>0</xdr:row>
      <xdr:rowOff>663374</xdr:rowOff>
    </xdr:to>
    <xdr:pic>
      <xdr:nvPicPr>
        <xdr:cNvPr id="36" name="35 Imagen">
          <a:extLst>
            <a:ext uri="{FF2B5EF4-FFF2-40B4-BE49-F238E27FC236}">
              <a16:creationId xmlns:a16="http://schemas.microsoft.com/office/drawing/2014/main" id="{00000000-0008-0000-0000-000024000000}"/>
            </a:ext>
          </a:extLst>
        </xdr:cNvPr>
        <xdr:cNvPicPr>
          <a:picLocks noChangeAspect="1"/>
        </xdr:cNvPicPr>
      </xdr:nvPicPr>
      <xdr:blipFill>
        <a:blip xmlns:r="http://schemas.openxmlformats.org/officeDocument/2006/relationships" r:embed="rId2"/>
        <a:stretch>
          <a:fillRect/>
        </a:stretch>
      </xdr:blipFill>
      <xdr:spPr>
        <a:xfrm>
          <a:off x="464345" y="47625"/>
          <a:ext cx="1316850" cy="615749"/>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oneCellAnchor>
    <xdr:from>
      <xdr:col>1</xdr:col>
      <xdr:colOff>285935</xdr:colOff>
      <xdr:row>42</xdr:row>
      <xdr:rowOff>169517</xdr:rowOff>
    </xdr:from>
    <xdr:ext cx="177356" cy="176202"/>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00000000-0008-0000-0900-000003000000}"/>
                </a:ext>
              </a:extLst>
            </xdr:cNvPr>
            <xdr:cNvSpPr txBox="1"/>
          </xdr:nvSpPr>
          <xdr:spPr>
            <a:xfrm>
              <a:off x="1314635" y="14958667"/>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bg1"/>
                            </a:solidFill>
                            <a:latin typeface="Cambria Math" panose="02040503050406030204" pitchFamily="18" charset="0"/>
                          </a:rPr>
                        </m:ctrlPr>
                      </m:accPr>
                      <m:e>
                        <m:r>
                          <a:rPr lang="es-CO" sz="1100" b="1" i="1">
                            <a:solidFill>
                              <a:schemeClr val="bg1"/>
                            </a:solidFill>
                            <a:latin typeface="Cambria Math" panose="02040503050406030204" pitchFamily="18" charset="0"/>
                            <a:ea typeface="Cambria Math" panose="02040503050406030204" pitchFamily="18" charset="0"/>
                          </a:rPr>
                          <m:t>∆</m:t>
                        </m:r>
                        <m:r>
                          <a:rPr lang="es-CO" sz="1100" b="1" i="1">
                            <a:solidFill>
                              <a:schemeClr val="bg1"/>
                            </a:solidFill>
                            <a:latin typeface="Cambria Math" panose="02040503050406030204" pitchFamily="18" charset="0"/>
                            <a:ea typeface="Cambria Math" panose="02040503050406030204" pitchFamily="18" charset="0"/>
                          </a:rPr>
                          <m:t>𝑰</m:t>
                        </m:r>
                      </m:e>
                    </m:acc>
                  </m:oMath>
                </m:oMathPara>
              </a14:m>
              <a:endParaRPr lang="es-CO" sz="1100" b="1">
                <a:solidFill>
                  <a:schemeClr val="bg1"/>
                </a:solidFill>
              </a:endParaRPr>
            </a:p>
          </xdr:txBody>
        </xdr:sp>
      </mc:Choice>
      <mc:Fallback xmlns="">
        <xdr:sp macro="" textlink="">
          <xdr:nvSpPr>
            <xdr:cNvPr id="3" name="CuadroTexto 2">
              <a:extLst>
                <a:ext uri="{FF2B5EF4-FFF2-40B4-BE49-F238E27FC236}">
                  <a16:creationId xmlns:a16="http://schemas.microsoft.com/office/drawing/2014/main" id="{8AF0810D-26C5-4A75-8346-CD1E33EC12D6}"/>
                </a:ext>
              </a:extLst>
            </xdr:cNvPr>
            <xdr:cNvSpPr txBox="1"/>
          </xdr:nvSpPr>
          <xdr:spPr>
            <a:xfrm>
              <a:off x="1314635" y="14958667"/>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bg1"/>
                  </a:solidFill>
                  <a:latin typeface="Cambria Math" panose="02040503050406030204" pitchFamily="18" charset="0"/>
                </a:rPr>
                <a:t>(</a:t>
              </a:r>
              <a:r>
                <a:rPr lang="es-CO" sz="1100" b="1" i="0">
                  <a:solidFill>
                    <a:schemeClr val="bg1"/>
                  </a:solidFill>
                  <a:latin typeface="Cambria Math" panose="02040503050406030204" pitchFamily="18" charset="0"/>
                  <a:ea typeface="Cambria Math" panose="02040503050406030204" pitchFamily="18" charset="0"/>
                </a:rPr>
                <a:t>∆𝑰) ̅</a:t>
              </a:r>
              <a:endParaRPr lang="es-CO" sz="1100" b="1">
                <a:solidFill>
                  <a:schemeClr val="bg1"/>
                </a:solidFill>
              </a:endParaRPr>
            </a:p>
          </xdr:txBody>
        </xdr:sp>
      </mc:Fallback>
    </mc:AlternateContent>
    <xdr:clientData/>
  </xdr:oneCellAnchor>
  <xdr:oneCellAnchor>
    <xdr:from>
      <xdr:col>1</xdr:col>
      <xdr:colOff>136732</xdr:colOff>
      <xdr:row>58</xdr:row>
      <xdr:rowOff>253032</xdr:rowOff>
    </xdr:from>
    <xdr:ext cx="599716" cy="172227"/>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id="{00000000-0008-0000-0900-000004000000}"/>
                </a:ext>
              </a:extLst>
            </xdr:cNvPr>
            <xdr:cNvSpPr txBox="1"/>
          </xdr:nvSpPr>
          <xdr:spPr>
            <a:xfrm>
              <a:off x="1165432" y="20750832"/>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𝒘</m:t>
                        </m:r>
                      </m:sub>
                    </m:sSub>
                    <m:r>
                      <a:rPr lang="es-CO" sz="1100" b="1" i="1">
                        <a:latin typeface="Cambria Math" panose="02040503050406030204" pitchFamily="18" charset="0"/>
                      </a:rPr>
                      <m:t>(</m:t>
                    </m:r>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4" name="CuadroTexto 3">
              <a:extLst>
                <a:ext uri="{FF2B5EF4-FFF2-40B4-BE49-F238E27FC236}">
                  <a16:creationId xmlns:a16="http://schemas.microsoft.com/office/drawing/2014/main" id="{5172339D-3715-4F4E-8672-511DBF7935AB}"/>
                </a:ext>
              </a:extLst>
            </xdr:cNvPr>
            <xdr:cNvSpPr txBox="1"/>
          </xdr:nvSpPr>
          <xdr:spPr>
            <a:xfrm>
              <a:off x="1165432" y="20750832"/>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𝒖_𝒘 (</a:t>
              </a: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1</xdr:col>
      <xdr:colOff>202651</xdr:colOff>
      <xdr:row>61</xdr:row>
      <xdr:rowOff>265287</xdr:rowOff>
    </xdr:from>
    <xdr:ext cx="483915" cy="172227"/>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id="{00000000-0008-0000-0900-000005000000}"/>
                </a:ext>
              </a:extLst>
            </xdr:cNvPr>
            <xdr:cNvSpPr txBox="1"/>
          </xdr:nvSpPr>
          <xdr:spPr>
            <a:xfrm>
              <a:off x="1231351" y="2297288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5" name="CuadroTexto 4">
              <a:extLst>
                <a:ext uri="{FF2B5EF4-FFF2-40B4-BE49-F238E27FC236}">
                  <a16:creationId xmlns:a16="http://schemas.microsoft.com/office/drawing/2014/main" id="{AE901739-0C0F-48DF-85AD-B2F24B1A1A8A}"/>
                </a:ext>
              </a:extLst>
            </xdr:cNvPr>
            <xdr:cNvSpPr txBox="1"/>
          </xdr:nvSpPr>
          <xdr:spPr>
            <a:xfrm>
              <a:off x="1231351" y="2297288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𝒖(𝒎_𝒄𝒓)</a:t>
              </a:r>
              <a:endParaRPr lang="es-CO" sz="1100" b="1"/>
            </a:p>
          </xdr:txBody>
        </xdr:sp>
      </mc:Fallback>
    </mc:AlternateContent>
    <xdr:clientData/>
  </xdr:oneCellAnchor>
  <xdr:oneCellAnchor>
    <xdr:from>
      <xdr:col>1</xdr:col>
      <xdr:colOff>34166</xdr:colOff>
      <xdr:row>60</xdr:row>
      <xdr:rowOff>250203</xdr:rowOff>
    </xdr:from>
    <xdr:ext cx="689483" cy="172227"/>
    <mc:AlternateContent xmlns:mc="http://schemas.openxmlformats.org/markup-compatibility/2006" xmlns:a14="http://schemas.microsoft.com/office/drawing/2010/main">
      <mc:Choice Requires="a14">
        <xdr:sp macro="" textlink="">
          <xdr:nvSpPr>
            <xdr:cNvPr id="6" name="CuadroTexto 5">
              <a:extLst>
                <a:ext uri="{FF2B5EF4-FFF2-40B4-BE49-F238E27FC236}">
                  <a16:creationId xmlns:a16="http://schemas.microsoft.com/office/drawing/2014/main" id="{00000000-0008-0000-0900-000006000000}"/>
                </a:ext>
              </a:extLst>
            </xdr:cNvPr>
            <xdr:cNvSpPr txBox="1"/>
          </xdr:nvSpPr>
          <xdr:spPr>
            <a:xfrm>
              <a:off x="1062866" y="22221203"/>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𝒊𝒏𝒔𝒕</m:t>
                        </m:r>
                      </m:sub>
                    </m:sSub>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0" i="1">
                        <a:latin typeface="Cambria Math" panose="02040503050406030204" pitchFamily="18" charset="0"/>
                      </a:rPr>
                      <m:t>)</m:t>
                    </m:r>
                  </m:oMath>
                </m:oMathPara>
              </a14:m>
              <a:endParaRPr lang="es-CO" sz="1100"/>
            </a:p>
          </xdr:txBody>
        </xdr:sp>
      </mc:Choice>
      <mc:Fallback xmlns="">
        <xdr:sp macro="" textlink="">
          <xdr:nvSpPr>
            <xdr:cNvPr id="6" name="CuadroTexto 5">
              <a:extLst>
                <a:ext uri="{FF2B5EF4-FFF2-40B4-BE49-F238E27FC236}">
                  <a16:creationId xmlns:a16="http://schemas.microsoft.com/office/drawing/2014/main" id="{FF1432CA-A5BA-42F7-B504-3B9BEF25EA6D}"/>
                </a:ext>
              </a:extLst>
            </xdr:cNvPr>
            <xdr:cNvSpPr txBox="1"/>
          </xdr:nvSpPr>
          <xdr:spPr>
            <a:xfrm>
              <a:off x="1062866" y="22221203"/>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𝒖_𝒊𝒏𝒔𝒕 (𝒎_𝒄𝒓</a:t>
              </a:r>
              <a:r>
                <a:rPr lang="es-CO" sz="1100" b="0" i="0">
                  <a:latin typeface="Cambria Math" panose="02040503050406030204" pitchFamily="18" charset="0"/>
                </a:rPr>
                <a:t>)</a:t>
              </a:r>
              <a:endParaRPr lang="es-CO" sz="1100"/>
            </a:p>
          </xdr:txBody>
        </xdr:sp>
      </mc:Fallback>
    </mc:AlternateContent>
    <xdr:clientData/>
  </xdr:oneCellAnchor>
  <xdr:oneCellAnchor>
    <xdr:from>
      <xdr:col>1</xdr:col>
      <xdr:colOff>183870</xdr:colOff>
      <xdr:row>62</xdr:row>
      <xdr:rowOff>264645</xdr:rowOff>
    </xdr:from>
    <xdr:ext cx="397353" cy="172227"/>
    <mc:AlternateContent xmlns:mc="http://schemas.openxmlformats.org/markup-compatibility/2006" xmlns:a14="http://schemas.microsoft.com/office/drawing/2010/main">
      <mc:Choice Requires="a14">
        <xdr:sp macro="" textlink="">
          <xdr:nvSpPr>
            <xdr:cNvPr id="7" name="CuadroTexto 6">
              <a:extLst>
                <a:ext uri="{FF2B5EF4-FFF2-40B4-BE49-F238E27FC236}">
                  <a16:creationId xmlns:a16="http://schemas.microsoft.com/office/drawing/2014/main" id="{00000000-0008-0000-0900-000007000000}"/>
                </a:ext>
              </a:extLst>
            </xdr:cNvPr>
            <xdr:cNvSpPr txBox="1"/>
          </xdr:nvSpPr>
          <xdr:spPr>
            <a:xfrm>
              <a:off x="1212570" y="23708845"/>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𝒂</m:t>
                        </m:r>
                      </m:sub>
                    </m:sSub>
                    <m:r>
                      <a:rPr lang="es-CO" sz="1100" b="1" i="1">
                        <a:latin typeface="Cambria Math" panose="02040503050406030204" pitchFamily="18" charset="0"/>
                      </a:rPr>
                      <m:t>)</m:t>
                    </m:r>
                  </m:oMath>
                </m:oMathPara>
              </a14:m>
              <a:endParaRPr lang="es-CO" sz="1100" b="1"/>
            </a:p>
          </xdr:txBody>
        </xdr:sp>
      </mc:Choice>
      <mc:Fallback xmlns="">
        <xdr:sp macro="" textlink="">
          <xdr:nvSpPr>
            <xdr:cNvPr id="7" name="CuadroTexto 6">
              <a:extLst>
                <a:ext uri="{FF2B5EF4-FFF2-40B4-BE49-F238E27FC236}">
                  <a16:creationId xmlns:a16="http://schemas.microsoft.com/office/drawing/2014/main" id="{07281835-8513-4EC7-96ED-37462B14378F}"/>
                </a:ext>
              </a:extLst>
            </xdr:cNvPr>
            <xdr:cNvSpPr txBox="1"/>
          </xdr:nvSpPr>
          <xdr:spPr>
            <a:xfrm>
              <a:off x="1212570" y="23708845"/>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𝒂)</a:t>
              </a:r>
              <a:endParaRPr lang="es-CO" sz="1100" b="1"/>
            </a:p>
          </xdr:txBody>
        </xdr:sp>
      </mc:Fallback>
    </mc:AlternateContent>
    <xdr:clientData/>
  </xdr:oneCellAnchor>
  <xdr:oneCellAnchor>
    <xdr:from>
      <xdr:col>1</xdr:col>
      <xdr:colOff>186298</xdr:colOff>
      <xdr:row>63</xdr:row>
      <xdr:rowOff>266606</xdr:rowOff>
    </xdr:from>
    <xdr:ext cx="376642" cy="172227"/>
    <mc:AlternateContent xmlns:mc="http://schemas.openxmlformats.org/markup-compatibility/2006" xmlns:a14="http://schemas.microsoft.com/office/drawing/2010/main">
      <mc:Choice Requires="a14">
        <xdr:sp macro="" textlink="">
          <xdr:nvSpPr>
            <xdr:cNvPr id="8" name="CuadroTexto 7">
              <a:extLst>
                <a:ext uri="{FF2B5EF4-FFF2-40B4-BE49-F238E27FC236}">
                  <a16:creationId xmlns:a16="http://schemas.microsoft.com/office/drawing/2014/main" id="{00000000-0008-0000-0900-000008000000}"/>
                </a:ext>
              </a:extLst>
            </xdr:cNvPr>
            <xdr:cNvSpPr txBox="1"/>
          </xdr:nvSpPr>
          <xdr:spPr>
            <a:xfrm>
              <a:off x="1214998" y="244474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𝒕</m:t>
                        </m:r>
                      </m:sub>
                    </m:sSub>
                    <m:r>
                      <a:rPr lang="es-CO" sz="1100" b="1" i="1">
                        <a:latin typeface="Cambria Math" panose="02040503050406030204" pitchFamily="18" charset="0"/>
                      </a:rPr>
                      <m:t>)</m:t>
                    </m:r>
                  </m:oMath>
                </m:oMathPara>
              </a14:m>
              <a:endParaRPr lang="es-CO" sz="1100" b="1"/>
            </a:p>
          </xdr:txBody>
        </xdr:sp>
      </mc:Choice>
      <mc:Fallback xmlns="">
        <xdr:sp macro="" textlink="">
          <xdr:nvSpPr>
            <xdr:cNvPr id="8" name="CuadroTexto 7">
              <a:extLst>
                <a:ext uri="{FF2B5EF4-FFF2-40B4-BE49-F238E27FC236}">
                  <a16:creationId xmlns:a16="http://schemas.microsoft.com/office/drawing/2014/main" id="{9C61FBDF-40D3-4F02-910B-C15D706B7EE6}"/>
                </a:ext>
              </a:extLst>
            </xdr:cNvPr>
            <xdr:cNvSpPr txBox="1"/>
          </xdr:nvSpPr>
          <xdr:spPr>
            <a:xfrm>
              <a:off x="1214998" y="244474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𝒕)</a:t>
              </a:r>
              <a:endParaRPr lang="es-CO" sz="1100" b="1"/>
            </a:p>
          </xdr:txBody>
        </xdr:sp>
      </mc:Fallback>
    </mc:AlternateContent>
    <xdr:clientData/>
  </xdr:oneCellAnchor>
  <xdr:oneCellAnchor>
    <xdr:from>
      <xdr:col>1</xdr:col>
      <xdr:colOff>186298</xdr:colOff>
      <xdr:row>64</xdr:row>
      <xdr:rowOff>222250</xdr:rowOff>
    </xdr:from>
    <xdr:ext cx="388696" cy="172227"/>
    <mc:AlternateContent xmlns:mc="http://schemas.openxmlformats.org/markup-compatibility/2006" xmlns:a14="http://schemas.microsoft.com/office/drawing/2010/main">
      <mc:Choice Requires="a14">
        <xdr:sp macro="" textlink="">
          <xdr:nvSpPr>
            <xdr:cNvPr id="9" name="CuadroTexto 8">
              <a:extLst>
                <a:ext uri="{FF2B5EF4-FFF2-40B4-BE49-F238E27FC236}">
                  <a16:creationId xmlns:a16="http://schemas.microsoft.com/office/drawing/2014/main" id="{00000000-0008-0000-0900-000009000000}"/>
                </a:ext>
              </a:extLst>
            </xdr:cNvPr>
            <xdr:cNvSpPr txBox="1"/>
          </xdr:nvSpPr>
          <xdr:spPr>
            <a:xfrm>
              <a:off x="1214998" y="25139650"/>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9" name="CuadroTexto 8">
              <a:extLst>
                <a:ext uri="{FF2B5EF4-FFF2-40B4-BE49-F238E27FC236}">
                  <a16:creationId xmlns:a16="http://schemas.microsoft.com/office/drawing/2014/main" id="{8263952F-4F45-46A9-9833-FBD4C477BA69}"/>
                </a:ext>
              </a:extLst>
            </xdr:cNvPr>
            <xdr:cNvSpPr txBox="1"/>
          </xdr:nvSpPr>
          <xdr:spPr>
            <a:xfrm>
              <a:off x="1214998" y="25139650"/>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𝒓)</a:t>
              </a:r>
              <a:endParaRPr lang="es-CO" sz="1100" b="1"/>
            </a:p>
          </xdr:txBody>
        </xdr:sp>
      </mc:Fallback>
    </mc:AlternateContent>
    <xdr:clientData/>
  </xdr:oneCellAnchor>
  <xdr:oneCellAnchor>
    <xdr:from>
      <xdr:col>1</xdr:col>
      <xdr:colOff>265579</xdr:colOff>
      <xdr:row>65</xdr:row>
      <xdr:rowOff>288458</xdr:rowOff>
    </xdr:from>
    <xdr:ext cx="191271" cy="172227"/>
    <mc:AlternateContent xmlns:mc="http://schemas.openxmlformats.org/markup-compatibility/2006" xmlns:a14="http://schemas.microsoft.com/office/drawing/2010/main">
      <mc:Choice Requires="a14">
        <xdr:sp macro="" textlink="">
          <xdr:nvSpPr>
            <xdr:cNvPr id="10" name="CuadroTexto 9">
              <a:extLst>
                <a:ext uri="{FF2B5EF4-FFF2-40B4-BE49-F238E27FC236}">
                  <a16:creationId xmlns:a16="http://schemas.microsoft.com/office/drawing/2014/main" id="{00000000-0008-0000-0900-00000A000000}"/>
                </a:ext>
              </a:extLst>
            </xdr:cNvPr>
            <xdr:cNvSpPr txBox="1"/>
          </xdr:nvSpPr>
          <xdr:spPr>
            <a:xfrm>
              <a:off x="1294279" y="2594245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𝒃</m:t>
                        </m:r>
                      </m:sub>
                    </m:sSub>
                  </m:oMath>
                </m:oMathPara>
              </a14:m>
              <a:endParaRPr lang="es-CO" sz="1100" b="1"/>
            </a:p>
          </xdr:txBody>
        </xdr:sp>
      </mc:Choice>
      <mc:Fallback xmlns="">
        <xdr:sp macro="" textlink="">
          <xdr:nvSpPr>
            <xdr:cNvPr id="10" name="CuadroTexto 9">
              <a:extLst>
                <a:ext uri="{FF2B5EF4-FFF2-40B4-BE49-F238E27FC236}">
                  <a16:creationId xmlns:a16="http://schemas.microsoft.com/office/drawing/2014/main" id="{524F268F-FE40-4EA8-9350-06ADE4028457}"/>
                </a:ext>
              </a:extLst>
            </xdr:cNvPr>
            <xdr:cNvSpPr txBox="1"/>
          </xdr:nvSpPr>
          <xdr:spPr>
            <a:xfrm>
              <a:off x="1294279" y="2594245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𝒖_𝒃</a:t>
              </a:r>
              <a:endParaRPr lang="es-CO" sz="1100" b="1"/>
            </a:p>
          </xdr:txBody>
        </xdr:sp>
      </mc:Fallback>
    </mc:AlternateContent>
    <xdr:clientData/>
  </xdr:oneCellAnchor>
  <xdr:oneCellAnchor>
    <xdr:from>
      <xdr:col>1</xdr:col>
      <xdr:colOff>261391</xdr:colOff>
      <xdr:row>66</xdr:row>
      <xdr:rowOff>294234</xdr:rowOff>
    </xdr:from>
    <xdr:ext cx="195053" cy="172227"/>
    <mc:AlternateContent xmlns:mc="http://schemas.openxmlformats.org/markup-compatibility/2006" xmlns:a14="http://schemas.microsoft.com/office/drawing/2010/main">
      <mc:Choice Requires="a14">
        <xdr:sp macro="" textlink="">
          <xdr:nvSpPr>
            <xdr:cNvPr id="11" name="CuadroTexto 10">
              <a:extLst>
                <a:ext uri="{FF2B5EF4-FFF2-40B4-BE49-F238E27FC236}">
                  <a16:creationId xmlns:a16="http://schemas.microsoft.com/office/drawing/2014/main" id="{00000000-0008-0000-0900-00000B000000}"/>
                </a:ext>
              </a:extLst>
            </xdr:cNvPr>
            <xdr:cNvSpPr txBox="1"/>
          </xdr:nvSpPr>
          <xdr:spPr>
            <a:xfrm>
              <a:off x="1290091" y="26684834"/>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𝒅</m:t>
                        </m:r>
                      </m:sub>
                    </m:sSub>
                  </m:oMath>
                </m:oMathPara>
              </a14:m>
              <a:endParaRPr lang="es-CO" sz="1100" b="1"/>
            </a:p>
          </xdr:txBody>
        </xdr:sp>
      </mc:Choice>
      <mc:Fallback xmlns="">
        <xdr:sp macro="" textlink="">
          <xdr:nvSpPr>
            <xdr:cNvPr id="11" name="CuadroTexto 10">
              <a:extLst>
                <a:ext uri="{FF2B5EF4-FFF2-40B4-BE49-F238E27FC236}">
                  <a16:creationId xmlns:a16="http://schemas.microsoft.com/office/drawing/2014/main" id="{D42BCA96-0DDC-47D6-9D02-A84F1B65920E}"/>
                </a:ext>
              </a:extLst>
            </xdr:cNvPr>
            <xdr:cNvSpPr txBox="1"/>
          </xdr:nvSpPr>
          <xdr:spPr>
            <a:xfrm>
              <a:off x="1290091" y="26684834"/>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𝒖_𝒅</a:t>
              </a:r>
              <a:endParaRPr lang="es-CO" sz="1100" b="1"/>
            </a:p>
          </xdr:txBody>
        </xdr:sp>
      </mc:Fallback>
    </mc:AlternateContent>
    <xdr:clientData/>
  </xdr:oneCellAnchor>
  <xdr:oneCellAnchor>
    <xdr:from>
      <xdr:col>5</xdr:col>
      <xdr:colOff>393571</xdr:colOff>
      <xdr:row>69</xdr:row>
      <xdr:rowOff>265119</xdr:rowOff>
    </xdr:from>
    <xdr:ext cx="529697" cy="172227"/>
    <mc:AlternateContent xmlns:mc="http://schemas.openxmlformats.org/markup-compatibility/2006" xmlns:a14="http://schemas.microsoft.com/office/drawing/2010/main">
      <mc:Choice Requires="a14">
        <xdr:sp macro="" textlink="">
          <xdr:nvSpPr>
            <xdr:cNvPr id="12" name="CuadroTexto 11">
              <a:extLst>
                <a:ext uri="{FF2B5EF4-FFF2-40B4-BE49-F238E27FC236}">
                  <a16:creationId xmlns:a16="http://schemas.microsoft.com/office/drawing/2014/main" id="{00000000-0008-0000-0900-00000C000000}"/>
                </a:ext>
              </a:extLst>
            </xdr:cNvPr>
            <xdr:cNvSpPr txBox="1"/>
          </xdr:nvSpPr>
          <xdr:spPr>
            <a:xfrm>
              <a:off x="5632321" y="28217819"/>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𝒄</m:t>
                        </m:r>
                      </m:sub>
                    </m:sSub>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12" name="CuadroTexto 11">
              <a:extLst>
                <a:ext uri="{FF2B5EF4-FFF2-40B4-BE49-F238E27FC236}">
                  <a16:creationId xmlns:a16="http://schemas.microsoft.com/office/drawing/2014/main" id="{AC00F26A-33EF-404F-B3FB-EF79DEC89033}"/>
                </a:ext>
              </a:extLst>
            </xdr:cNvPr>
            <xdr:cNvSpPr txBox="1"/>
          </xdr:nvSpPr>
          <xdr:spPr>
            <a:xfrm>
              <a:off x="5632321" y="28217819"/>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𝒖_𝒄 (</a:t>
              </a:r>
              <a:r>
                <a:rPr lang="es-CO" sz="1100" b="1" i="0">
                  <a:latin typeface="Cambria Math" panose="02040503050406030204" pitchFamily="18" charset="0"/>
                  <a:ea typeface="Cambria Math" panose="02040503050406030204" pitchFamily="18" charset="0"/>
                </a:rPr>
                <a:t>𝒎_𝒄𝒕)</a:t>
              </a:r>
              <a:endParaRPr lang="es-CO" sz="1100" b="1"/>
            </a:p>
          </xdr:txBody>
        </xdr:sp>
      </mc:Fallback>
    </mc:AlternateContent>
    <xdr:clientData/>
  </xdr:oneCellAnchor>
  <xdr:oneCellAnchor>
    <xdr:from>
      <xdr:col>5</xdr:col>
      <xdr:colOff>243965</xdr:colOff>
      <xdr:row>70</xdr:row>
      <xdr:rowOff>130277</xdr:rowOff>
    </xdr:from>
    <xdr:ext cx="780598" cy="172227"/>
    <mc:AlternateContent xmlns:mc="http://schemas.openxmlformats.org/markup-compatibility/2006" xmlns:a14="http://schemas.microsoft.com/office/drawing/2010/main">
      <mc:Choice Requires="a14">
        <xdr:sp macro="" textlink="">
          <xdr:nvSpPr>
            <xdr:cNvPr id="13" name="CuadroTexto 12">
              <a:extLst>
                <a:ext uri="{FF2B5EF4-FFF2-40B4-BE49-F238E27FC236}">
                  <a16:creationId xmlns:a16="http://schemas.microsoft.com/office/drawing/2014/main" id="{00000000-0008-0000-0900-00000D000000}"/>
                </a:ext>
              </a:extLst>
            </xdr:cNvPr>
            <xdr:cNvSpPr txBox="1"/>
          </xdr:nvSpPr>
          <xdr:spPr>
            <a:xfrm>
              <a:off x="5482715" y="2873702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100" b="1" i="1">
                      <a:latin typeface="Cambria Math" panose="02040503050406030204" pitchFamily="18" charset="0"/>
                    </a:rPr>
                    <m:t>𝑼</m:t>
                  </m:r>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a14:m>
              <a:r>
                <a:rPr lang="es-CO" sz="1100" b="1"/>
                <a:t> (k=2)</a:t>
              </a:r>
            </a:p>
          </xdr:txBody>
        </xdr:sp>
      </mc:Choice>
      <mc:Fallback xmlns="">
        <xdr:sp macro="" textlink="">
          <xdr:nvSpPr>
            <xdr:cNvPr id="13" name="CuadroTexto 12">
              <a:extLst>
                <a:ext uri="{FF2B5EF4-FFF2-40B4-BE49-F238E27FC236}">
                  <a16:creationId xmlns:a16="http://schemas.microsoft.com/office/drawing/2014/main" id="{9DF87F4C-AF8C-42FB-8B95-E38EB7F5FF2A}"/>
                </a:ext>
              </a:extLst>
            </xdr:cNvPr>
            <xdr:cNvSpPr txBox="1"/>
          </xdr:nvSpPr>
          <xdr:spPr>
            <a:xfrm>
              <a:off x="5482715" y="2873702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100" b="1" i="0">
                  <a:latin typeface="Cambria Math" panose="02040503050406030204" pitchFamily="18" charset="0"/>
                </a:rPr>
                <a:t>𝑼(</a:t>
              </a:r>
              <a:r>
                <a:rPr lang="es-CO" sz="1100" b="1" i="0">
                  <a:latin typeface="Cambria Math" panose="02040503050406030204" pitchFamily="18" charset="0"/>
                  <a:ea typeface="Cambria Math" panose="02040503050406030204" pitchFamily="18" charset="0"/>
                </a:rPr>
                <a:t>𝒎_𝒄𝒕)</a:t>
              </a:r>
              <a:r>
                <a:rPr lang="es-CO" sz="1100" b="1"/>
                <a:t> (k=2)</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14" name="CuadroTexto 13">
              <a:extLst>
                <a:ext uri="{FF2B5EF4-FFF2-40B4-BE49-F238E27FC236}">
                  <a16:creationId xmlns:a16="http://schemas.microsoft.com/office/drawing/2014/main" id="{00000000-0008-0000-0900-00000E000000}"/>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14" name="CuadroTexto 13">
              <a:extLst>
                <a:ext uri="{FF2B5EF4-FFF2-40B4-BE49-F238E27FC236}">
                  <a16:creationId xmlns:a16="http://schemas.microsoft.com/office/drawing/2014/main" id="{CD4113B5-7A88-4083-AB4A-DC01AC254C85}"/>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8</xdr:col>
      <xdr:colOff>541269</xdr:colOff>
      <xdr:row>52</xdr:row>
      <xdr:rowOff>78683</xdr:rowOff>
    </xdr:from>
    <xdr:ext cx="304571" cy="172227"/>
    <mc:AlternateContent xmlns:mc="http://schemas.openxmlformats.org/markup-compatibility/2006" xmlns:a14="http://schemas.microsoft.com/office/drawing/2010/main">
      <mc:Choice Requires="a14">
        <xdr:sp macro="" textlink="">
          <xdr:nvSpPr>
            <xdr:cNvPr id="15" name="CuadroTexto 14">
              <a:extLst>
                <a:ext uri="{FF2B5EF4-FFF2-40B4-BE49-F238E27FC236}">
                  <a16:creationId xmlns:a16="http://schemas.microsoft.com/office/drawing/2014/main" id="{00000000-0008-0000-0900-00000F000000}"/>
                </a:ext>
              </a:extLst>
            </xdr:cNvPr>
            <xdr:cNvSpPr txBox="1"/>
          </xdr:nvSpPr>
          <xdr:spPr>
            <a:xfrm>
              <a:off x="9882119" y="18595283"/>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oMath>
                </m:oMathPara>
              </a14:m>
              <a:endParaRPr lang="es-CO" sz="1100" b="1"/>
            </a:p>
          </xdr:txBody>
        </xdr:sp>
      </mc:Choice>
      <mc:Fallback xmlns="">
        <xdr:sp macro="" textlink="">
          <xdr:nvSpPr>
            <xdr:cNvPr id="15" name="CuadroTexto 14">
              <a:extLst>
                <a:ext uri="{FF2B5EF4-FFF2-40B4-BE49-F238E27FC236}">
                  <a16:creationId xmlns:a16="http://schemas.microsoft.com/office/drawing/2014/main" id="{FC534504-8E42-4387-811A-093FA705272A}"/>
                </a:ext>
              </a:extLst>
            </xdr:cNvPr>
            <xdr:cNvSpPr txBox="1"/>
          </xdr:nvSpPr>
          <xdr:spPr>
            <a:xfrm>
              <a:off x="9882119" y="18595283"/>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4</xdr:col>
      <xdr:colOff>155713</xdr:colOff>
      <xdr:row>39</xdr:row>
      <xdr:rowOff>106017</xdr:rowOff>
    </xdr:from>
    <xdr:ext cx="65" cy="172227"/>
    <xdr:sp macro="" textlink="">
      <xdr:nvSpPr>
        <xdr:cNvPr id="16" name="CuadroTexto 15">
          <a:extLst>
            <a:ext uri="{FF2B5EF4-FFF2-40B4-BE49-F238E27FC236}">
              <a16:creationId xmlns:a16="http://schemas.microsoft.com/office/drawing/2014/main" id="{00000000-0008-0000-0900-000010000000}"/>
            </a:ext>
          </a:extLst>
        </xdr:cNvPr>
        <xdr:cNvSpPr txBox="1"/>
      </xdr:nvSpPr>
      <xdr:spPr>
        <a:xfrm>
          <a:off x="4308613" y="1369501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17" name="CuadroTexto 16">
              <a:extLst>
                <a:ext uri="{FF2B5EF4-FFF2-40B4-BE49-F238E27FC236}">
                  <a16:creationId xmlns:a16="http://schemas.microsoft.com/office/drawing/2014/main" id="{00000000-0008-0000-0900-000011000000}"/>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7" name="CuadroTexto 16">
              <a:extLst>
                <a:ext uri="{FF2B5EF4-FFF2-40B4-BE49-F238E27FC236}">
                  <a16:creationId xmlns:a16="http://schemas.microsoft.com/office/drawing/2014/main" id="{97DDEACC-EACF-4758-AF8A-5C9E9A004659}"/>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18" name="CuadroTexto 17">
              <a:extLst>
                <a:ext uri="{FF2B5EF4-FFF2-40B4-BE49-F238E27FC236}">
                  <a16:creationId xmlns:a16="http://schemas.microsoft.com/office/drawing/2014/main" id="{00000000-0008-0000-0900-000012000000}"/>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18" name="CuadroTexto 17">
              <a:extLst>
                <a:ext uri="{FF2B5EF4-FFF2-40B4-BE49-F238E27FC236}">
                  <a16:creationId xmlns:a16="http://schemas.microsoft.com/office/drawing/2014/main" id="{F1B9A424-AB1D-4A96-A6F5-7F039A798B20}"/>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19" name="CuadroTexto 18">
              <a:extLst>
                <a:ext uri="{FF2B5EF4-FFF2-40B4-BE49-F238E27FC236}">
                  <a16:creationId xmlns:a16="http://schemas.microsoft.com/office/drawing/2014/main" id="{00000000-0008-0000-0900-000013000000}"/>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9" name="CuadroTexto 18">
              <a:extLst>
                <a:ext uri="{FF2B5EF4-FFF2-40B4-BE49-F238E27FC236}">
                  <a16:creationId xmlns:a16="http://schemas.microsoft.com/office/drawing/2014/main" id="{488492B7-9199-4431-B9C8-765B983335C6}"/>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0" name="CuadroTexto 19">
              <a:extLst>
                <a:ext uri="{FF2B5EF4-FFF2-40B4-BE49-F238E27FC236}">
                  <a16:creationId xmlns:a16="http://schemas.microsoft.com/office/drawing/2014/main" id="{00000000-0008-0000-0900-000014000000}"/>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0" name="CuadroTexto 19">
              <a:extLst>
                <a:ext uri="{FF2B5EF4-FFF2-40B4-BE49-F238E27FC236}">
                  <a16:creationId xmlns:a16="http://schemas.microsoft.com/office/drawing/2014/main" id="{C4C24CEE-D876-432C-94E5-0D52267B20D1}"/>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1" name="CuadroTexto 20">
          <a:extLst>
            <a:ext uri="{FF2B5EF4-FFF2-40B4-BE49-F238E27FC236}">
              <a16:creationId xmlns:a16="http://schemas.microsoft.com/office/drawing/2014/main" id="{00000000-0008-0000-0900-000015000000}"/>
            </a:ext>
          </a:extLst>
        </xdr:cNvPr>
        <xdr:cNvSpPr txBox="1"/>
      </xdr:nvSpPr>
      <xdr:spPr>
        <a:xfrm>
          <a:off x="1376572" y="14521621"/>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3</xdr:col>
      <xdr:colOff>236456</xdr:colOff>
      <xdr:row>73</xdr:row>
      <xdr:rowOff>141002</xdr:rowOff>
    </xdr:from>
    <xdr:ext cx="730521" cy="219163"/>
    <mc:AlternateContent xmlns:mc="http://schemas.openxmlformats.org/markup-compatibility/2006" xmlns:a14="http://schemas.microsoft.com/office/drawing/2010/main">
      <mc:Choice Requires="a14">
        <xdr:sp macro="" textlink="">
          <xdr:nvSpPr>
            <xdr:cNvPr id="22" name="CuadroTexto 21">
              <a:extLst>
                <a:ext uri="{FF2B5EF4-FFF2-40B4-BE49-F238E27FC236}">
                  <a16:creationId xmlns:a16="http://schemas.microsoft.com/office/drawing/2014/main" id="{00000000-0008-0000-0900-000016000000}"/>
                </a:ext>
              </a:extLst>
            </xdr:cNvPr>
            <xdr:cNvSpPr txBox="1"/>
          </xdr:nvSpPr>
          <xdr:spPr>
            <a:xfrm>
              <a:off x="3201906" y="30062202"/>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m:t>
                  </m:r>
                  <m:sSub>
                    <m:sSubPr>
                      <m:ctrlPr>
                        <a:rPr lang="es-CO" sz="1400" b="1" i="1">
                          <a:latin typeface="Cambria Math" panose="02040503050406030204" pitchFamily="18" charset="0"/>
                          <a:ea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𝒎</m:t>
                      </m:r>
                    </m:e>
                    <m:sub>
                      <m:r>
                        <a:rPr lang="es-CO" sz="1400" b="1" i="1">
                          <a:latin typeface="Cambria Math" panose="02040503050406030204" pitchFamily="18" charset="0"/>
                          <a:ea typeface="Cambria Math" panose="02040503050406030204" pitchFamily="18" charset="0"/>
                        </a:rPr>
                        <m:t>𝒄</m:t>
                      </m:r>
                    </m:sub>
                  </m:sSub>
                </m:oMath>
              </a14:m>
              <a:r>
                <a:rPr lang="es-CO" sz="1400" b="1" i="1"/>
                <a:t> (mg</a:t>
              </a:r>
              <a:r>
                <a:rPr lang="es-CO" sz="1200" b="1" i="0"/>
                <a:t>)</a:t>
              </a:r>
            </a:p>
          </xdr:txBody>
        </xdr:sp>
      </mc:Choice>
      <mc:Fallback xmlns="">
        <xdr:sp macro="" textlink="">
          <xdr:nvSpPr>
            <xdr:cNvPr id="22" name="CuadroTexto 21">
              <a:extLst>
                <a:ext uri="{FF2B5EF4-FFF2-40B4-BE49-F238E27FC236}">
                  <a16:creationId xmlns:a16="http://schemas.microsoft.com/office/drawing/2014/main" id="{F02B197B-7474-43F8-B464-E0F7F1532EEB}"/>
                </a:ext>
              </a:extLst>
            </xdr:cNvPr>
            <xdr:cNvSpPr txBox="1"/>
          </xdr:nvSpPr>
          <xdr:spPr>
            <a:xfrm>
              <a:off x="3201906" y="30062202"/>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400" b="1" i="0">
                  <a:latin typeface="Cambria Math" panose="02040503050406030204" pitchFamily="18" charset="0"/>
                  <a:ea typeface="Cambria Math" panose="02040503050406030204" pitchFamily="18" charset="0"/>
                </a:rPr>
                <a:t>∆𝒎_𝒄</a:t>
              </a:r>
              <a:r>
                <a:rPr lang="es-CO" sz="1400" b="1" i="1"/>
                <a:t> (mg</a:t>
              </a:r>
              <a:r>
                <a:rPr lang="es-CO" sz="1200" b="1" i="0"/>
                <a:t>)</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23" name="CuadroTexto 22">
              <a:extLst>
                <a:ext uri="{FF2B5EF4-FFF2-40B4-BE49-F238E27FC236}">
                  <a16:creationId xmlns:a16="http://schemas.microsoft.com/office/drawing/2014/main" id="{00000000-0008-0000-0900-000017000000}"/>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23" name="CuadroTexto 22">
              <a:extLst>
                <a:ext uri="{FF2B5EF4-FFF2-40B4-BE49-F238E27FC236}">
                  <a16:creationId xmlns:a16="http://schemas.microsoft.com/office/drawing/2014/main" id="{48D71463-2500-41BF-A36C-D881A66DD18D}"/>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24" name="CuadroTexto 23">
          <a:extLst>
            <a:ext uri="{FF2B5EF4-FFF2-40B4-BE49-F238E27FC236}">
              <a16:creationId xmlns:a16="http://schemas.microsoft.com/office/drawing/2014/main" id="{00000000-0008-0000-0900-000018000000}"/>
            </a:ext>
          </a:extLst>
        </xdr:cNvPr>
        <xdr:cNvSpPr txBox="1"/>
      </xdr:nvSpPr>
      <xdr:spPr>
        <a:xfrm>
          <a:off x="4308613" y="1369501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25" name="CuadroTexto 24">
              <a:extLst>
                <a:ext uri="{FF2B5EF4-FFF2-40B4-BE49-F238E27FC236}">
                  <a16:creationId xmlns:a16="http://schemas.microsoft.com/office/drawing/2014/main" id="{00000000-0008-0000-0900-000019000000}"/>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5" name="CuadroTexto 24">
              <a:extLst>
                <a:ext uri="{FF2B5EF4-FFF2-40B4-BE49-F238E27FC236}">
                  <a16:creationId xmlns:a16="http://schemas.microsoft.com/office/drawing/2014/main" id="{490D993C-5CE4-4949-9460-370141E80709}"/>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26" name="CuadroTexto 25">
              <a:extLst>
                <a:ext uri="{FF2B5EF4-FFF2-40B4-BE49-F238E27FC236}">
                  <a16:creationId xmlns:a16="http://schemas.microsoft.com/office/drawing/2014/main" id="{00000000-0008-0000-0900-00001A000000}"/>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6" name="CuadroTexto 25">
              <a:extLst>
                <a:ext uri="{FF2B5EF4-FFF2-40B4-BE49-F238E27FC236}">
                  <a16:creationId xmlns:a16="http://schemas.microsoft.com/office/drawing/2014/main" id="{6E4A9A6D-41E6-4B79-B6A2-10E40DAAAD95}"/>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27" name="CuadroTexto 26">
              <a:extLst>
                <a:ext uri="{FF2B5EF4-FFF2-40B4-BE49-F238E27FC236}">
                  <a16:creationId xmlns:a16="http://schemas.microsoft.com/office/drawing/2014/main" id="{00000000-0008-0000-0900-00001B000000}"/>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7" name="CuadroTexto 26">
              <a:extLst>
                <a:ext uri="{FF2B5EF4-FFF2-40B4-BE49-F238E27FC236}">
                  <a16:creationId xmlns:a16="http://schemas.microsoft.com/office/drawing/2014/main" id="{745DDC32-B94F-444D-BDC7-C7F44E4A0FC0}"/>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8" name="CuadroTexto 27">
              <a:extLst>
                <a:ext uri="{FF2B5EF4-FFF2-40B4-BE49-F238E27FC236}">
                  <a16:creationId xmlns:a16="http://schemas.microsoft.com/office/drawing/2014/main" id="{00000000-0008-0000-0900-00001C000000}"/>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8" name="CuadroTexto 27">
              <a:extLst>
                <a:ext uri="{FF2B5EF4-FFF2-40B4-BE49-F238E27FC236}">
                  <a16:creationId xmlns:a16="http://schemas.microsoft.com/office/drawing/2014/main" id="{1B616AE4-6F6A-4E2D-9CD6-CEC36BB2F661}"/>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9" name="CuadroTexto 28">
          <a:extLst>
            <a:ext uri="{FF2B5EF4-FFF2-40B4-BE49-F238E27FC236}">
              <a16:creationId xmlns:a16="http://schemas.microsoft.com/office/drawing/2014/main" id="{00000000-0008-0000-0900-00001D000000}"/>
            </a:ext>
          </a:extLst>
        </xdr:cNvPr>
        <xdr:cNvSpPr txBox="1"/>
      </xdr:nvSpPr>
      <xdr:spPr>
        <a:xfrm>
          <a:off x="1376572" y="14521621"/>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30" name="CuadroTexto 29">
              <a:extLst>
                <a:ext uri="{FF2B5EF4-FFF2-40B4-BE49-F238E27FC236}">
                  <a16:creationId xmlns:a16="http://schemas.microsoft.com/office/drawing/2014/main" id="{00000000-0008-0000-0900-00001E000000}"/>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30" name="CuadroTexto 29">
              <a:extLst>
                <a:ext uri="{FF2B5EF4-FFF2-40B4-BE49-F238E27FC236}">
                  <a16:creationId xmlns:a16="http://schemas.microsoft.com/office/drawing/2014/main" id="{594B0212-AB45-4F1C-951D-1756039338EA}"/>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31" name="CuadroTexto 30">
          <a:extLst>
            <a:ext uri="{FF2B5EF4-FFF2-40B4-BE49-F238E27FC236}">
              <a16:creationId xmlns:a16="http://schemas.microsoft.com/office/drawing/2014/main" id="{00000000-0008-0000-0900-00001F000000}"/>
            </a:ext>
          </a:extLst>
        </xdr:cNvPr>
        <xdr:cNvSpPr txBox="1"/>
      </xdr:nvSpPr>
      <xdr:spPr>
        <a:xfrm>
          <a:off x="4308613" y="1369501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32" name="CuadroTexto 31">
              <a:extLst>
                <a:ext uri="{FF2B5EF4-FFF2-40B4-BE49-F238E27FC236}">
                  <a16:creationId xmlns:a16="http://schemas.microsoft.com/office/drawing/2014/main" id="{00000000-0008-0000-0900-000020000000}"/>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2" name="CuadroTexto 31">
              <a:extLst>
                <a:ext uri="{FF2B5EF4-FFF2-40B4-BE49-F238E27FC236}">
                  <a16:creationId xmlns:a16="http://schemas.microsoft.com/office/drawing/2014/main" id="{7A64C0EF-1796-4FFD-8573-79E58DB64E28}"/>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33" name="CuadroTexto 32">
              <a:extLst>
                <a:ext uri="{FF2B5EF4-FFF2-40B4-BE49-F238E27FC236}">
                  <a16:creationId xmlns:a16="http://schemas.microsoft.com/office/drawing/2014/main" id="{00000000-0008-0000-0900-000021000000}"/>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3" name="CuadroTexto 32">
              <a:extLst>
                <a:ext uri="{FF2B5EF4-FFF2-40B4-BE49-F238E27FC236}">
                  <a16:creationId xmlns:a16="http://schemas.microsoft.com/office/drawing/2014/main" id="{F5851017-7E5B-4691-81E5-10E7D7D5B223}"/>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34" name="CuadroTexto 33">
              <a:extLst>
                <a:ext uri="{FF2B5EF4-FFF2-40B4-BE49-F238E27FC236}">
                  <a16:creationId xmlns:a16="http://schemas.microsoft.com/office/drawing/2014/main" id="{00000000-0008-0000-0900-000022000000}"/>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4" name="CuadroTexto 33">
              <a:extLst>
                <a:ext uri="{FF2B5EF4-FFF2-40B4-BE49-F238E27FC236}">
                  <a16:creationId xmlns:a16="http://schemas.microsoft.com/office/drawing/2014/main" id="{EEC260E7-1C0E-4BB8-AAFE-E928FDC49100}"/>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35" name="CuadroTexto 34">
              <a:extLst>
                <a:ext uri="{FF2B5EF4-FFF2-40B4-BE49-F238E27FC236}">
                  <a16:creationId xmlns:a16="http://schemas.microsoft.com/office/drawing/2014/main" id="{00000000-0008-0000-0900-000023000000}"/>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5" name="CuadroTexto 34">
              <a:extLst>
                <a:ext uri="{FF2B5EF4-FFF2-40B4-BE49-F238E27FC236}">
                  <a16:creationId xmlns:a16="http://schemas.microsoft.com/office/drawing/2014/main" id="{DB58EA7F-081F-4E56-B97A-B8C4E3118DD5}"/>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36" name="CuadroTexto 35">
          <a:extLst>
            <a:ext uri="{FF2B5EF4-FFF2-40B4-BE49-F238E27FC236}">
              <a16:creationId xmlns:a16="http://schemas.microsoft.com/office/drawing/2014/main" id="{00000000-0008-0000-0900-000024000000}"/>
            </a:ext>
          </a:extLst>
        </xdr:cNvPr>
        <xdr:cNvSpPr txBox="1"/>
      </xdr:nvSpPr>
      <xdr:spPr>
        <a:xfrm>
          <a:off x="1376572" y="14521621"/>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11</xdr:col>
      <xdr:colOff>628650</xdr:colOff>
      <xdr:row>61</xdr:row>
      <xdr:rowOff>0</xdr:rowOff>
    </xdr:from>
    <xdr:ext cx="65" cy="172227"/>
    <xdr:sp macro="" textlink="">
      <xdr:nvSpPr>
        <xdr:cNvPr id="37" name="CuadroTexto 36">
          <a:extLst>
            <a:ext uri="{FF2B5EF4-FFF2-40B4-BE49-F238E27FC236}">
              <a16:creationId xmlns:a16="http://schemas.microsoft.com/office/drawing/2014/main" id="{00000000-0008-0000-0900-000025000000}"/>
            </a:ext>
          </a:extLst>
        </xdr:cNvPr>
        <xdr:cNvSpPr txBox="1"/>
      </xdr:nvSpPr>
      <xdr:spPr>
        <a:xfrm>
          <a:off x="12693650" y="22707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5</xdr:col>
      <xdr:colOff>539750</xdr:colOff>
      <xdr:row>73</xdr:row>
      <xdr:rowOff>158749</xdr:rowOff>
    </xdr:from>
    <xdr:ext cx="984250" cy="210507"/>
    <mc:AlternateContent xmlns:mc="http://schemas.openxmlformats.org/markup-compatibility/2006" xmlns:a14="http://schemas.microsoft.com/office/drawing/2010/main">
      <mc:Choice Requires="a14">
        <xdr:sp macro="" textlink="">
          <xdr:nvSpPr>
            <xdr:cNvPr id="38" name="CuadroTexto 37">
              <a:extLst>
                <a:ext uri="{FF2B5EF4-FFF2-40B4-BE49-F238E27FC236}">
                  <a16:creationId xmlns:a16="http://schemas.microsoft.com/office/drawing/2014/main" id="{00000000-0008-0000-0900-000026000000}"/>
                </a:ext>
              </a:extLst>
            </xdr:cNvPr>
            <xdr:cNvSpPr txBox="1"/>
          </xdr:nvSpPr>
          <xdr:spPr>
            <a:xfrm>
              <a:off x="5778500" y="30079949"/>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𝒆</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38" name="CuadroTexto 37">
              <a:extLst>
                <a:ext uri="{FF2B5EF4-FFF2-40B4-BE49-F238E27FC236}">
                  <a16:creationId xmlns:a16="http://schemas.microsoft.com/office/drawing/2014/main" id="{CDD0BB04-BAF0-4FE0-AB97-D39C04DCC911}"/>
                </a:ext>
              </a:extLst>
            </xdr:cNvPr>
            <xdr:cNvSpPr txBox="1"/>
          </xdr:nvSpPr>
          <xdr:spPr>
            <a:xfrm>
              <a:off x="5778500" y="30079949"/>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𝒆 𝒄𝒕</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4</xdr:col>
      <xdr:colOff>52917</xdr:colOff>
      <xdr:row>73</xdr:row>
      <xdr:rowOff>148167</xdr:rowOff>
    </xdr:from>
    <xdr:ext cx="984250" cy="210507"/>
    <mc:AlternateContent xmlns:mc="http://schemas.openxmlformats.org/markup-compatibility/2006" xmlns:a14="http://schemas.microsoft.com/office/drawing/2010/main">
      <mc:Choice Requires="a14">
        <xdr:sp macro="" textlink="">
          <xdr:nvSpPr>
            <xdr:cNvPr id="39" name="CuadroTexto 38">
              <a:extLst>
                <a:ext uri="{FF2B5EF4-FFF2-40B4-BE49-F238E27FC236}">
                  <a16:creationId xmlns:a16="http://schemas.microsoft.com/office/drawing/2014/main" id="{00000000-0008-0000-0900-000027000000}"/>
                </a:ext>
              </a:extLst>
            </xdr:cNvPr>
            <xdr:cNvSpPr txBox="1"/>
          </xdr:nvSpPr>
          <xdr:spPr>
            <a:xfrm>
              <a:off x="4205817" y="30069367"/>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39" name="CuadroTexto 38">
              <a:extLst>
                <a:ext uri="{FF2B5EF4-FFF2-40B4-BE49-F238E27FC236}">
                  <a16:creationId xmlns:a16="http://schemas.microsoft.com/office/drawing/2014/main" id="{93E69AAF-AE56-4B81-89D5-1DA4BCCA7A12}"/>
                </a:ext>
              </a:extLst>
            </xdr:cNvPr>
            <xdr:cNvSpPr txBox="1"/>
          </xdr:nvSpPr>
          <xdr:spPr>
            <a:xfrm>
              <a:off x="4205817" y="30069367"/>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𝒄𝒕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1</xdr:col>
      <xdr:colOff>35717</xdr:colOff>
      <xdr:row>73</xdr:row>
      <xdr:rowOff>95250</xdr:rowOff>
    </xdr:from>
    <xdr:ext cx="837407" cy="214313"/>
    <mc:AlternateContent xmlns:mc="http://schemas.openxmlformats.org/markup-compatibility/2006" xmlns:a14="http://schemas.microsoft.com/office/drawing/2010/main">
      <mc:Choice Requires="a14">
        <xdr:sp macro="" textlink="">
          <xdr:nvSpPr>
            <xdr:cNvPr id="40" name="CuadroTexto 39">
              <a:extLst>
                <a:ext uri="{FF2B5EF4-FFF2-40B4-BE49-F238E27FC236}">
                  <a16:creationId xmlns:a16="http://schemas.microsoft.com/office/drawing/2014/main" id="{00000000-0008-0000-0900-000028000000}"/>
                </a:ext>
              </a:extLst>
            </xdr:cNvPr>
            <xdr:cNvSpPr txBox="1"/>
          </xdr:nvSpPr>
          <xdr:spPr>
            <a:xfrm>
              <a:off x="1067592" y="29908500"/>
              <a:ext cx="837407" cy="2143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𝑵𝒓</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0" name="CuadroTexto 39">
              <a:extLst>
                <a:ext uri="{FF2B5EF4-FFF2-40B4-BE49-F238E27FC236}">
                  <a16:creationId xmlns:a16="http://schemas.microsoft.com/office/drawing/2014/main" id="{8A021869-46A8-43CB-A3B6-5AC1E45E5B02}"/>
                </a:ext>
              </a:extLst>
            </xdr:cNvPr>
            <xdr:cNvSpPr txBox="1"/>
          </xdr:nvSpPr>
          <xdr:spPr>
            <a:xfrm>
              <a:off x="1067592" y="29908500"/>
              <a:ext cx="837407" cy="2143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𝑵𝒓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8</xdr:col>
      <xdr:colOff>624417</xdr:colOff>
      <xdr:row>73</xdr:row>
      <xdr:rowOff>285751</xdr:rowOff>
    </xdr:from>
    <xdr:ext cx="1524000" cy="210507"/>
    <mc:AlternateContent xmlns:mc="http://schemas.openxmlformats.org/markup-compatibility/2006" xmlns:a14="http://schemas.microsoft.com/office/drawing/2010/main">
      <mc:Choice Requires="a14">
        <xdr:sp macro="" textlink="">
          <xdr:nvSpPr>
            <xdr:cNvPr id="41" name="CuadroTexto 40">
              <a:extLst>
                <a:ext uri="{FF2B5EF4-FFF2-40B4-BE49-F238E27FC236}">
                  <a16:creationId xmlns:a16="http://schemas.microsoft.com/office/drawing/2014/main" id="{00000000-0008-0000-0900-000029000000}"/>
                </a:ext>
              </a:extLst>
            </xdr:cNvPr>
            <xdr:cNvSpPr txBox="1"/>
          </xdr:nvSpPr>
          <xdr:spPr>
            <a:xfrm>
              <a:off x="9965267" y="30206951"/>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𝑼</m:t>
                  </m:r>
                  <m:r>
                    <a:rPr lang="es-CO" sz="1400" b="1" i="1">
                      <a:latin typeface="Cambria Math" panose="02040503050406030204" pitchFamily="18" charset="0"/>
                      <a:ea typeface="Cambria Math" panose="02040503050406030204" pitchFamily="18" charset="0"/>
                    </a:rPr>
                    <m:t> </m:t>
                  </m:r>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 </m:t>
                  </m:r>
                  <m:r>
                    <a:rPr lang="es-CO" sz="1400" b="1" i="1">
                      <a:latin typeface="Cambria Math" panose="02040503050406030204" pitchFamily="18" charset="0"/>
                      <a:ea typeface="Cambria Math" panose="02040503050406030204" pitchFamily="18" charset="0"/>
                    </a:rPr>
                    <m:t>𝒌</m:t>
                  </m:r>
                  <m:r>
                    <a:rPr lang="es-CO" sz="1400" b="1" i="1">
                      <a:latin typeface="Cambria Math" panose="02040503050406030204" pitchFamily="18" charset="0"/>
                      <a:ea typeface="Cambria Math" panose="02040503050406030204" pitchFamily="18" charset="0"/>
                    </a:rPr>
                    <m:t>=</m:t>
                  </m:r>
                  <m:r>
                    <a:rPr lang="es-CO" sz="1400" b="1" i="1">
                      <a:latin typeface="Cambria Math" panose="02040503050406030204" pitchFamily="18" charset="0"/>
                      <a:ea typeface="Cambria Math" panose="02040503050406030204" pitchFamily="18" charset="0"/>
                    </a:rPr>
                    <m:t>𝟐</m:t>
                  </m:r>
                </m:oMath>
              </a14:m>
              <a:r>
                <a:rPr lang="es-CO" sz="1400" b="1" i="1">
                  <a:latin typeface="Arial" panose="020B0604020202020204" pitchFamily="34" charset="0"/>
                  <a:cs typeface="Arial" panose="020B0604020202020204" pitchFamily="34" charset="0"/>
                </a:rPr>
                <a:t>)</a:t>
              </a:r>
            </a:p>
          </xdr:txBody>
        </xdr:sp>
      </mc:Choice>
      <mc:Fallback xmlns="">
        <xdr:sp macro="" textlink="">
          <xdr:nvSpPr>
            <xdr:cNvPr id="41" name="CuadroTexto 40">
              <a:extLst>
                <a:ext uri="{FF2B5EF4-FFF2-40B4-BE49-F238E27FC236}">
                  <a16:creationId xmlns:a16="http://schemas.microsoft.com/office/drawing/2014/main" id="{89A2750B-250F-4518-9F3C-28194DFEE7FD}"/>
                </a:ext>
              </a:extLst>
            </xdr:cNvPr>
            <xdr:cNvSpPr txBox="1"/>
          </xdr:nvSpPr>
          <xdr:spPr>
            <a:xfrm>
              <a:off x="9965267" y="30206951"/>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0">
                  <a:latin typeface="Cambria Math" panose="02040503050406030204" pitchFamily="18" charset="0"/>
                  <a:ea typeface="Cambria Math" panose="02040503050406030204" pitchFamily="18" charset="0"/>
                </a:rPr>
                <a:t>𝑼 ( 𝒎 𝒄𝒕 )  ( 𝒌=𝟐</a:t>
              </a:r>
              <a:r>
                <a:rPr lang="es-CO" sz="1400" b="1" i="1">
                  <a:latin typeface="Arial" panose="020B0604020202020204" pitchFamily="34" charset="0"/>
                  <a:cs typeface="Arial" panose="020B0604020202020204" pitchFamily="34" charset="0"/>
                </a:rPr>
                <a:t>)</a:t>
              </a:r>
            </a:p>
          </xdr:txBody>
        </xdr:sp>
      </mc:Fallback>
    </mc:AlternateContent>
    <xdr:clientData/>
  </xdr:oneCellAnchor>
  <xdr:oneCellAnchor>
    <xdr:from>
      <xdr:col>9</xdr:col>
      <xdr:colOff>603252</xdr:colOff>
      <xdr:row>74</xdr:row>
      <xdr:rowOff>84667</xdr:rowOff>
    </xdr:from>
    <xdr:ext cx="465666" cy="219163"/>
    <xdr:sp macro="" textlink="">
      <xdr:nvSpPr>
        <xdr:cNvPr id="42" name="CuadroTexto 41">
          <a:extLst>
            <a:ext uri="{FF2B5EF4-FFF2-40B4-BE49-F238E27FC236}">
              <a16:creationId xmlns:a16="http://schemas.microsoft.com/office/drawing/2014/main" id="{00000000-0008-0000-0900-00002A000000}"/>
            </a:ext>
          </a:extLst>
        </xdr:cNvPr>
        <xdr:cNvSpPr txBox="1"/>
      </xdr:nvSpPr>
      <xdr:spPr>
        <a:xfrm>
          <a:off x="10909302" y="30520217"/>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9</xdr:col>
      <xdr:colOff>571499</xdr:colOff>
      <xdr:row>75</xdr:row>
      <xdr:rowOff>116416</xdr:rowOff>
    </xdr:from>
    <xdr:ext cx="359835" cy="219163"/>
    <xdr:sp macro="" textlink="">
      <xdr:nvSpPr>
        <xdr:cNvPr id="43" name="CuadroTexto 42">
          <a:extLst>
            <a:ext uri="{FF2B5EF4-FFF2-40B4-BE49-F238E27FC236}">
              <a16:creationId xmlns:a16="http://schemas.microsoft.com/office/drawing/2014/main" id="{00000000-0008-0000-0900-00002B000000}"/>
            </a:ext>
          </a:extLst>
        </xdr:cNvPr>
        <xdr:cNvSpPr txBox="1"/>
      </xdr:nvSpPr>
      <xdr:spPr>
        <a:xfrm>
          <a:off x="10877549" y="30996466"/>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6</xdr:col>
      <xdr:colOff>275167</xdr:colOff>
      <xdr:row>74</xdr:row>
      <xdr:rowOff>148166</xdr:rowOff>
    </xdr:from>
    <xdr:ext cx="465666" cy="219163"/>
    <xdr:sp macro="" textlink="">
      <xdr:nvSpPr>
        <xdr:cNvPr id="44" name="CuadroTexto 43">
          <a:extLst>
            <a:ext uri="{FF2B5EF4-FFF2-40B4-BE49-F238E27FC236}">
              <a16:creationId xmlns:a16="http://schemas.microsoft.com/office/drawing/2014/main" id="{00000000-0008-0000-0900-00002C000000}"/>
            </a:ext>
          </a:extLst>
        </xdr:cNvPr>
        <xdr:cNvSpPr txBox="1"/>
      </xdr:nvSpPr>
      <xdr:spPr>
        <a:xfrm>
          <a:off x="6809317" y="30583716"/>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6</xdr:col>
      <xdr:colOff>328083</xdr:colOff>
      <xdr:row>75</xdr:row>
      <xdr:rowOff>84667</xdr:rowOff>
    </xdr:from>
    <xdr:ext cx="359835" cy="219163"/>
    <xdr:sp macro="" textlink="">
      <xdr:nvSpPr>
        <xdr:cNvPr id="45" name="CuadroTexto 44">
          <a:extLst>
            <a:ext uri="{FF2B5EF4-FFF2-40B4-BE49-F238E27FC236}">
              <a16:creationId xmlns:a16="http://schemas.microsoft.com/office/drawing/2014/main" id="{00000000-0008-0000-0900-00002D000000}"/>
            </a:ext>
          </a:extLst>
        </xdr:cNvPr>
        <xdr:cNvSpPr txBox="1"/>
      </xdr:nvSpPr>
      <xdr:spPr>
        <a:xfrm>
          <a:off x="6862233" y="30964717"/>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3</xdr:col>
      <xdr:colOff>560916</xdr:colOff>
      <xdr:row>72</xdr:row>
      <xdr:rowOff>74084</xdr:rowOff>
    </xdr:from>
    <xdr:ext cx="1524000" cy="210507"/>
    <mc:AlternateContent xmlns:mc="http://schemas.openxmlformats.org/markup-compatibility/2006" xmlns:a14="http://schemas.microsoft.com/office/drawing/2010/main">
      <mc:Choice Requires="a14">
        <xdr:sp macro="" textlink="">
          <xdr:nvSpPr>
            <xdr:cNvPr id="46" name="CuadroTexto 45">
              <a:extLst>
                <a:ext uri="{FF2B5EF4-FFF2-40B4-BE49-F238E27FC236}">
                  <a16:creationId xmlns:a16="http://schemas.microsoft.com/office/drawing/2014/main" id="{00000000-0008-0000-0900-00002E000000}"/>
                </a:ext>
              </a:extLst>
            </xdr:cNvPr>
            <xdr:cNvSpPr txBox="1"/>
          </xdr:nvSpPr>
          <xdr:spPr>
            <a:xfrm>
              <a:off x="3526366" y="29550784"/>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m:t>
                    </m:r>
                  </m:oMath>
                </m:oMathPara>
              </a14:m>
              <a:endParaRPr lang="es-CO" sz="1400" b="1" i="1">
                <a:latin typeface="Arial" panose="020B0604020202020204" pitchFamily="34" charset="0"/>
                <a:cs typeface="Arial" panose="020B0604020202020204" pitchFamily="34" charset="0"/>
              </a:endParaRPr>
            </a:p>
          </xdr:txBody>
        </xdr:sp>
      </mc:Choice>
      <mc:Fallback xmlns="">
        <xdr:sp macro="" textlink="">
          <xdr:nvSpPr>
            <xdr:cNvPr id="46" name="CuadroTexto 45">
              <a:extLst>
                <a:ext uri="{FF2B5EF4-FFF2-40B4-BE49-F238E27FC236}">
                  <a16:creationId xmlns:a16="http://schemas.microsoft.com/office/drawing/2014/main" id="{2A4CD100-4424-4EB8-ABF6-A4D7BCF04189}"/>
                </a:ext>
              </a:extLst>
            </xdr:cNvPr>
            <xdr:cNvSpPr txBox="1"/>
          </xdr:nvSpPr>
          <xdr:spPr>
            <a:xfrm>
              <a:off x="3526366" y="29550784"/>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 𝒎 𝒄𝒕 )   </a:t>
              </a:r>
              <a:endParaRPr lang="es-CO" sz="1400" b="1" i="1">
                <a:latin typeface="Arial" panose="020B0604020202020204" pitchFamily="34" charset="0"/>
                <a:cs typeface="Arial" panose="020B0604020202020204" pitchFamily="34" charset="0"/>
              </a:endParaRPr>
            </a:p>
          </xdr:txBody>
        </xdr:sp>
      </mc:Fallback>
    </mc:AlternateContent>
    <xdr:clientData/>
  </xdr:oneCellAnchor>
  <xdr:oneCellAnchor>
    <xdr:from>
      <xdr:col>7</xdr:col>
      <xdr:colOff>411956</xdr:colOff>
      <xdr:row>71</xdr:row>
      <xdr:rowOff>406003</xdr:rowOff>
    </xdr:from>
    <xdr:ext cx="65" cy="172227"/>
    <xdr:sp macro="" textlink="">
      <xdr:nvSpPr>
        <xdr:cNvPr id="47" name="CuadroTexto 46">
          <a:extLst>
            <a:ext uri="{FF2B5EF4-FFF2-40B4-BE49-F238E27FC236}">
              <a16:creationId xmlns:a16="http://schemas.microsoft.com/office/drawing/2014/main" id="{00000000-0008-0000-0900-00002F000000}"/>
            </a:ext>
          </a:extLst>
        </xdr:cNvPr>
        <xdr:cNvSpPr txBox="1"/>
      </xdr:nvSpPr>
      <xdr:spPr>
        <a:xfrm>
          <a:off x="8044656" y="29457253"/>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49" name="CuadroTexto 48">
              <a:extLst>
                <a:ext uri="{FF2B5EF4-FFF2-40B4-BE49-F238E27FC236}">
                  <a16:creationId xmlns:a16="http://schemas.microsoft.com/office/drawing/2014/main" id="{00000000-0008-0000-0900-000031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49" name="CuadroTexto 48">
              <a:extLst>
                <a:ext uri="{FF2B5EF4-FFF2-40B4-BE49-F238E27FC236}">
                  <a16:creationId xmlns:a16="http://schemas.microsoft.com/office/drawing/2014/main" id="{EEED4485-E828-4367-8FC5-6BB54E2744EF}"/>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50" name="CuadroTexto 49">
              <a:extLst>
                <a:ext uri="{FF2B5EF4-FFF2-40B4-BE49-F238E27FC236}">
                  <a16:creationId xmlns:a16="http://schemas.microsoft.com/office/drawing/2014/main" id="{00000000-0008-0000-0900-000032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50" name="CuadroTexto 49">
              <a:extLst>
                <a:ext uri="{FF2B5EF4-FFF2-40B4-BE49-F238E27FC236}">
                  <a16:creationId xmlns:a16="http://schemas.microsoft.com/office/drawing/2014/main" id="{7A6DE9E8-CB36-4562-8DE5-10B58FC466A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twoCellAnchor>
    <xdr:from>
      <xdr:col>7</xdr:col>
      <xdr:colOff>841375</xdr:colOff>
      <xdr:row>62</xdr:row>
      <xdr:rowOff>293687</xdr:rowOff>
    </xdr:from>
    <xdr:to>
      <xdr:col>11</xdr:col>
      <xdr:colOff>777874</xdr:colOff>
      <xdr:row>64</xdr:row>
      <xdr:rowOff>563562</xdr:rowOff>
    </xdr:to>
    <xdr:graphicFrame macro="">
      <xdr:nvGraphicFramePr>
        <xdr:cNvPr id="52" name="Gráfico 51">
          <a:extLst>
            <a:ext uri="{FF2B5EF4-FFF2-40B4-BE49-F238E27FC236}">
              <a16:creationId xmlns:a16="http://schemas.microsoft.com/office/drawing/2014/main" id="{00000000-0008-0000-0900-00003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214312</xdr:colOff>
      <xdr:row>0</xdr:row>
      <xdr:rowOff>71437</xdr:rowOff>
    </xdr:from>
    <xdr:to>
      <xdr:col>1</xdr:col>
      <xdr:colOff>554849</xdr:colOff>
      <xdr:row>0</xdr:row>
      <xdr:rowOff>687186</xdr:rowOff>
    </xdr:to>
    <xdr:pic>
      <xdr:nvPicPr>
        <xdr:cNvPr id="48" name="47 Imagen">
          <a:extLst>
            <a:ext uri="{FF2B5EF4-FFF2-40B4-BE49-F238E27FC236}">
              <a16:creationId xmlns:a16="http://schemas.microsoft.com/office/drawing/2014/main" id="{00000000-0008-0000-0900-000030000000}"/>
            </a:ext>
          </a:extLst>
        </xdr:cNvPr>
        <xdr:cNvPicPr>
          <a:picLocks noChangeAspect="1"/>
        </xdr:cNvPicPr>
      </xdr:nvPicPr>
      <xdr:blipFill>
        <a:blip xmlns:r="http://schemas.openxmlformats.org/officeDocument/2006/relationships" r:embed="rId2"/>
        <a:stretch>
          <a:fillRect/>
        </a:stretch>
      </xdr:blipFill>
      <xdr:spPr>
        <a:xfrm>
          <a:off x="214312" y="71437"/>
          <a:ext cx="1316850" cy="615749"/>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oneCellAnchor>
    <xdr:from>
      <xdr:col>1</xdr:col>
      <xdr:colOff>285935</xdr:colOff>
      <xdr:row>42</xdr:row>
      <xdr:rowOff>169517</xdr:rowOff>
    </xdr:from>
    <xdr:ext cx="177356" cy="176202"/>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00000000-0008-0000-0A00-000003000000}"/>
                </a:ext>
              </a:extLst>
            </xdr:cNvPr>
            <xdr:cNvSpPr txBox="1"/>
          </xdr:nvSpPr>
          <xdr:spPr>
            <a:xfrm>
              <a:off x="1314635" y="14958667"/>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bg1"/>
                            </a:solidFill>
                            <a:latin typeface="Cambria Math" panose="02040503050406030204" pitchFamily="18" charset="0"/>
                          </a:rPr>
                        </m:ctrlPr>
                      </m:accPr>
                      <m:e>
                        <m:r>
                          <a:rPr lang="es-CO" sz="1100" b="1" i="1">
                            <a:solidFill>
                              <a:schemeClr val="bg1"/>
                            </a:solidFill>
                            <a:latin typeface="Cambria Math" panose="02040503050406030204" pitchFamily="18" charset="0"/>
                            <a:ea typeface="Cambria Math" panose="02040503050406030204" pitchFamily="18" charset="0"/>
                          </a:rPr>
                          <m:t>∆</m:t>
                        </m:r>
                        <m:r>
                          <a:rPr lang="es-CO" sz="1100" b="1" i="1">
                            <a:solidFill>
                              <a:schemeClr val="bg1"/>
                            </a:solidFill>
                            <a:latin typeface="Cambria Math" panose="02040503050406030204" pitchFamily="18" charset="0"/>
                            <a:ea typeface="Cambria Math" panose="02040503050406030204" pitchFamily="18" charset="0"/>
                          </a:rPr>
                          <m:t>𝑰</m:t>
                        </m:r>
                      </m:e>
                    </m:acc>
                  </m:oMath>
                </m:oMathPara>
              </a14:m>
              <a:endParaRPr lang="es-CO" sz="1100" b="1">
                <a:solidFill>
                  <a:schemeClr val="bg1"/>
                </a:solidFill>
              </a:endParaRPr>
            </a:p>
          </xdr:txBody>
        </xdr:sp>
      </mc:Choice>
      <mc:Fallback xmlns="">
        <xdr:sp macro="" textlink="">
          <xdr:nvSpPr>
            <xdr:cNvPr id="3" name="CuadroTexto 2">
              <a:extLst>
                <a:ext uri="{FF2B5EF4-FFF2-40B4-BE49-F238E27FC236}">
                  <a16:creationId xmlns:a16="http://schemas.microsoft.com/office/drawing/2014/main" id="{5294F771-339B-4F31-807C-70A39D40CA7D}"/>
                </a:ext>
              </a:extLst>
            </xdr:cNvPr>
            <xdr:cNvSpPr txBox="1"/>
          </xdr:nvSpPr>
          <xdr:spPr>
            <a:xfrm>
              <a:off x="1314635" y="14958667"/>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bg1"/>
                  </a:solidFill>
                  <a:latin typeface="Cambria Math" panose="02040503050406030204" pitchFamily="18" charset="0"/>
                </a:rPr>
                <a:t>(</a:t>
              </a:r>
              <a:r>
                <a:rPr lang="es-CO" sz="1100" b="1" i="0">
                  <a:solidFill>
                    <a:schemeClr val="bg1"/>
                  </a:solidFill>
                  <a:latin typeface="Cambria Math" panose="02040503050406030204" pitchFamily="18" charset="0"/>
                  <a:ea typeface="Cambria Math" panose="02040503050406030204" pitchFamily="18" charset="0"/>
                </a:rPr>
                <a:t>∆𝑰) ̅</a:t>
              </a:r>
              <a:endParaRPr lang="es-CO" sz="1100" b="1">
                <a:solidFill>
                  <a:schemeClr val="bg1"/>
                </a:solidFill>
              </a:endParaRPr>
            </a:p>
          </xdr:txBody>
        </xdr:sp>
      </mc:Fallback>
    </mc:AlternateContent>
    <xdr:clientData/>
  </xdr:oneCellAnchor>
  <xdr:oneCellAnchor>
    <xdr:from>
      <xdr:col>1</xdr:col>
      <xdr:colOff>136732</xdr:colOff>
      <xdr:row>58</xdr:row>
      <xdr:rowOff>253032</xdr:rowOff>
    </xdr:from>
    <xdr:ext cx="599716" cy="172227"/>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id="{00000000-0008-0000-0A00-000004000000}"/>
                </a:ext>
              </a:extLst>
            </xdr:cNvPr>
            <xdr:cNvSpPr txBox="1"/>
          </xdr:nvSpPr>
          <xdr:spPr>
            <a:xfrm>
              <a:off x="1165432" y="20750832"/>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𝒘</m:t>
                        </m:r>
                      </m:sub>
                    </m:sSub>
                    <m:r>
                      <a:rPr lang="es-CO" sz="1100" b="1" i="1">
                        <a:latin typeface="Cambria Math" panose="02040503050406030204" pitchFamily="18" charset="0"/>
                      </a:rPr>
                      <m:t>(</m:t>
                    </m:r>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4" name="CuadroTexto 3">
              <a:extLst>
                <a:ext uri="{FF2B5EF4-FFF2-40B4-BE49-F238E27FC236}">
                  <a16:creationId xmlns:a16="http://schemas.microsoft.com/office/drawing/2014/main" id="{20DA5D3C-36D3-46A8-9842-761B2F4BC084}"/>
                </a:ext>
              </a:extLst>
            </xdr:cNvPr>
            <xdr:cNvSpPr txBox="1"/>
          </xdr:nvSpPr>
          <xdr:spPr>
            <a:xfrm>
              <a:off x="1165432" y="20750832"/>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𝒖_𝒘 (</a:t>
              </a: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1</xdr:col>
      <xdr:colOff>202651</xdr:colOff>
      <xdr:row>61</xdr:row>
      <xdr:rowOff>265287</xdr:rowOff>
    </xdr:from>
    <xdr:ext cx="483915" cy="172227"/>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id="{00000000-0008-0000-0A00-000005000000}"/>
                </a:ext>
              </a:extLst>
            </xdr:cNvPr>
            <xdr:cNvSpPr txBox="1"/>
          </xdr:nvSpPr>
          <xdr:spPr>
            <a:xfrm>
              <a:off x="1231351" y="2297288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5" name="CuadroTexto 4">
              <a:extLst>
                <a:ext uri="{FF2B5EF4-FFF2-40B4-BE49-F238E27FC236}">
                  <a16:creationId xmlns:a16="http://schemas.microsoft.com/office/drawing/2014/main" id="{2ABD8150-7764-4A1A-B8AB-0226B497F398}"/>
                </a:ext>
              </a:extLst>
            </xdr:cNvPr>
            <xdr:cNvSpPr txBox="1"/>
          </xdr:nvSpPr>
          <xdr:spPr>
            <a:xfrm>
              <a:off x="1231351" y="2297288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𝒖(𝒎_𝒄𝒓)</a:t>
              </a:r>
              <a:endParaRPr lang="es-CO" sz="1100" b="1"/>
            </a:p>
          </xdr:txBody>
        </xdr:sp>
      </mc:Fallback>
    </mc:AlternateContent>
    <xdr:clientData/>
  </xdr:oneCellAnchor>
  <xdr:oneCellAnchor>
    <xdr:from>
      <xdr:col>1</xdr:col>
      <xdr:colOff>34166</xdr:colOff>
      <xdr:row>60</xdr:row>
      <xdr:rowOff>250203</xdr:rowOff>
    </xdr:from>
    <xdr:ext cx="689483" cy="172227"/>
    <mc:AlternateContent xmlns:mc="http://schemas.openxmlformats.org/markup-compatibility/2006" xmlns:a14="http://schemas.microsoft.com/office/drawing/2010/main">
      <mc:Choice Requires="a14">
        <xdr:sp macro="" textlink="">
          <xdr:nvSpPr>
            <xdr:cNvPr id="6" name="CuadroTexto 5">
              <a:extLst>
                <a:ext uri="{FF2B5EF4-FFF2-40B4-BE49-F238E27FC236}">
                  <a16:creationId xmlns:a16="http://schemas.microsoft.com/office/drawing/2014/main" id="{00000000-0008-0000-0A00-000006000000}"/>
                </a:ext>
              </a:extLst>
            </xdr:cNvPr>
            <xdr:cNvSpPr txBox="1"/>
          </xdr:nvSpPr>
          <xdr:spPr>
            <a:xfrm>
              <a:off x="1062866" y="22221203"/>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𝒊𝒏𝒔𝒕</m:t>
                        </m:r>
                      </m:sub>
                    </m:sSub>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0" i="1">
                        <a:latin typeface="Cambria Math" panose="02040503050406030204" pitchFamily="18" charset="0"/>
                      </a:rPr>
                      <m:t>)</m:t>
                    </m:r>
                  </m:oMath>
                </m:oMathPara>
              </a14:m>
              <a:endParaRPr lang="es-CO" sz="1100"/>
            </a:p>
          </xdr:txBody>
        </xdr:sp>
      </mc:Choice>
      <mc:Fallback xmlns="">
        <xdr:sp macro="" textlink="">
          <xdr:nvSpPr>
            <xdr:cNvPr id="6" name="CuadroTexto 5">
              <a:extLst>
                <a:ext uri="{FF2B5EF4-FFF2-40B4-BE49-F238E27FC236}">
                  <a16:creationId xmlns:a16="http://schemas.microsoft.com/office/drawing/2014/main" id="{541AFC8F-BF18-4099-A9BB-7382A98CD098}"/>
                </a:ext>
              </a:extLst>
            </xdr:cNvPr>
            <xdr:cNvSpPr txBox="1"/>
          </xdr:nvSpPr>
          <xdr:spPr>
            <a:xfrm>
              <a:off x="1062866" y="22221203"/>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𝒖_𝒊𝒏𝒔𝒕 (𝒎_𝒄𝒓</a:t>
              </a:r>
              <a:r>
                <a:rPr lang="es-CO" sz="1100" b="0" i="0">
                  <a:latin typeface="Cambria Math" panose="02040503050406030204" pitchFamily="18" charset="0"/>
                </a:rPr>
                <a:t>)</a:t>
              </a:r>
              <a:endParaRPr lang="es-CO" sz="1100"/>
            </a:p>
          </xdr:txBody>
        </xdr:sp>
      </mc:Fallback>
    </mc:AlternateContent>
    <xdr:clientData/>
  </xdr:oneCellAnchor>
  <xdr:oneCellAnchor>
    <xdr:from>
      <xdr:col>1</xdr:col>
      <xdr:colOff>183870</xdr:colOff>
      <xdr:row>62</xdr:row>
      <xdr:rowOff>264645</xdr:rowOff>
    </xdr:from>
    <xdr:ext cx="397353" cy="172227"/>
    <mc:AlternateContent xmlns:mc="http://schemas.openxmlformats.org/markup-compatibility/2006" xmlns:a14="http://schemas.microsoft.com/office/drawing/2010/main">
      <mc:Choice Requires="a14">
        <xdr:sp macro="" textlink="">
          <xdr:nvSpPr>
            <xdr:cNvPr id="7" name="CuadroTexto 6">
              <a:extLst>
                <a:ext uri="{FF2B5EF4-FFF2-40B4-BE49-F238E27FC236}">
                  <a16:creationId xmlns:a16="http://schemas.microsoft.com/office/drawing/2014/main" id="{00000000-0008-0000-0A00-000007000000}"/>
                </a:ext>
              </a:extLst>
            </xdr:cNvPr>
            <xdr:cNvSpPr txBox="1"/>
          </xdr:nvSpPr>
          <xdr:spPr>
            <a:xfrm>
              <a:off x="1212570" y="23708845"/>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𝒂</m:t>
                        </m:r>
                      </m:sub>
                    </m:sSub>
                    <m:r>
                      <a:rPr lang="es-CO" sz="1100" b="1" i="1">
                        <a:latin typeface="Cambria Math" panose="02040503050406030204" pitchFamily="18" charset="0"/>
                      </a:rPr>
                      <m:t>)</m:t>
                    </m:r>
                  </m:oMath>
                </m:oMathPara>
              </a14:m>
              <a:endParaRPr lang="es-CO" sz="1100" b="1"/>
            </a:p>
          </xdr:txBody>
        </xdr:sp>
      </mc:Choice>
      <mc:Fallback xmlns="">
        <xdr:sp macro="" textlink="">
          <xdr:nvSpPr>
            <xdr:cNvPr id="7" name="CuadroTexto 6">
              <a:extLst>
                <a:ext uri="{FF2B5EF4-FFF2-40B4-BE49-F238E27FC236}">
                  <a16:creationId xmlns:a16="http://schemas.microsoft.com/office/drawing/2014/main" id="{0F380B7C-5042-4481-877F-DC8C1CBBD1BA}"/>
                </a:ext>
              </a:extLst>
            </xdr:cNvPr>
            <xdr:cNvSpPr txBox="1"/>
          </xdr:nvSpPr>
          <xdr:spPr>
            <a:xfrm>
              <a:off x="1212570" y="23708845"/>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𝒂)</a:t>
              </a:r>
              <a:endParaRPr lang="es-CO" sz="1100" b="1"/>
            </a:p>
          </xdr:txBody>
        </xdr:sp>
      </mc:Fallback>
    </mc:AlternateContent>
    <xdr:clientData/>
  </xdr:oneCellAnchor>
  <xdr:oneCellAnchor>
    <xdr:from>
      <xdr:col>1</xdr:col>
      <xdr:colOff>186298</xdr:colOff>
      <xdr:row>63</xdr:row>
      <xdr:rowOff>266606</xdr:rowOff>
    </xdr:from>
    <xdr:ext cx="376642" cy="172227"/>
    <mc:AlternateContent xmlns:mc="http://schemas.openxmlformats.org/markup-compatibility/2006" xmlns:a14="http://schemas.microsoft.com/office/drawing/2010/main">
      <mc:Choice Requires="a14">
        <xdr:sp macro="" textlink="">
          <xdr:nvSpPr>
            <xdr:cNvPr id="8" name="CuadroTexto 7">
              <a:extLst>
                <a:ext uri="{FF2B5EF4-FFF2-40B4-BE49-F238E27FC236}">
                  <a16:creationId xmlns:a16="http://schemas.microsoft.com/office/drawing/2014/main" id="{00000000-0008-0000-0A00-000008000000}"/>
                </a:ext>
              </a:extLst>
            </xdr:cNvPr>
            <xdr:cNvSpPr txBox="1"/>
          </xdr:nvSpPr>
          <xdr:spPr>
            <a:xfrm>
              <a:off x="1214998" y="244474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𝒕</m:t>
                        </m:r>
                      </m:sub>
                    </m:sSub>
                    <m:r>
                      <a:rPr lang="es-CO" sz="1100" b="1" i="1">
                        <a:latin typeface="Cambria Math" panose="02040503050406030204" pitchFamily="18" charset="0"/>
                      </a:rPr>
                      <m:t>)</m:t>
                    </m:r>
                  </m:oMath>
                </m:oMathPara>
              </a14:m>
              <a:endParaRPr lang="es-CO" sz="1100" b="1"/>
            </a:p>
          </xdr:txBody>
        </xdr:sp>
      </mc:Choice>
      <mc:Fallback xmlns="">
        <xdr:sp macro="" textlink="">
          <xdr:nvSpPr>
            <xdr:cNvPr id="8" name="CuadroTexto 7">
              <a:extLst>
                <a:ext uri="{FF2B5EF4-FFF2-40B4-BE49-F238E27FC236}">
                  <a16:creationId xmlns:a16="http://schemas.microsoft.com/office/drawing/2014/main" id="{9E382DB2-236E-4DBC-81E9-E98AA9BB61D0}"/>
                </a:ext>
              </a:extLst>
            </xdr:cNvPr>
            <xdr:cNvSpPr txBox="1"/>
          </xdr:nvSpPr>
          <xdr:spPr>
            <a:xfrm>
              <a:off x="1214998" y="244474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𝒕)</a:t>
              </a:r>
              <a:endParaRPr lang="es-CO" sz="1100" b="1"/>
            </a:p>
          </xdr:txBody>
        </xdr:sp>
      </mc:Fallback>
    </mc:AlternateContent>
    <xdr:clientData/>
  </xdr:oneCellAnchor>
  <xdr:oneCellAnchor>
    <xdr:from>
      <xdr:col>1</xdr:col>
      <xdr:colOff>186298</xdr:colOff>
      <xdr:row>64</xdr:row>
      <xdr:rowOff>222250</xdr:rowOff>
    </xdr:from>
    <xdr:ext cx="388696" cy="172227"/>
    <mc:AlternateContent xmlns:mc="http://schemas.openxmlformats.org/markup-compatibility/2006" xmlns:a14="http://schemas.microsoft.com/office/drawing/2010/main">
      <mc:Choice Requires="a14">
        <xdr:sp macro="" textlink="">
          <xdr:nvSpPr>
            <xdr:cNvPr id="9" name="CuadroTexto 8">
              <a:extLst>
                <a:ext uri="{FF2B5EF4-FFF2-40B4-BE49-F238E27FC236}">
                  <a16:creationId xmlns:a16="http://schemas.microsoft.com/office/drawing/2014/main" id="{00000000-0008-0000-0A00-000009000000}"/>
                </a:ext>
              </a:extLst>
            </xdr:cNvPr>
            <xdr:cNvSpPr txBox="1"/>
          </xdr:nvSpPr>
          <xdr:spPr>
            <a:xfrm>
              <a:off x="1214998" y="25139650"/>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9" name="CuadroTexto 8">
              <a:extLst>
                <a:ext uri="{FF2B5EF4-FFF2-40B4-BE49-F238E27FC236}">
                  <a16:creationId xmlns:a16="http://schemas.microsoft.com/office/drawing/2014/main" id="{9272DC58-FE2E-4E0B-A834-340EC96BC97E}"/>
                </a:ext>
              </a:extLst>
            </xdr:cNvPr>
            <xdr:cNvSpPr txBox="1"/>
          </xdr:nvSpPr>
          <xdr:spPr>
            <a:xfrm>
              <a:off x="1214998" y="25139650"/>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𝒓)</a:t>
              </a:r>
              <a:endParaRPr lang="es-CO" sz="1100" b="1"/>
            </a:p>
          </xdr:txBody>
        </xdr:sp>
      </mc:Fallback>
    </mc:AlternateContent>
    <xdr:clientData/>
  </xdr:oneCellAnchor>
  <xdr:oneCellAnchor>
    <xdr:from>
      <xdr:col>1</xdr:col>
      <xdr:colOff>265579</xdr:colOff>
      <xdr:row>65</xdr:row>
      <xdr:rowOff>288458</xdr:rowOff>
    </xdr:from>
    <xdr:ext cx="191271" cy="172227"/>
    <mc:AlternateContent xmlns:mc="http://schemas.openxmlformats.org/markup-compatibility/2006" xmlns:a14="http://schemas.microsoft.com/office/drawing/2010/main">
      <mc:Choice Requires="a14">
        <xdr:sp macro="" textlink="">
          <xdr:nvSpPr>
            <xdr:cNvPr id="10" name="CuadroTexto 9">
              <a:extLst>
                <a:ext uri="{FF2B5EF4-FFF2-40B4-BE49-F238E27FC236}">
                  <a16:creationId xmlns:a16="http://schemas.microsoft.com/office/drawing/2014/main" id="{00000000-0008-0000-0A00-00000A000000}"/>
                </a:ext>
              </a:extLst>
            </xdr:cNvPr>
            <xdr:cNvSpPr txBox="1"/>
          </xdr:nvSpPr>
          <xdr:spPr>
            <a:xfrm>
              <a:off x="1294279" y="2594245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𝒃</m:t>
                        </m:r>
                      </m:sub>
                    </m:sSub>
                  </m:oMath>
                </m:oMathPara>
              </a14:m>
              <a:endParaRPr lang="es-CO" sz="1100" b="1"/>
            </a:p>
          </xdr:txBody>
        </xdr:sp>
      </mc:Choice>
      <mc:Fallback xmlns="">
        <xdr:sp macro="" textlink="">
          <xdr:nvSpPr>
            <xdr:cNvPr id="10" name="CuadroTexto 9">
              <a:extLst>
                <a:ext uri="{FF2B5EF4-FFF2-40B4-BE49-F238E27FC236}">
                  <a16:creationId xmlns:a16="http://schemas.microsoft.com/office/drawing/2014/main" id="{1ED72682-01B5-48D1-8908-D559380C67A0}"/>
                </a:ext>
              </a:extLst>
            </xdr:cNvPr>
            <xdr:cNvSpPr txBox="1"/>
          </xdr:nvSpPr>
          <xdr:spPr>
            <a:xfrm>
              <a:off x="1294279" y="2594245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𝒖_𝒃</a:t>
              </a:r>
              <a:endParaRPr lang="es-CO" sz="1100" b="1"/>
            </a:p>
          </xdr:txBody>
        </xdr:sp>
      </mc:Fallback>
    </mc:AlternateContent>
    <xdr:clientData/>
  </xdr:oneCellAnchor>
  <xdr:oneCellAnchor>
    <xdr:from>
      <xdr:col>1</xdr:col>
      <xdr:colOff>261391</xdr:colOff>
      <xdr:row>66</xdr:row>
      <xdr:rowOff>294234</xdr:rowOff>
    </xdr:from>
    <xdr:ext cx="195053" cy="172227"/>
    <mc:AlternateContent xmlns:mc="http://schemas.openxmlformats.org/markup-compatibility/2006" xmlns:a14="http://schemas.microsoft.com/office/drawing/2010/main">
      <mc:Choice Requires="a14">
        <xdr:sp macro="" textlink="">
          <xdr:nvSpPr>
            <xdr:cNvPr id="11" name="CuadroTexto 10">
              <a:extLst>
                <a:ext uri="{FF2B5EF4-FFF2-40B4-BE49-F238E27FC236}">
                  <a16:creationId xmlns:a16="http://schemas.microsoft.com/office/drawing/2014/main" id="{00000000-0008-0000-0A00-00000B000000}"/>
                </a:ext>
              </a:extLst>
            </xdr:cNvPr>
            <xdr:cNvSpPr txBox="1"/>
          </xdr:nvSpPr>
          <xdr:spPr>
            <a:xfrm>
              <a:off x="1290091" y="26684834"/>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𝒅</m:t>
                        </m:r>
                      </m:sub>
                    </m:sSub>
                  </m:oMath>
                </m:oMathPara>
              </a14:m>
              <a:endParaRPr lang="es-CO" sz="1100" b="1"/>
            </a:p>
          </xdr:txBody>
        </xdr:sp>
      </mc:Choice>
      <mc:Fallback xmlns="">
        <xdr:sp macro="" textlink="">
          <xdr:nvSpPr>
            <xdr:cNvPr id="11" name="CuadroTexto 10">
              <a:extLst>
                <a:ext uri="{FF2B5EF4-FFF2-40B4-BE49-F238E27FC236}">
                  <a16:creationId xmlns:a16="http://schemas.microsoft.com/office/drawing/2014/main" id="{AC771363-1D50-488C-9DAE-0DA5D2A42704}"/>
                </a:ext>
              </a:extLst>
            </xdr:cNvPr>
            <xdr:cNvSpPr txBox="1"/>
          </xdr:nvSpPr>
          <xdr:spPr>
            <a:xfrm>
              <a:off x="1290091" y="26684834"/>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𝒖_𝒅</a:t>
              </a:r>
              <a:endParaRPr lang="es-CO" sz="1100" b="1"/>
            </a:p>
          </xdr:txBody>
        </xdr:sp>
      </mc:Fallback>
    </mc:AlternateContent>
    <xdr:clientData/>
  </xdr:oneCellAnchor>
  <xdr:oneCellAnchor>
    <xdr:from>
      <xdr:col>5</xdr:col>
      <xdr:colOff>393571</xdr:colOff>
      <xdr:row>69</xdr:row>
      <xdr:rowOff>265119</xdr:rowOff>
    </xdr:from>
    <xdr:ext cx="529697" cy="172227"/>
    <mc:AlternateContent xmlns:mc="http://schemas.openxmlformats.org/markup-compatibility/2006" xmlns:a14="http://schemas.microsoft.com/office/drawing/2010/main">
      <mc:Choice Requires="a14">
        <xdr:sp macro="" textlink="">
          <xdr:nvSpPr>
            <xdr:cNvPr id="12" name="CuadroTexto 11">
              <a:extLst>
                <a:ext uri="{FF2B5EF4-FFF2-40B4-BE49-F238E27FC236}">
                  <a16:creationId xmlns:a16="http://schemas.microsoft.com/office/drawing/2014/main" id="{00000000-0008-0000-0A00-00000C000000}"/>
                </a:ext>
              </a:extLst>
            </xdr:cNvPr>
            <xdr:cNvSpPr txBox="1"/>
          </xdr:nvSpPr>
          <xdr:spPr>
            <a:xfrm>
              <a:off x="5632321" y="28217819"/>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𝒄</m:t>
                        </m:r>
                      </m:sub>
                    </m:sSub>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12" name="CuadroTexto 11">
              <a:extLst>
                <a:ext uri="{FF2B5EF4-FFF2-40B4-BE49-F238E27FC236}">
                  <a16:creationId xmlns:a16="http://schemas.microsoft.com/office/drawing/2014/main" id="{797ACFBE-08D8-4DFF-B71A-F405CBF30E40}"/>
                </a:ext>
              </a:extLst>
            </xdr:cNvPr>
            <xdr:cNvSpPr txBox="1"/>
          </xdr:nvSpPr>
          <xdr:spPr>
            <a:xfrm>
              <a:off x="5632321" y="28217819"/>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𝒖_𝒄 (</a:t>
              </a:r>
              <a:r>
                <a:rPr lang="es-CO" sz="1100" b="1" i="0">
                  <a:latin typeface="Cambria Math" panose="02040503050406030204" pitchFamily="18" charset="0"/>
                  <a:ea typeface="Cambria Math" panose="02040503050406030204" pitchFamily="18" charset="0"/>
                </a:rPr>
                <a:t>𝒎_𝒄𝒕)</a:t>
              </a:r>
              <a:endParaRPr lang="es-CO" sz="1100" b="1"/>
            </a:p>
          </xdr:txBody>
        </xdr:sp>
      </mc:Fallback>
    </mc:AlternateContent>
    <xdr:clientData/>
  </xdr:oneCellAnchor>
  <xdr:oneCellAnchor>
    <xdr:from>
      <xdr:col>5</xdr:col>
      <xdr:colOff>243965</xdr:colOff>
      <xdr:row>70</xdr:row>
      <xdr:rowOff>130277</xdr:rowOff>
    </xdr:from>
    <xdr:ext cx="780598" cy="172227"/>
    <mc:AlternateContent xmlns:mc="http://schemas.openxmlformats.org/markup-compatibility/2006" xmlns:a14="http://schemas.microsoft.com/office/drawing/2010/main">
      <mc:Choice Requires="a14">
        <xdr:sp macro="" textlink="">
          <xdr:nvSpPr>
            <xdr:cNvPr id="13" name="CuadroTexto 12">
              <a:extLst>
                <a:ext uri="{FF2B5EF4-FFF2-40B4-BE49-F238E27FC236}">
                  <a16:creationId xmlns:a16="http://schemas.microsoft.com/office/drawing/2014/main" id="{00000000-0008-0000-0A00-00000D000000}"/>
                </a:ext>
              </a:extLst>
            </xdr:cNvPr>
            <xdr:cNvSpPr txBox="1"/>
          </xdr:nvSpPr>
          <xdr:spPr>
            <a:xfrm>
              <a:off x="5482715" y="2873702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100" b="1" i="1">
                      <a:latin typeface="Cambria Math" panose="02040503050406030204" pitchFamily="18" charset="0"/>
                    </a:rPr>
                    <m:t>𝑼</m:t>
                  </m:r>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a14:m>
              <a:r>
                <a:rPr lang="es-CO" sz="1100" b="1"/>
                <a:t> (k=2)</a:t>
              </a:r>
            </a:p>
          </xdr:txBody>
        </xdr:sp>
      </mc:Choice>
      <mc:Fallback xmlns="">
        <xdr:sp macro="" textlink="">
          <xdr:nvSpPr>
            <xdr:cNvPr id="13" name="CuadroTexto 12">
              <a:extLst>
                <a:ext uri="{FF2B5EF4-FFF2-40B4-BE49-F238E27FC236}">
                  <a16:creationId xmlns:a16="http://schemas.microsoft.com/office/drawing/2014/main" id="{AD28457E-EF9E-431F-BC2C-5B64E1599C49}"/>
                </a:ext>
              </a:extLst>
            </xdr:cNvPr>
            <xdr:cNvSpPr txBox="1"/>
          </xdr:nvSpPr>
          <xdr:spPr>
            <a:xfrm>
              <a:off x="5482715" y="2873702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100" b="1" i="0">
                  <a:latin typeface="Cambria Math" panose="02040503050406030204" pitchFamily="18" charset="0"/>
                </a:rPr>
                <a:t>𝑼(</a:t>
              </a:r>
              <a:r>
                <a:rPr lang="es-CO" sz="1100" b="1" i="0">
                  <a:latin typeface="Cambria Math" panose="02040503050406030204" pitchFamily="18" charset="0"/>
                  <a:ea typeface="Cambria Math" panose="02040503050406030204" pitchFamily="18" charset="0"/>
                </a:rPr>
                <a:t>𝒎_𝒄𝒕)</a:t>
              </a:r>
              <a:r>
                <a:rPr lang="es-CO" sz="1100" b="1"/>
                <a:t> (k=2)</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14" name="CuadroTexto 13">
              <a:extLst>
                <a:ext uri="{FF2B5EF4-FFF2-40B4-BE49-F238E27FC236}">
                  <a16:creationId xmlns:a16="http://schemas.microsoft.com/office/drawing/2014/main" id="{00000000-0008-0000-0A00-00000E000000}"/>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14" name="CuadroTexto 13">
              <a:extLst>
                <a:ext uri="{FF2B5EF4-FFF2-40B4-BE49-F238E27FC236}">
                  <a16:creationId xmlns:a16="http://schemas.microsoft.com/office/drawing/2014/main" id="{DB251D47-12F1-45E5-90A7-D1677EEA9F3A}"/>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8</xdr:col>
      <xdr:colOff>541269</xdr:colOff>
      <xdr:row>52</xdr:row>
      <xdr:rowOff>78683</xdr:rowOff>
    </xdr:from>
    <xdr:ext cx="304571" cy="172227"/>
    <mc:AlternateContent xmlns:mc="http://schemas.openxmlformats.org/markup-compatibility/2006" xmlns:a14="http://schemas.microsoft.com/office/drawing/2010/main">
      <mc:Choice Requires="a14">
        <xdr:sp macro="" textlink="">
          <xdr:nvSpPr>
            <xdr:cNvPr id="15" name="CuadroTexto 14">
              <a:extLst>
                <a:ext uri="{FF2B5EF4-FFF2-40B4-BE49-F238E27FC236}">
                  <a16:creationId xmlns:a16="http://schemas.microsoft.com/office/drawing/2014/main" id="{00000000-0008-0000-0A00-00000F000000}"/>
                </a:ext>
              </a:extLst>
            </xdr:cNvPr>
            <xdr:cNvSpPr txBox="1"/>
          </xdr:nvSpPr>
          <xdr:spPr>
            <a:xfrm>
              <a:off x="9882119" y="18595283"/>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oMath>
                </m:oMathPara>
              </a14:m>
              <a:endParaRPr lang="es-CO" sz="1100" b="1"/>
            </a:p>
          </xdr:txBody>
        </xdr:sp>
      </mc:Choice>
      <mc:Fallback xmlns="">
        <xdr:sp macro="" textlink="">
          <xdr:nvSpPr>
            <xdr:cNvPr id="15" name="CuadroTexto 14">
              <a:extLst>
                <a:ext uri="{FF2B5EF4-FFF2-40B4-BE49-F238E27FC236}">
                  <a16:creationId xmlns:a16="http://schemas.microsoft.com/office/drawing/2014/main" id="{18714137-35CF-4FF7-8883-44B697A4C493}"/>
                </a:ext>
              </a:extLst>
            </xdr:cNvPr>
            <xdr:cNvSpPr txBox="1"/>
          </xdr:nvSpPr>
          <xdr:spPr>
            <a:xfrm>
              <a:off x="9882119" y="18595283"/>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4</xdr:col>
      <xdr:colOff>155713</xdr:colOff>
      <xdr:row>39</xdr:row>
      <xdr:rowOff>106017</xdr:rowOff>
    </xdr:from>
    <xdr:ext cx="65" cy="172227"/>
    <xdr:sp macro="" textlink="">
      <xdr:nvSpPr>
        <xdr:cNvPr id="16" name="CuadroTexto 15">
          <a:extLst>
            <a:ext uri="{FF2B5EF4-FFF2-40B4-BE49-F238E27FC236}">
              <a16:creationId xmlns:a16="http://schemas.microsoft.com/office/drawing/2014/main" id="{00000000-0008-0000-0A00-000010000000}"/>
            </a:ext>
          </a:extLst>
        </xdr:cNvPr>
        <xdr:cNvSpPr txBox="1"/>
      </xdr:nvSpPr>
      <xdr:spPr>
        <a:xfrm>
          <a:off x="4308613" y="1369501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17" name="CuadroTexto 16">
              <a:extLst>
                <a:ext uri="{FF2B5EF4-FFF2-40B4-BE49-F238E27FC236}">
                  <a16:creationId xmlns:a16="http://schemas.microsoft.com/office/drawing/2014/main" id="{00000000-0008-0000-0A00-000011000000}"/>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7" name="CuadroTexto 16">
              <a:extLst>
                <a:ext uri="{FF2B5EF4-FFF2-40B4-BE49-F238E27FC236}">
                  <a16:creationId xmlns:a16="http://schemas.microsoft.com/office/drawing/2014/main" id="{266B414F-1445-47DF-AB2A-BBA99DF2CFD0}"/>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18" name="CuadroTexto 17">
              <a:extLst>
                <a:ext uri="{FF2B5EF4-FFF2-40B4-BE49-F238E27FC236}">
                  <a16:creationId xmlns:a16="http://schemas.microsoft.com/office/drawing/2014/main" id="{00000000-0008-0000-0A00-000012000000}"/>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18" name="CuadroTexto 17">
              <a:extLst>
                <a:ext uri="{FF2B5EF4-FFF2-40B4-BE49-F238E27FC236}">
                  <a16:creationId xmlns:a16="http://schemas.microsoft.com/office/drawing/2014/main" id="{1786F109-1601-46F5-8FBA-8B1F54AA1FB3}"/>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19" name="CuadroTexto 18">
              <a:extLst>
                <a:ext uri="{FF2B5EF4-FFF2-40B4-BE49-F238E27FC236}">
                  <a16:creationId xmlns:a16="http://schemas.microsoft.com/office/drawing/2014/main" id="{00000000-0008-0000-0A00-000013000000}"/>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9" name="CuadroTexto 18">
              <a:extLst>
                <a:ext uri="{FF2B5EF4-FFF2-40B4-BE49-F238E27FC236}">
                  <a16:creationId xmlns:a16="http://schemas.microsoft.com/office/drawing/2014/main" id="{7B5EB811-3A8C-4CC2-90A3-323926F53A82}"/>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0" name="CuadroTexto 19">
              <a:extLst>
                <a:ext uri="{FF2B5EF4-FFF2-40B4-BE49-F238E27FC236}">
                  <a16:creationId xmlns:a16="http://schemas.microsoft.com/office/drawing/2014/main" id="{00000000-0008-0000-0A00-000014000000}"/>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0" name="CuadroTexto 19">
              <a:extLst>
                <a:ext uri="{FF2B5EF4-FFF2-40B4-BE49-F238E27FC236}">
                  <a16:creationId xmlns:a16="http://schemas.microsoft.com/office/drawing/2014/main" id="{F6336A62-58A1-42E4-B7E4-1EC036CDFF77}"/>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1" name="CuadroTexto 20">
          <a:extLst>
            <a:ext uri="{FF2B5EF4-FFF2-40B4-BE49-F238E27FC236}">
              <a16:creationId xmlns:a16="http://schemas.microsoft.com/office/drawing/2014/main" id="{00000000-0008-0000-0A00-000015000000}"/>
            </a:ext>
          </a:extLst>
        </xdr:cNvPr>
        <xdr:cNvSpPr txBox="1"/>
      </xdr:nvSpPr>
      <xdr:spPr>
        <a:xfrm>
          <a:off x="1376572" y="14521621"/>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3</xdr:col>
      <xdr:colOff>236456</xdr:colOff>
      <xdr:row>73</xdr:row>
      <xdr:rowOff>141002</xdr:rowOff>
    </xdr:from>
    <xdr:ext cx="730521" cy="219163"/>
    <mc:AlternateContent xmlns:mc="http://schemas.openxmlformats.org/markup-compatibility/2006" xmlns:a14="http://schemas.microsoft.com/office/drawing/2010/main">
      <mc:Choice Requires="a14">
        <xdr:sp macro="" textlink="">
          <xdr:nvSpPr>
            <xdr:cNvPr id="22" name="CuadroTexto 21">
              <a:extLst>
                <a:ext uri="{FF2B5EF4-FFF2-40B4-BE49-F238E27FC236}">
                  <a16:creationId xmlns:a16="http://schemas.microsoft.com/office/drawing/2014/main" id="{00000000-0008-0000-0A00-000016000000}"/>
                </a:ext>
              </a:extLst>
            </xdr:cNvPr>
            <xdr:cNvSpPr txBox="1"/>
          </xdr:nvSpPr>
          <xdr:spPr>
            <a:xfrm>
              <a:off x="3201906" y="30062202"/>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m:t>
                  </m:r>
                  <m:sSub>
                    <m:sSubPr>
                      <m:ctrlPr>
                        <a:rPr lang="es-CO" sz="1400" b="1" i="1">
                          <a:latin typeface="Cambria Math" panose="02040503050406030204" pitchFamily="18" charset="0"/>
                          <a:ea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𝒎</m:t>
                      </m:r>
                    </m:e>
                    <m:sub>
                      <m:r>
                        <a:rPr lang="es-CO" sz="1400" b="1" i="1">
                          <a:latin typeface="Cambria Math" panose="02040503050406030204" pitchFamily="18" charset="0"/>
                          <a:ea typeface="Cambria Math" panose="02040503050406030204" pitchFamily="18" charset="0"/>
                        </a:rPr>
                        <m:t>𝒄</m:t>
                      </m:r>
                    </m:sub>
                  </m:sSub>
                </m:oMath>
              </a14:m>
              <a:r>
                <a:rPr lang="es-CO" sz="1400" b="1" i="1"/>
                <a:t> (mg</a:t>
              </a:r>
              <a:r>
                <a:rPr lang="es-CO" sz="1200" b="1" i="0"/>
                <a:t>)</a:t>
              </a:r>
            </a:p>
          </xdr:txBody>
        </xdr:sp>
      </mc:Choice>
      <mc:Fallback xmlns="">
        <xdr:sp macro="" textlink="">
          <xdr:nvSpPr>
            <xdr:cNvPr id="22" name="CuadroTexto 21">
              <a:extLst>
                <a:ext uri="{FF2B5EF4-FFF2-40B4-BE49-F238E27FC236}">
                  <a16:creationId xmlns:a16="http://schemas.microsoft.com/office/drawing/2014/main" id="{996AA49F-2F70-44D5-95E4-900D2D9D9598}"/>
                </a:ext>
              </a:extLst>
            </xdr:cNvPr>
            <xdr:cNvSpPr txBox="1"/>
          </xdr:nvSpPr>
          <xdr:spPr>
            <a:xfrm>
              <a:off x="3201906" y="30062202"/>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400" b="1" i="0">
                  <a:latin typeface="Cambria Math" panose="02040503050406030204" pitchFamily="18" charset="0"/>
                  <a:ea typeface="Cambria Math" panose="02040503050406030204" pitchFamily="18" charset="0"/>
                </a:rPr>
                <a:t>∆𝒎_𝒄</a:t>
              </a:r>
              <a:r>
                <a:rPr lang="es-CO" sz="1400" b="1" i="1"/>
                <a:t> (mg</a:t>
              </a:r>
              <a:r>
                <a:rPr lang="es-CO" sz="1200" b="1" i="0"/>
                <a:t>)</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23" name="CuadroTexto 22">
              <a:extLst>
                <a:ext uri="{FF2B5EF4-FFF2-40B4-BE49-F238E27FC236}">
                  <a16:creationId xmlns:a16="http://schemas.microsoft.com/office/drawing/2014/main" id="{00000000-0008-0000-0A00-000017000000}"/>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23" name="CuadroTexto 22">
              <a:extLst>
                <a:ext uri="{FF2B5EF4-FFF2-40B4-BE49-F238E27FC236}">
                  <a16:creationId xmlns:a16="http://schemas.microsoft.com/office/drawing/2014/main" id="{70E9B622-3E2B-4BAE-932B-9F33EA7946DD}"/>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24" name="CuadroTexto 23">
          <a:extLst>
            <a:ext uri="{FF2B5EF4-FFF2-40B4-BE49-F238E27FC236}">
              <a16:creationId xmlns:a16="http://schemas.microsoft.com/office/drawing/2014/main" id="{00000000-0008-0000-0A00-000018000000}"/>
            </a:ext>
          </a:extLst>
        </xdr:cNvPr>
        <xdr:cNvSpPr txBox="1"/>
      </xdr:nvSpPr>
      <xdr:spPr>
        <a:xfrm>
          <a:off x="4308613" y="1369501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25" name="CuadroTexto 24">
              <a:extLst>
                <a:ext uri="{FF2B5EF4-FFF2-40B4-BE49-F238E27FC236}">
                  <a16:creationId xmlns:a16="http://schemas.microsoft.com/office/drawing/2014/main" id="{00000000-0008-0000-0A00-000019000000}"/>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5" name="CuadroTexto 24">
              <a:extLst>
                <a:ext uri="{FF2B5EF4-FFF2-40B4-BE49-F238E27FC236}">
                  <a16:creationId xmlns:a16="http://schemas.microsoft.com/office/drawing/2014/main" id="{7A33FCF8-1BC5-4028-8A1C-74E24E0E922F}"/>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26" name="CuadroTexto 25">
              <a:extLst>
                <a:ext uri="{FF2B5EF4-FFF2-40B4-BE49-F238E27FC236}">
                  <a16:creationId xmlns:a16="http://schemas.microsoft.com/office/drawing/2014/main" id="{00000000-0008-0000-0A00-00001A000000}"/>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6" name="CuadroTexto 25">
              <a:extLst>
                <a:ext uri="{FF2B5EF4-FFF2-40B4-BE49-F238E27FC236}">
                  <a16:creationId xmlns:a16="http://schemas.microsoft.com/office/drawing/2014/main" id="{56E557CB-1976-400E-AA96-745758E1AC39}"/>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27" name="CuadroTexto 26">
              <a:extLst>
                <a:ext uri="{FF2B5EF4-FFF2-40B4-BE49-F238E27FC236}">
                  <a16:creationId xmlns:a16="http://schemas.microsoft.com/office/drawing/2014/main" id="{00000000-0008-0000-0A00-00001B000000}"/>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7" name="CuadroTexto 26">
              <a:extLst>
                <a:ext uri="{FF2B5EF4-FFF2-40B4-BE49-F238E27FC236}">
                  <a16:creationId xmlns:a16="http://schemas.microsoft.com/office/drawing/2014/main" id="{C6ABA330-1535-4944-BD96-B01DD297DA1D}"/>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8" name="CuadroTexto 27">
              <a:extLst>
                <a:ext uri="{FF2B5EF4-FFF2-40B4-BE49-F238E27FC236}">
                  <a16:creationId xmlns:a16="http://schemas.microsoft.com/office/drawing/2014/main" id="{00000000-0008-0000-0A00-00001C000000}"/>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8" name="CuadroTexto 27">
              <a:extLst>
                <a:ext uri="{FF2B5EF4-FFF2-40B4-BE49-F238E27FC236}">
                  <a16:creationId xmlns:a16="http://schemas.microsoft.com/office/drawing/2014/main" id="{A2A84C87-E7C6-4975-B62E-5E715889B479}"/>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9" name="CuadroTexto 28">
          <a:extLst>
            <a:ext uri="{FF2B5EF4-FFF2-40B4-BE49-F238E27FC236}">
              <a16:creationId xmlns:a16="http://schemas.microsoft.com/office/drawing/2014/main" id="{00000000-0008-0000-0A00-00001D000000}"/>
            </a:ext>
          </a:extLst>
        </xdr:cNvPr>
        <xdr:cNvSpPr txBox="1"/>
      </xdr:nvSpPr>
      <xdr:spPr>
        <a:xfrm>
          <a:off x="1376572" y="14521621"/>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30" name="CuadroTexto 29">
              <a:extLst>
                <a:ext uri="{FF2B5EF4-FFF2-40B4-BE49-F238E27FC236}">
                  <a16:creationId xmlns:a16="http://schemas.microsoft.com/office/drawing/2014/main" id="{00000000-0008-0000-0A00-00001E000000}"/>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30" name="CuadroTexto 29">
              <a:extLst>
                <a:ext uri="{FF2B5EF4-FFF2-40B4-BE49-F238E27FC236}">
                  <a16:creationId xmlns:a16="http://schemas.microsoft.com/office/drawing/2014/main" id="{5922AA18-9132-47B7-8034-1589F7A449AB}"/>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31" name="CuadroTexto 30">
          <a:extLst>
            <a:ext uri="{FF2B5EF4-FFF2-40B4-BE49-F238E27FC236}">
              <a16:creationId xmlns:a16="http://schemas.microsoft.com/office/drawing/2014/main" id="{00000000-0008-0000-0A00-00001F000000}"/>
            </a:ext>
          </a:extLst>
        </xdr:cNvPr>
        <xdr:cNvSpPr txBox="1"/>
      </xdr:nvSpPr>
      <xdr:spPr>
        <a:xfrm>
          <a:off x="4308613" y="1369501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32" name="CuadroTexto 31">
              <a:extLst>
                <a:ext uri="{FF2B5EF4-FFF2-40B4-BE49-F238E27FC236}">
                  <a16:creationId xmlns:a16="http://schemas.microsoft.com/office/drawing/2014/main" id="{00000000-0008-0000-0A00-000020000000}"/>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2" name="CuadroTexto 31">
              <a:extLst>
                <a:ext uri="{FF2B5EF4-FFF2-40B4-BE49-F238E27FC236}">
                  <a16:creationId xmlns:a16="http://schemas.microsoft.com/office/drawing/2014/main" id="{F58F0EA0-F26B-4DAE-845F-BCAA872A551F}"/>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33" name="CuadroTexto 32">
              <a:extLst>
                <a:ext uri="{FF2B5EF4-FFF2-40B4-BE49-F238E27FC236}">
                  <a16:creationId xmlns:a16="http://schemas.microsoft.com/office/drawing/2014/main" id="{00000000-0008-0000-0A00-000021000000}"/>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3" name="CuadroTexto 32">
              <a:extLst>
                <a:ext uri="{FF2B5EF4-FFF2-40B4-BE49-F238E27FC236}">
                  <a16:creationId xmlns:a16="http://schemas.microsoft.com/office/drawing/2014/main" id="{4587F081-830D-4713-8E4D-B7553600F180}"/>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34" name="CuadroTexto 33">
              <a:extLst>
                <a:ext uri="{FF2B5EF4-FFF2-40B4-BE49-F238E27FC236}">
                  <a16:creationId xmlns:a16="http://schemas.microsoft.com/office/drawing/2014/main" id="{00000000-0008-0000-0A00-000022000000}"/>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4" name="CuadroTexto 33">
              <a:extLst>
                <a:ext uri="{FF2B5EF4-FFF2-40B4-BE49-F238E27FC236}">
                  <a16:creationId xmlns:a16="http://schemas.microsoft.com/office/drawing/2014/main" id="{84AA3CF0-80B0-4678-9C62-991DAECFB72B}"/>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35" name="CuadroTexto 34">
              <a:extLst>
                <a:ext uri="{FF2B5EF4-FFF2-40B4-BE49-F238E27FC236}">
                  <a16:creationId xmlns:a16="http://schemas.microsoft.com/office/drawing/2014/main" id="{00000000-0008-0000-0A00-000023000000}"/>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5" name="CuadroTexto 34">
              <a:extLst>
                <a:ext uri="{FF2B5EF4-FFF2-40B4-BE49-F238E27FC236}">
                  <a16:creationId xmlns:a16="http://schemas.microsoft.com/office/drawing/2014/main" id="{9752F34C-E545-4C66-9AE0-3ADEFCFE4289}"/>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36" name="CuadroTexto 35">
          <a:extLst>
            <a:ext uri="{FF2B5EF4-FFF2-40B4-BE49-F238E27FC236}">
              <a16:creationId xmlns:a16="http://schemas.microsoft.com/office/drawing/2014/main" id="{00000000-0008-0000-0A00-000024000000}"/>
            </a:ext>
          </a:extLst>
        </xdr:cNvPr>
        <xdr:cNvSpPr txBox="1"/>
      </xdr:nvSpPr>
      <xdr:spPr>
        <a:xfrm>
          <a:off x="1376572" y="14521621"/>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11</xdr:col>
      <xdr:colOff>628650</xdr:colOff>
      <xdr:row>61</xdr:row>
      <xdr:rowOff>0</xdr:rowOff>
    </xdr:from>
    <xdr:ext cx="65" cy="172227"/>
    <xdr:sp macro="" textlink="">
      <xdr:nvSpPr>
        <xdr:cNvPr id="37" name="CuadroTexto 36">
          <a:extLst>
            <a:ext uri="{FF2B5EF4-FFF2-40B4-BE49-F238E27FC236}">
              <a16:creationId xmlns:a16="http://schemas.microsoft.com/office/drawing/2014/main" id="{00000000-0008-0000-0A00-000025000000}"/>
            </a:ext>
          </a:extLst>
        </xdr:cNvPr>
        <xdr:cNvSpPr txBox="1"/>
      </xdr:nvSpPr>
      <xdr:spPr>
        <a:xfrm>
          <a:off x="12693650" y="22707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5</xdr:col>
      <xdr:colOff>539750</xdr:colOff>
      <xdr:row>73</xdr:row>
      <xdr:rowOff>158749</xdr:rowOff>
    </xdr:from>
    <xdr:ext cx="984250" cy="210507"/>
    <mc:AlternateContent xmlns:mc="http://schemas.openxmlformats.org/markup-compatibility/2006" xmlns:a14="http://schemas.microsoft.com/office/drawing/2010/main">
      <mc:Choice Requires="a14">
        <xdr:sp macro="" textlink="">
          <xdr:nvSpPr>
            <xdr:cNvPr id="38" name="CuadroTexto 37">
              <a:extLst>
                <a:ext uri="{FF2B5EF4-FFF2-40B4-BE49-F238E27FC236}">
                  <a16:creationId xmlns:a16="http://schemas.microsoft.com/office/drawing/2014/main" id="{00000000-0008-0000-0A00-000026000000}"/>
                </a:ext>
              </a:extLst>
            </xdr:cNvPr>
            <xdr:cNvSpPr txBox="1"/>
          </xdr:nvSpPr>
          <xdr:spPr>
            <a:xfrm>
              <a:off x="5778500" y="30079949"/>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𝒆</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38" name="CuadroTexto 37">
              <a:extLst>
                <a:ext uri="{FF2B5EF4-FFF2-40B4-BE49-F238E27FC236}">
                  <a16:creationId xmlns:a16="http://schemas.microsoft.com/office/drawing/2014/main" id="{AB48FBAF-C2C3-4F0D-BD62-42465CBDAF8C}"/>
                </a:ext>
              </a:extLst>
            </xdr:cNvPr>
            <xdr:cNvSpPr txBox="1"/>
          </xdr:nvSpPr>
          <xdr:spPr>
            <a:xfrm>
              <a:off x="5778500" y="30079949"/>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𝒆 𝒄𝒕</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4</xdr:col>
      <xdr:colOff>52917</xdr:colOff>
      <xdr:row>73</xdr:row>
      <xdr:rowOff>148167</xdr:rowOff>
    </xdr:from>
    <xdr:ext cx="984250" cy="210507"/>
    <mc:AlternateContent xmlns:mc="http://schemas.openxmlformats.org/markup-compatibility/2006" xmlns:a14="http://schemas.microsoft.com/office/drawing/2010/main">
      <mc:Choice Requires="a14">
        <xdr:sp macro="" textlink="">
          <xdr:nvSpPr>
            <xdr:cNvPr id="39" name="CuadroTexto 38">
              <a:extLst>
                <a:ext uri="{FF2B5EF4-FFF2-40B4-BE49-F238E27FC236}">
                  <a16:creationId xmlns:a16="http://schemas.microsoft.com/office/drawing/2014/main" id="{00000000-0008-0000-0A00-000027000000}"/>
                </a:ext>
              </a:extLst>
            </xdr:cNvPr>
            <xdr:cNvSpPr txBox="1"/>
          </xdr:nvSpPr>
          <xdr:spPr>
            <a:xfrm>
              <a:off x="4205817" y="30069367"/>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39" name="CuadroTexto 38">
              <a:extLst>
                <a:ext uri="{FF2B5EF4-FFF2-40B4-BE49-F238E27FC236}">
                  <a16:creationId xmlns:a16="http://schemas.microsoft.com/office/drawing/2014/main" id="{0E8FC306-DDBC-4B05-9BB8-DF03CF039E27}"/>
                </a:ext>
              </a:extLst>
            </xdr:cNvPr>
            <xdr:cNvSpPr txBox="1"/>
          </xdr:nvSpPr>
          <xdr:spPr>
            <a:xfrm>
              <a:off x="4205817" y="30069367"/>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𝒄𝒕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0</xdr:col>
      <xdr:colOff>1031874</xdr:colOff>
      <xdr:row>73</xdr:row>
      <xdr:rowOff>95250</xdr:rowOff>
    </xdr:from>
    <xdr:ext cx="881063" cy="210507"/>
    <mc:AlternateContent xmlns:mc="http://schemas.openxmlformats.org/markup-compatibility/2006" xmlns:a14="http://schemas.microsoft.com/office/drawing/2010/main">
      <mc:Choice Requires="a14">
        <xdr:sp macro="" textlink="">
          <xdr:nvSpPr>
            <xdr:cNvPr id="40" name="CuadroTexto 39">
              <a:extLst>
                <a:ext uri="{FF2B5EF4-FFF2-40B4-BE49-F238E27FC236}">
                  <a16:creationId xmlns:a16="http://schemas.microsoft.com/office/drawing/2014/main" id="{00000000-0008-0000-0A00-000028000000}"/>
                </a:ext>
              </a:extLst>
            </xdr:cNvPr>
            <xdr:cNvSpPr txBox="1"/>
          </xdr:nvSpPr>
          <xdr:spPr>
            <a:xfrm>
              <a:off x="1031874" y="29908500"/>
              <a:ext cx="881063"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𝑵𝒓</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0" name="CuadroTexto 39">
              <a:extLst>
                <a:ext uri="{FF2B5EF4-FFF2-40B4-BE49-F238E27FC236}">
                  <a16:creationId xmlns:a16="http://schemas.microsoft.com/office/drawing/2014/main" id="{45494DE0-1584-4404-99B5-3C098293DB5A}"/>
                </a:ext>
              </a:extLst>
            </xdr:cNvPr>
            <xdr:cNvSpPr txBox="1"/>
          </xdr:nvSpPr>
          <xdr:spPr>
            <a:xfrm>
              <a:off x="1031874" y="29908500"/>
              <a:ext cx="881063"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𝑵𝒓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8</xdr:col>
      <xdr:colOff>624417</xdr:colOff>
      <xdr:row>73</xdr:row>
      <xdr:rowOff>285751</xdr:rowOff>
    </xdr:from>
    <xdr:ext cx="1524000" cy="210507"/>
    <mc:AlternateContent xmlns:mc="http://schemas.openxmlformats.org/markup-compatibility/2006" xmlns:a14="http://schemas.microsoft.com/office/drawing/2010/main">
      <mc:Choice Requires="a14">
        <xdr:sp macro="" textlink="">
          <xdr:nvSpPr>
            <xdr:cNvPr id="41" name="CuadroTexto 40">
              <a:extLst>
                <a:ext uri="{FF2B5EF4-FFF2-40B4-BE49-F238E27FC236}">
                  <a16:creationId xmlns:a16="http://schemas.microsoft.com/office/drawing/2014/main" id="{00000000-0008-0000-0A00-000029000000}"/>
                </a:ext>
              </a:extLst>
            </xdr:cNvPr>
            <xdr:cNvSpPr txBox="1"/>
          </xdr:nvSpPr>
          <xdr:spPr>
            <a:xfrm>
              <a:off x="9965267" y="30206951"/>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𝑼</m:t>
                  </m:r>
                  <m:r>
                    <a:rPr lang="es-CO" sz="1400" b="1" i="1">
                      <a:latin typeface="Cambria Math" panose="02040503050406030204" pitchFamily="18" charset="0"/>
                      <a:ea typeface="Cambria Math" panose="02040503050406030204" pitchFamily="18" charset="0"/>
                    </a:rPr>
                    <m:t> </m:t>
                  </m:r>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 </m:t>
                  </m:r>
                  <m:r>
                    <a:rPr lang="es-CO" sz="1400" b="1" i="1">
                      <a:latin typeface="Cambria Math" panose="02040503050406030204" pitchFamily="18" charset="0"/>
                      <a:ea typeface="Cambria Math" panose="02040503050406030204" pitchFamily="18" charset="0"/>
                    </a:rPr>
                    <m:t>𝒌</m:t>
                  </m:r>
                  <m:r>
                    <a:rPr lang="es-CO" sz="1400" b="1" i="1">
                      <a:latin typeface="Cambria Math" panose="02040503050406030204" pitchFamily="18" charset="0"/>
                      <a:ea typeface="Cambria Math" panose="02040503050406030204" pitchFamily="18" charset="0"/>
                    </a:rPr>
                    <m:t>=</m:t>
                  </m:r>
                  <m:r>
                    <a:rPr lang="es-CO" sz="1400" b="1" i="1">
                      <a:latin typeface="Cambria Math" panose="02040503050406030204" pitchFamily="18" charset="0"/>
                      <a:ea typeface="Cambria Math" panose="02040503050406030204" pitchFamily="18" charset="0"/>
                    </a:rPr>
                    <m:t>𝟐</m:t>
                  </m:r>
                </m:oMath>
              </a14:m>
              <a:r>
                <a:rPr lang="es-CO" sz="1400" b="1" i="1">
                  <a:latin typeface="Arial" panose="020B0604020202020204" pitchFamily="34" charset="0"/>
                  <a:cs typeface="Arial" panose="020B0604020202020204" pitchFamily="34" charset="0"/>
                </a:rPr>
                <a:t>)</a:t>
              </a:r>
            </a:p>
          </xdr:txBody>
        </xdr:sp>
      </mc:Choice>
      <mc:Fallback xmlns="">
        <xdr:sp macro="" textlink="">
          <xdr:nvSpPr>
            <xdr:cNvPr id="41" name="CuadroTexto 40">
              <a:extLst>
                <a:ext uri="{FF2B5EF4-FFF2-40B4-BE49-F238E27FC236}">
                  <a16:creationId xmlns:a16="http://schemas.microsoft.com/office/drawing/2014/main" id="{B51A1559-5F17-42FD-8437-CB92A1FDC357}"/>
                </a:ext>
              </a:extLst>
            </xdr:cNvPr>
            <xdr:cNvSpPr txBox="1"/>
          </xdr:nvSpPr>
          <xdr:spPr>
            <a:xfrm>
              <a:off x="9965267" y="30206951"/>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0">
                  <a:latin typeface="Cambria Math" panose="02040503050406030204" pitchFamily="18" charset="0"/>
                  <a:ea typeface="Cambria Math" panose="02040503050406030204" pitchFamily="18" charset="0"/>
                </a:rPr>
                <a:t>𝑼 ( 𝒎 𝒄𝒕 )  ( 𝒌=𝟐</a:t>
              </a:r>
              <a:r>
                <a:rPr lang="es-CO" sz="1400" b="1" i="1">
                  <a:latin typeface="Arial" panose="020B0604020202020204" pitchFamily="34" charset="0"/>
                  <a:cs typeface="Arial" panose="020B0604020202020204" pitchFamily="34" charset="0"/>
                </a:rPr>
                <a:t>)</a:t>
              </a:r>
            </a:p>
          </xdr:txBody>
        </xdr:sp>
      </mc:Fallback>
    </mc:AlternateContent>
    <xdr:clientData/>
  </xdr:oneCellAnchor>
  <xdr:oneCellAnchor>
    <xdr:from>
      <xdr:col>9</xdr:col>
      <xdr:colOff>603252</xdr:colOff>
      <xdr:row>74</xdr:row>
      <xdr:rowOff>84667</xdr:rowOff>
    </xdr:from>
    <xdr:ext cx="465666" cy="219163"/>
    <xdr:sp macro="" textlink="">
      <xdr:nvSpPr>
        <xdr:cNvPr id="42" name="CuadroTexto 41">
          <a:extLst>
            <a:ext uri="{FF2B5EF4-FFF2-40B4-BE49-F238E27FC236}">
              <a16:creationId xmlns:a16="http://schemas.microsoft.com/office/drawing/2014/main" id="{00000000-0008-0000-0A00-00002A000000}"/>
            </a:ext>
          </a:extLst>
        </xdr:cNvPr>
        <xdr:cNvSpPr txBox="1"/>
      </xdr:nvSpPr>
      <xdr:spPr>
        <a:xfrm>
          <a:off x="10909302" y="30520217"/>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9</xdr:col>
      <xdr:colOff>571499</xdr:colOff>
      <xdr:row>75</xdr:row>
      <xdr:rowOff>116416</xdr:rowOff>
    </xdr:from>
    <xdr:ext cx="359835" cy="219163"/>
    <xdr:sp macro="" textlink="">
      <xdr:nvSpPr>
        <xdr:cNvPr id="43" name="CuadroTexto 42">
          <a:extLst>
            <a:ext uri="{FF2B5EF4-FFF2-40B4-BE49-F238E27FC236}">
              <a16:creationId xmlns:a16="http://schemas.microsoft.com/office/drawing/2014/main" id="{00000000-0008-0000-0A00-00002B000000}"/>
            </a:ext>
          </a:extLst>
        </xdr:cNvPr>
        <xdr:cNvSpPr txBox="1"/>
      </xdr:nvSpPr>
      <xdr:spPr>
        <a:xfrm>
          <a:off x="10877549" y="30996466"/>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6</xdr:col>
      <xdr:colOff>275167</xdr:colOff>
      <xdr:row>74</xdr:row>
      <xdr:rowOff>148166</xdr:rowOff>
    </xdr:from>
    <xdr:ext cx="465666" cy="219163"/>
    <xdr:sp macro="" textlink="">
      <xdr:nvSpPr>
        <xdr:cNvPr id="44" name="CuadroTexto 43">
          <a:extLst>
            <a:ext uri="{FF2B5EF4-FFF2-40B4-BE49-F238E27FC236}">
              <a16:creationId xmlns:a16="http://schemas.microsoft.com/office/drawing/2014/main" id="{00000000-0008-0000-0A00-00002C000000}"/>
            </a:ext>
          </a:extLst>
        </xdr:cNvPr>
        <xdr:cNvSpPr txBox="1"/>
      </xdr:nvSpPr>
      <xdr:spPr>
        <a:xfrm>
          <a:off x="6809317" y="30583716"/>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6</xdr:col>
      <xdr:colOff>328083</xdr:colOff>
      <xdr:row>75</xdr:row>
      <xdr:rowOff>84667</xdr:rowOff>
    </xdr:from>
    <xdr:ext cx="359835" cy="219163"/>
    <xdr:sp macro="" textlink="">
      <xdr:nvSpPr>
        <xdr:cNvPr id="45" name="CuadroTexto 44">
          <a:extLst>
            <a:ext uri="{FF2B5EF4-FFF2-40B4-BE49-F238E27FC236}">
              <a16:creationId xmlns:a16="http://schemas.microsoft.com/office/drawing/2014/main" id="{00000000-0008-0000-0A00-00002D000000}"/>
            </a:ext>
          </a:extLst>
        </xdr:cNvPr>
        <xdr:cNvSpPr txBox="1"/>
      </xdr:nvSpPr>
      <xdr:spPr>
        <a:xfrm>
          <a:off x="6862233" y="30964717"/>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3</xdr:col>
      <xdr:colOff>560916</xdr:colOff>
      <xdr:row>72</xdr:row>
      <xdr:rowOff>74084</xdr:rowOff>
    </xdr:from>
    <xdr:ext cx="1524000" cy="210507"/>
    <mc:AlternateContent xmlns:mc="http://schemas.openxmlformats.org/markup-compatibility/2006" xmlns:a14="http://schemas.microsoft.com/office/drawing/2010/main">
      <mc:Choice Requires="a14">
        <xdr:sp macro="" textlink="">
          <xdr:nvSpPr>
            <xdr:cNvPr id="46" name="CuadroTexto 45">
              <a:extLst>
                <a:ext uri="{FF2B5EF4-FFF2-40B4-BE49-F238E27FC236}">
                  <a16:creationId xmlns:a16="http://schemas.microsoft.com/office/drawing/2014/main" id="{00000000-0008-0000-0A00-00002E000000}"/>
                </a:ext>
              </a:extLst>
            </xdr:cNvPr>
            <xdr:cNvSpPr txBox="1"/>
          </xdr:nvSpPr>
          <xdr:spPr>
            <a:xfrm>
              <a:off x="3526366" y="29550784"/>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m:t>
                    </m:r>
                  </m:oMath>
                </m:oMathPara>
              </a14:m>
              <a:endParaRPr lang="es-CO" sz="1400" b="1" i="1">
                <a:latin typeface="Arial" panose="020B0604020202020204" pitchFamily="34" charset="0"/>
                <a:cs typeface="Arial" panose="020B0604020202020204" pitchFamily="34" charset="0"/>
              </a:endParaRPr>
            </a:p>
          </xdr:txBody>
        </xdr:sp>
      </mc:Choice>
      <mc:Fallback xmlns="">
        <xdr:sp macro="" textlink="">
          <xdr:nvSpPr>
            <xdr:cNvPr id="46" name="CuadroTexto 45">
              <a:extLst>
                <a:ext uri="{FF2B5EF4-FFF2-40B4-BE49-F238E27FC236}">
                  <a16:creationId xmlns:a16="http://schemas.microsoft.com/office/drawing/2014/main" id="{D8CFDC1A-A28A-4311-83F7-F058D31DCF2C}"/>
                </a:ext>
              </a:extLst>
            </xdr:cNvPr>
            <xdr:cNvSpPr txBox="1"/>
          </xdr:nvSpPr>
          <xdr:spPr>
            <a:xfrm>
              <a:off x="3526366" y="29550784"/>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 𝒎 𝒄𝒕 )   </a:t>
              </a:r>
              <a:endParaRPr lang="es-CO" sz="1400" b="1" i="1">
                <a:latin typeface="Arial" panose="020B0604020202020204" pitchFamily="34" charset="0"/>
                <a:cs typeface="Arial" panose="020B0604020202020204" pitchFamily="34" charset="0"/>
              </a:endParaRPr>
            </a:p>
          </xdr:txBody>
        </xdr:sp>
      </mc:Fallback>
    </mc:AlternateContent>
    <xdr:clientData/>
  </xdr:oneCellAnchor>
  <xdr:oneCellAnchor>
    <xdr:from>
      <xdr:col>7</xdr:col>
      <xdr:colOff>411956</xdr:colOff>
      <xdr:row>71</xdr:row>
      <xdr:rowOff>406003</xdr:rowOff>
    </xdr:from>
    <xdr:ext cx="65" cy="172227"/>
    <xdr:sp macro="" textlink="">
      <xdr:nvSpPr>
        <xdr:cNvPr id="47" name="CuadroTexto 46">
          <a:extLst>
            <a:ext uri="{FF2B5EF4-FFF2-40B4-BE49-F238E27FC236}">
              <a16:creationId xmlns:a16="http://schemas.microsoft.com/office/drawing/2014/main" id="{00000000-0008-0000-0A00-00002F000000}"/>
            </a:ext>
          </a:extLst>
        </xdr:cNvPr>
        <xdr:cNvSpPr txBox="1"/>
      </xdr:nvSpPr>
      <xdr:spPr>
        <a:xfrm>
          <a:off x="8044656" y="29457253"/>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49" name="CuadroTexto 48">
              <a:extLst>
                <a:ext uri="{FF2B5EF4-FFF2-40B4-BE49-F238E27FC236}">
                  <a16:creationId xmlns:a16="http://schemas.microsoft.com/office/drawing/2014/main" id="{00000000-0008-0000-0A00-000031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49" name="CuadroTexto 48">
              <a:extLst>
                <a:ext uri="{FF2B5EF4-FFF2-40B4-BE49-F238E27FC236}">
                  <a16:creationId xmlns:a16="http://schemas.microsoft.com/office/drawing/2014/main" id="{0BB4728F-18EA-451E-B7A3-5EA3D0758118}"/>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50" name="CuadroTexto 49">
              <a:extLst>
                <a:ext uri="{FF2B5EF4-FFF2-40B4-BE49-F238E27FC236}">
                  <a16:creationId xmlns:a16="http://schemas.microsoft.com/office/drawing/2014/main" id="{00000000-0008-0000-0A00-000032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50" name="CuadroTexto 49">
              <a:extLst>
                <a:ext uri="{FF2B5EF4-FFF2-40B4-BE49-F238E27FC236}">
                  <a16:creationId xmlns:a16="http://schemas.microsoft.com/office/drawing/2014/main" id="{320A803F-3545-47FB-98B8-0266F7E77912}"/>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twoCellAnchor>
    <xdr:from>
      <xdr:col>7</xdr:col>
      <xdr:colOff>865187</xdr:colOff>
      <xdr:row>62</xdr:row>
      <xdr:rowOff>246063</xdr:rowOff>
    </xdr:from>
    <xdr:to>
      <xdr:col>11</xdr:col>
      <xdr:colOff>801686</xdr:colOff>
      <xdr:row>64</xdr:row>
      <xdr:rowOff>515938</xdr:rowOff>
    </xdr:to>
    <xdr:graphicFrame macro="">
      <xdr:nvGraphicFramePr>
        <xdr:cNvPr id="52" name="Gráfico 51">
          <a:extLst>
            <a:ext uri="{FF2B5EF4-FFF2-40B4-BE49-F238E27FC236}">
              <a16:creationId xmlns:a16="http://schemas.microsoft.com/office/drawing/2014/main" id="{00000000-0008-0000-0A00-00003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238124</xdr:colOff>
      <xdr:row>0</xdr:row>
      <xdr:rowOff>71438</xdr:rowOff>
    </xdr:from>
    <xdr:to>
      <xdr:col>1</xdr:col>
      <xdr:colOff>578661</xdr:colOff>
      <xdr:row>0</xdr:row>
      <xdr:rowOff>687187</xdr:rowOff>
    </xdr:to>
    <xdr:pic>
      <xdr:nvPicPr>
        <xdr:cNvPr id="48" name="47 Imagen">
          <a:extLst>
            <a:ext uri="{FF2B5EF4-FFF2-40B4-BE49-F238E27FC236}">
              <a16:creationId xmlns:a16="http://schemas.microsoft.com/office/drawing/2014/main" id="{00000000-0008-0000-0A00-000030000000}"/>
            </a:ext>
          </a:extLst>
        </xdr:cNvPr>
        <xdr:cNvPicPr>
          <a:picLocks noChangeAspect="1"/>
        </xdr:cNvPicPr>
      </xdr:nvPicPr>
      <xdr:blipFill>
        <a:blip xmlns:r="http://schemas.openxmlformats.org/officeDocument/2006/relationships" r:embed="rId2"/>
        <a:stretch>
          <a:fillRect/>
        </a:stretch>
      </xdr:blipFill>
      <xdr:spPr>
        <a:xfrm>
          <a:off x="238124" y="71438"/>
          <a:ext cx="1316850" cy="615749"/>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oneCellAnchor>
    <xdr:from>
      <xdr:col>1</xdr:col>
      <xdr:colOff>285935</xdr:colOff>
      <xdr:row>42</xdr:row>
      <xdr:rowOff>169517</xdr:rowOff>
    </xdr:from>
    <xdr:ext cx="177356" cy="176202"/>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00000000-0008-0000-0B00-000003000000}"/>
                </a:ext>
              </a:extLst>
            </xdr:cNvPr>
            <xdr:cNvSpPr txBox="1"/>
          </xdr:nvSpPr>
          <xdr:spPr>
            <a:xfrm>
              <a:off x="1314635" y="14958667"/>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bg1"/>
                            </a:solidFill>
                            <a:latin typeface="Cambria Math" panose="02040503050406030204" pitchFamily="18" charset="0"/>
                          </a:rPr>
                        </m:ctrlPr>
                      </m:accPr>
                      <m:e>
                        <m:r>
                          <a:rPr lang="es-CO" sz="1100" b="1" i="1">
                            <a:solidFill>
                              <a:schemeClr val="bg1"/>
                            </a:solidFill>
                            <a:latin typeface="Cambria Math" panose="02040503050406030204" pitchFamily="18" charset="0"/>
                            <a:ea typeface="Cambria Math" panose="02040503050406030204" pitchFamily="18" charset="0"/>
                          </a:rPr>
                          <m:t>∆</m:t>
                        </m:r>
                        <m:r>
                          <a:rPr lang="es-CO" sz="1100" b="1" i="1">
                            <a:solidFill>
                              <a:schemeClr val="bg1"/>
                            </a:solidFill>
                            <a:latin typeface="Cambria Math" panose="02040503050406030204" pitchFamily="18" charset="0"/>
                            <a:ea typeface="Cambria Math" panose="02040503050406030204" pitchFamily="18" charset="0"/>
                          </a:rPr>
                          <m:t>𝑰</m:t>
                        </m:r>
                      </m:e>
                    </m:acc>
                  </m:oMath>
                </m:oMathPara>
              </a14:m>
              <a:endParaRPr lang="es-CO" sz="1100" b="1">
                <a:solidFill>
                  <a:schemeClr val="bg1"/>
                </a:solidFill>
              </a:endParaRPr>
            </a:p>
          </xdr:txBody>
        </xdr:sp>
      </mc:Choice>
      <mc:Fallback xmlns="">
        <xdr:sp macro="" textlink="">
          <xdr:nvSpPr>
            <xdr:cNvPr id="3" name="CuadroTexto 2">
              <a:extLst>
                <a:ext uri="{FF2B5EF4-FFF2-40B4-BE49-F238E27FC236}">
                  <a16:creationId xmlns:a16="http://schemas.microsoft.com/office/drawing/2014/main" id="{76E7D125-9455-41F9-93D9-C74343530AC1}"/>
                </a:ext>
              </a:extLst>
            </xdr:cNvPr>
            <xdr:cNvSpPr txBox="1"/>
          </xdr:nvSpPr>
          <xdr:spPr>
            <a:xfrm>
              <a:off x="1314635" y="14958667"/>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bg1"/>
                  </a:solidFill>
                  <a:latin typeface="Cambria Math" panose="02040503050406030204" pitchFamily="18" charset="0"/>
                </a:rPr>
                <a:t>(</a:t>
              </a:r>
              <a:r>
                <a:rPr lang="es-CO" sz="1100" b="1" i="0">
                  <a:solidFill>
                    <a:schemeClr val="bg1"/>
                  </a:solidFill>
                  <a:latin typeface="Cambria Math" panose="02040503050406030204" pitchFamily="18" charset="0"/>
                  <a:ea typeface="Cambria Math" panose="02040503050406030204" pitchFamily="18" charset="0"/>
                </a:rPr>
                <a:t>∆𝑰) ̅</a:t>
              </a:r>
              <a:endParaRPr lang="es-CO" sz="1100" b="1">
                <a:solidFill>
                  <a:schemeClr val="bg1"/>
                </a:solidFill>
              </a:endParaRPr>
            </a:p>
          </xdr:txBody>
        </xdr:sp>
      </mc:Fallback>
    </mc:AlternateContent>
    <xdr:clientData/>
  </xdr:oneCellAnchor>
  <xdr:oneCellAnchor>
    <xdr:from>
      <xdr:col>1</xdr:col>
      <xdr:colOff>136732</xdr:colOff>
      <xdr:row>58</xdr:row>
      <xdr:rowOff>253032</xdr:rowOff>
    </xdr:from>
    <xdr:ext cx="599716" cy="172227"/>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id="{00000000-0008-0000-0B00-000004000000}"/>
                </a:ext>
              </a:extLst>
            </xdr:cNvPr>
            <xdr:cNvSpPr txBox="1"/>
          </xdr:nvSpPr>
          <xdr:spPr>
            <a:xfrm>
              <a:off x="1165432" y="20750832"/>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𝒘</m:t>
                        </m:r>
                      </m:sub>
                    </m:sSub>
                    <m:r>
                      <a:rPr lang="es-CO" sz="1100" b="1" i="1">
                        <a:latin typeface="Cambria Math" panose="02040503050406030204" pitchFamily="18" charset="0"/>
                      </a:rPr>
                      <m:t>(</m:t>
                    </m:r>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4" name="CuadroTexto 3">
              <a:extLst>
                <a:ext uri="{FF2B5EF4-FFF2-40B4-BE49-F238E27FC236}">
                  <a16:creationId xmlns:a16="http://schemas.microsoft.com/office/drawing/2014/main" id="{8A4211D5-25A9-4B2E-BE36-6909CCA69EC5}"/>
                </a:ext>
              </a:extLst>
            </xdr:cNvPr>
            <xdr:cNvSpPr txBox="1"/>
          </xdr:nvSpPr>
          <xdr:spPr>
            <a:xfrm>
              <a:off x="1165432" y="20750832"/>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𝒖_𝒘 (</a:t>
              </a: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1</xdr:col>
      <xdr:colOff>202651</xdr:colOff>
      <xdr:row>61</xdr:row>
      <xdr:rowOff>265287</xdr:rowOff>
    </xdr:from>
    <xdr:ext cx="483915" cy="172227"/>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id="{00000000-0008-0000-0B00-000005000000}"/>
                </a:ext>
              </a:extLst>
            </xdr:cNvPr>
            <xdr:cNvSpPr txBox="1"/>
          </xdr:nvSpPr>
          <xdr:spPr>
            <a:xfrm>
              <a:off x="1231351" y="2297288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5" name="CuadroTexto 4">
              <a:extLst>
                <a:ext uri="{FF2B5EF4-FFF2-40B4-BE49-F238E27FC236}">
                  <a16:creationId xmlns:a16="http://schemas.microsoft.com/office/drawing/2014/main" id="{EF0E5415-571E-4328-9EEB-EBC2DA6DB428}"/>
                </a:ext>
              </a:extLst>
            </xdr:cNvPr>
            <xdr:cNvSpPr txBox="1"/>
          </xdr:nvSpPr>
          <xdr:spPr>
            <a:xfrm>
              <a:off x="1231351" y="2297288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𝒖(𝒎_𝒄𝒓)</a:t>
              </a:r>
              <a:endParaRPr lang="es-CO" sz="1100" b="1"/>
            </a:p>
          </xdr:txBody>
        </xdr:sp>
      </mc:Fallback>
    </mc:AlternateContent>
    <xdr:clientData/>
  </xdr:oneCellAnchor>
  <xdr:oneCellAnchor>
    <xdr:from>
      <xdr:col>1</xdr:col>
      <xdr:colOff>34166</xdr:colOff>
      <xdr:row>60</xdr:row>
      <xdr:rowOff>250203</xdr:rowOff>
    </xdr:from>
    <xdr:ext cx="689483" cy="172227"/>
    <mc:AlternateContent xmlns:mc="http://schemas.openxmlformats.org/markup-compatibility/2006" xmlns:a14="http://schemas.microsoft.com/office/drawing/2010/main">
      <mc:Choice Requires="a14">
        <xdr:sp macro="" textlink="">
          <xdr:nvSpPr>
            <xdr:cNvPr id="6" name="CuadroTexto 5">
              <a:extLst>
                <a:ext uri="{FF2B5EF4-FFF2-40B4-BE49-F238E27FC236}">
                  <a16:creationId xmlns:a16="http://schemas.microsoft.com/office/drawing/2014/main" id="{00000000-0008-0000-0B00-000006000000}"/>
                </a:ext>
              </a:extLst>
            </xdr:cNvPr>
            <xdr:cNvSpPr txBox="1"/>
          </xdr:nvSpPr>
          <xdr:spPr>
            <a:xfrm>
              <a:off x="1062866" y="22221203"/>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𝒊𝒏𝒔𝒕</m:t>
                        </m:r>
                      </m:sub>
                    </m:sSub>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0" i="1">
                        <a:latin typeface="Cambria Math" panose="02040503050406030204" pitchFamily="18" charset="0"/>
                      </a:rPr>
                      <m:t>)</m:t>
                    </m:r>
                  </m:oMath>
                </m:oMathPara>
              </a14:m>
              <a:endParaRPr lang="es-CO" sz="1100"/>
            </a:p>
          </xdr:txBody>
        </xdr:sp>
      </mc:Choice>
      <mc:Fallback xmlns="">
        <xdr:sp macro="" textlink="">
          <xdr:nvSpPr>
            <xdr:cNvPr id="6" name="CuadroTexto 5">
              <a:extLst>
                <a:ext uri="{FF2B5EF4-FFF2-40B4-BE49-F238E27FC236}">
                  <a16:creationId xmlns:a16="http://schemas.microsoft.com/office/drawing/2014/main" id="{E48A2DDB-0E65-46C4-B847-CA93EC814662}"/>
                </a:ext>
              </a:extLst>
            </xdr:cNvPr>
            <xdr:cNvSpPr txBox="1"/>
          </xdr:nvSpPr>
          <xdr:spPr>
            <a:xfrm>
              <a:off x="1062866" y="22221203"/>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𝒖_𝒊𝒏𝒔𝒕 (𝒎_𝒄𝒓</a:t>
              </a:r>
              <a:r>
                <a:rPr lang="es-CO" sz="1100" b="0" i="0">
                  <a:latin typeface="Cambria Math" panose="02040503050406030204" pitchFamily="18" charset="0"/>
                </a:rPr>
                <a:t>)</a:t>
              </a:r>
              <a:endParaRPr lang="es-CO" sz="1100"/>
            </a:p>
          </xdr:txBody>
        </xdr:sp>
      </mc:Fallback>
    </mc:AlternateContent>
    <xdr:clientData/>
  </xdr:oneCellAnchor>
  <xdr:oneCellAnchor>
    <xdr:from>
      <xdr:col>1</xdr:col>
      <xdr:colOff>183870</xdr:colOff>
      <xdr:row>62</xdr:row>
      <xdr:rowOff>264645</xdr:rowOff>
    </xdr:from>
    <xdr:ext cx="397353" cy="172227"/>
    <mc:AlternateContent xmlns:mc="http://schemas.openxmlformats.org/markup-compatibility/2006" xmlns:a14="http://schemas.microsoft.com/office/drawing/2010/main">
      <mc:Choice Requires="a14">
        <xdr:sp macro="" textlink="">
          <xdr:nvSpPr>
            <xdr:cNvPr id="7" name="CuadroTexto 6">
              <a:extLst>
                <a:ext uri="{FF2B5EF4-FFF2-40B4-BE49-F238E27FC236}">
                  <a16:creationId xmlns:a16="http://schemas.microsoft.com/office/drawing/2014/main" id="{00000000-0008-0000-0B00-000007000000}"/>
                </a:ext>
              </a:extLst>
            </xdr:cNvPr>
            <xdr:cNvSpPr txBox="1"/>
          </xdr:nvSpPr>
          <xdr:spPr>
            <a:xfrm>
              <a:off x="1212570" y="23708845"/>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𝒂</m:t>
                        </m:r>
                      </m:sub>
                    </m:sSub>
                    <m:r>
                      <a:rPr lang="es-CO" sz="1100" b="1" i="1">
                        <a:latin typeface="Cambria Math" panose="02040503050406030204" pitchFamily="18" charset="0"/>
                      </a:rPr>
                      <m:t>)</m:t>
                    </m:r>
                  </m:oMath>
                </m:oMathPara>
              </a14:m>
              <a:endParaRPr lang="es-CO" sz="1100" b="1"/>
            </a:p>
          </xdr:txBody>
        </xdr:sp>
      </mc:Choice>
      <mc:Fallback xmlns="">
        <xdr:sp macro="" textlink="">
          <xdr:nvSpPr>
            <xdr:cNvPr id="7" name="CuadroTexto 6">
              <a:extLst>
                <a:ext uri="{FF2B5EF4-FFF2-40B4-BE49-F238E27FC236}">
                  <a16:creationId xmlns:a16="http://schemas.microsoft.com/office/drawing/2014/main" id="{093F2FF7-823C-40DF-8205-D395EB566716}"/>
                </a:ext>
              </a:extLst>
            </xdr:cNvPr>
            <xdr:cNvSpPr txBox="1"/>
          </xdr:nvSpPr>
          <xdr:spPr>
            <a:xfrm>
              <a:off x="1212570" y="23708845"/>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𝒂)</a:t>
              </a:r>
              <a:endParaRPr lang="es-CO" sz="1100" b="1"/>
            </a:p>
          </xdr:txBody>
        </xdr:sp>
      </mc:Fallback>
    </mc:AlternateContent>
    <xdr:clientData/>
  </xdr:oneCellAnchor>
  <xdr:oneCellAnchor>
    <xdr:from>
      <xdr:col>1</xdr:col>
      <xdr:colOff>186298</xdr:colOff>
      <xdr:row>63</xdr:row>
      <xdr:rowOff>266606</xdr:rowOff>
    </xdr:from>
    <xdr:ext cx="376642" cy="172227"/>
    <mc:AlternateContent xmlns:mc="http://schemas.openxmlformats.org/markup-compatibility/2006" xmlns:a14="http://schemas.microsoft.com/office/drawing/2010/main">
      <mc:Choice Requires="a14">
        <xdr:sp macro="" textlink="">
          <xdr:nvSpPr>
            <xdr:cNvPr id="8" name="CuadroTexto 7">
              <a:extLst>
                <a:ext uri="{FF2B5EF4-FFF2-40B4-BE49-F238E27FC236}">
                  <a16:creationId xmlns:a16="http://schemas.microsoft.com/office/drawing/2014/main" id="{00000000-0008-0000-0B00-000008000000}"/>
                </a:ext>
              </a:extLst>
            </xdr:cNvPr>
            <xdr:cNvSpPr txBox="1"/>
          </xdr:nvSpPr>
          <xdr:spPr>
            <a:xfrm>
              <a:off x="1214998" y="244474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𝒕</m:t>
                        </m:r>
                      </m:sub>
                    </m:sSub>
                    <m:r>
                      <a:rPr lang="es-CO" sz="1100" b="1" i="1">
                        <a:latin typeface="Cambria Math" panose="02040503050406030204" pitchFamily="18" charset="0"/>
                      </a:rPr>
                      <m:t>)</m:t>
                    </m:r>
                  </m:oMath>
                </m:oMathPara>
              </a14:m>
              <a:endParaRPr lang="es-CO" sz="1100" b="1"/>
            </a:p>
          </xdr:txBody>
        </xdr:sp>
      </mc:Choice>
      <mc:Fallback xmlns="">
        <xdr:sp macro="" textlink="">
          <xdr:nvSpPr>
            <xdr:cNvPr id="8" name="CuadroTexto 7">
              <a:extLst>
                <a:ext uri="{FF2B5EF4-FFF2-40B4-BE49-F238E27FC236}">
                  <a16:creationId xmlns:a16="http://schemas.microsoft.com/office/drawing/2014/main" id="{0D8E3852-C024-4B3B-8873-B91AF70E7EB8}"/>
                </a:ext>
              </a:extLst>
            </xdr:cNvPr>
            <xdr:cNvSpPr txBox="1"/>
          </xdr:nvSpPr>
          <xdr:spPr>
            <a:xfrm>
              <a:off x="1214998" y="244474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𝒕)</a:t>
              </a:r>
              <a:endParaRPr lang="es-CO" sz="1100" b="1"/>
            </a:p>
          </xdr:txBody>
        </xdr:sp>
      </mc:Fallback>
    </mc:AlternateContent>
    <xdr:clientData/>
  </xdr:oneCellAnchor>
  <xdr:oneCellAnchor>
    <xdr:from>
      <xdr:col>1</xdr:col>
      <xdr:colOff>186298</xdr:colOff>
      <xdr:row>64</xdr:row>
      <xdr:rowOff>222250</xdr:rowOff>
    </xdr:from>
    <xdr:ext cx="388696" cy="172227"/>
    <mc:AlternateContent xmlns:mc="http://schemas.openxmlformats.org/markup-compatibility/2006" xmlns:a14="http://schemas.microsoft.com/office/drawing/2010/main">
      <mc:Choice Requires="a14">
        <xdr:sp macro="" textlink="">
          <xdr:nvSpPr>
            <xdr:cNvPr id="9" name="CuadroTexto 8">
              <a:extLst>
                <a:ext uri="{FF2B5EF4-FFF2-40B4-BE49-F238E27FC236}">
                  <a16:creationId xmlns:a16="http://schemas.microsoft.com/office/drawing/2014/main" id="{00000000-0008-0000-0B00-000009000000}"/>
                </a:ext>
              </a:extLst>
            </xdr:cNvPr>
            <xdr:cNvSpPr txBox="1"/>
          </xdr:nvSpPr>
          <xdr:spPr>
            <a:xfrm>
              <a:off x="1214998" y="25139650"/>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9" name="CuadroTexto 8">
              <a:extLst>
                <a:ext uri="{FF2B5EF4-FFF2-40B4-BE49-F238E27FC236}">
                  <a16:creationId xmlns:a16="http://schemas.microsoft.com/office/drawing/2014/main" id="{DC606F6C-7810-47DC-A73F-E0C1EAD9C735}"/>
                </a:ext>
              </a:extLst>
            </xdr:cNvPr>
            <xdr:cNvSpPr txBox="1"/>
          </xdr:nvSpPr>
          <xdr:spPr>
            <a:xfrm>
              <a:off x="1214998" y="25139650"/>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𝒓)</a:t>
              </a:r>
              <a:endParaRPr lang="es-CO" sz="1100" b="1"/>
            </a:p>
          </xdr:txBody>
        </xdr:sp>
      </mc:Fallback>
    </mc:AlternateContent>
    <xdr:clientData/>
  </xdr:oneCellAnchor>
  <xdr:oneCellAnchor>
    <xdr:from>
      <xdr:col>1</xdr:col>
      <xdr:colOff>265579</xdr:colOff>
      <xdr:row>65</xdr:row>
      <xdr:rowOff>288458</xdr:rowOff>
    </xdr:from>
    <xdr:ext cx="191271" cy="172227"/>
    <mc:AlternateContent xmlns:mc="http://schemas.openxmlformats.org/markup-compatibility/2006" xmlns:a14="http://schemas.microsoft.com/office/drawing/2010/main">
      <mc:Choice Requires="a14">
        <xdr:sp macro="" textlink="">
          <xdr:nvSpPr>
            <xdr:cNvPr id="10" name="CuadroTexto 9">
              <a:extLst>
                <a:ext uri="{FF2B5EF4-FFF2-40B4-BE49-F238E27FC236}">
                  <a16:creationId xmlns:a16="http://schemas.microsoft.com/office/drawing/2014/main" id="{00000000-0008-0000-0B00-00000A000000}"/>
                </a:ext>
              </a:extLst>
            </xdr:cNvPr>
            <xdr:cNvSpPr txBox="1"/>
          </xdr:nvSpPr>
          <xdr:spPr>
            <a:xfrm>
              <a:off x="1294279" y="2594245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𝒃</m:t>
                        </m:r>
                      </m:sub>
                    </m:sSub>
                  </m:oMath>
                </m:oMathPara>
              </a14:m>
              <a:endParaRPr lang="es-CO" sz="1100" b="1"/>
            </a:p>
          </xdr:txBody>
        </xdr:sp>
      </mc:Choice>
      <mc:Fallback xmlns="">
        <xdr:sp macro="" textlink="">
          <xdr:nvSpPr>
            <xdr:cNvPr id="10" name="CuadroTexto 9">
              <a:extLst>
                <a:ext uri="{FF2B5EF4-FFF2-40B4-BE49-F238E27FC236}">
                  <a16:creationId xmlns:a16="http://schemas.microsoft.com/office/drawing/2014/main" id="{E9694A77-78AF-4318-A780-2CE9ECF69186}"/>
                </a:ext>
              </a:extLst>
            </xdr:cNvPr>
            <xdr:cNvSpPr txBox="1"/>
          </xdr:nvSpPr>
          <xdr:spPr>
            <a:xfrm>
              <a:off x="1294279" y="2594245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𝒖_𝒃</a:t>
              </a:r>
              <a:endParaRPr lang="es-CO" sz="1100" b="1"/>
            </a:p>
          </xdr:txBody>
        </xdr:sp>
      </mc:Fallback>
    </mc:AlternateContent>
    <xdr:clientData/>
  </xdr:oneCellAnchor>
  <xdr:oneCellAnchor>
    <xdr:from>
      <xdr:col>1</xdr:col>
      <xdr:colOff>261391</xdr:colOff>
      <xdr:row>66</xdr:row>
      <xdr:rowOff>294234</xdr:rowOff>
    </xdr:from>
    <xdr:ext cx="195053" cy="172227"/>
    <mc:AlternateContent xmlns:mc="http://schemas.openxmlformats.org/markup-compatibility/2006" xmlns:a14="http://schemas.microsoft.com/office/drawing/2010/main">
      <mc:Choice Requires="a14">
        <xdr:sp macro="" textlink="">
          <xdr:nvSpPr>
            <xdr:cNvPr id="11" name="CuadroTexto 10">
              <a:extLst>
                <a:ext uri="{FF2B5EF4-FFF2-40B4-BE49-F238E27FC236}">
                  <a16:creationId xmlns:a16="http://schemas.microsoft.com/office/drawing/2014/main" id="{00000000-0008-0000-0B00-00000B000000}"/>
                </a:ext>
              </a:extLst>
            </xdr:cNvPr>
            <xdr:cNvSpPr txBox="1"/>
          </xdr:nvSpPr>
          <xdr:spPr>
            <a:xfrm>
              <a:off x="1290091" y="26684834"/>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𝒅</m:t>
                        </m:r>
                      </m:sub>
                    </m:sSub>
                  </m:oMath>
                </m:oMathPara>
              </a14:m>
              <a:endParaRPr lang="es-CO" sz="1100" b="1"/>
            </a:p>
          </xdr:txBody>
        </xdr:sp>
      </mc:Choice>
      <mc:Fallback xmlns="">
        <xdr:sp macro="" textlink="">
          <xdr:nvSpPr>
            <xdr:cNvPr id="11" name="CuadroTexto 10">
              <a:extLst>
                <a:ext uri="{FF2B5EF4-FFF2-40B4-BE49-F238E27FC236}">
                  <a16:creationId xmlns:a16="http://schemas.microsoft.com/office/drawing/2014/main" id="{7A3770D3-FC5A-411E-9D1B-ACE0BD38D9AD}"/>
                </a:ext>
              </a:extLst>
            </xdr:cNvPr>
            <xdr:cNvSpPr txBox="1"/>
          </xdr:nvSpPr>
          <xdr:spPr>
            <a:xfrm>
              <a:off x="1290091" y="26684834"/>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𝒖_𝒅</a:t>
              </a:r>
              <a:endParaRPr lang="es-CO" sz="1100" b="1"/>
            </a:p>
          </xdr:txBody>
        </xdr:sp>
      </mc:Fallback>
    </mc:AlternateContent>
    <xdr:clientData/>
  </xdr:oneCellAnchor>
  <xdr:oneCellAnchor>
    <xdr:from>
      <xdr:col>5</xdr:col>
      <xdr:colOff>393571</xdr:colOff>
      <xdr:row>69</xdr:row>
      <xdr:rowOff>265119</xdr:rowOff>
    </xdr:from>
    <xdr:ext cx="529697" cy="172227"/>
    <mc:AlternateContent xmlns:mc="http://schemas.openxmlformats.org/markup-compatibility/2006" xmlns:a14="http://schemas.microsoft.com/office/drawing/2010/main">
      <mc:Choice Requires="a14">
        <xdr:sp macro="" textlink="">
          <xdr:nvSpPr>
            <xdr:cNvPr id="12" name="CuadroTexto 11">
              <a:extLst>
                <a:ext uri="{FF2B5EF4-FFF2-40B4-BE49-F238E27FC236}">
                  <a16:creationId xmlns:a16="http://schemas.microsoft.com/office/drawing/2014/main" id="{00000000-0008-0000-0B00-00000C000000}"/>
                </a:ext>
              </a:extLst>
            </xdr:cNvPr>
            <xdr:cNvSpPr txBox="1"/>
          </xdr:nvSpPr>
          <xdr:spPr>
            <a:xfrm>
              <a:off x="5632321" y="28217819"/>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𝒄</m:t>
                        </m:r>
                      </m:sub>
                    </m:sSub>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12" name="CuadroTexto 11">
              <a:extLst>
                <a:ext uri="{FF2B5EF4-FFF2-40B4-BE49-F238E27FC236}">
                  <a16:creationId xmlns:a16="http://schemas.microsoft.com/office/drawing/2014/main" id="{5736B131-8269-4E2C-AC20-BC94CCC3661C}"/>
                </a:ext>
              </a:extLst>
            </xdr:cNvPr>
            <xdr:cNvSpPr txBox="1"/>
          </xdr:nvSpPr>
          <xdr:spPr>
            <a:xfrm>
              <a:off x="5632321" y="28217819"/>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𝒖_𝒄 (</a:t>
              </a:r>
              <a:r>
                <a:rPr lang="es-CO" sz="1100" b="1" i="0">
                  <a:latin typeface="Cambria Math" panose="02040503050406030204" pitchFamily="18" charset="0"/>
                  <a:ea typeface="Cambria Math" panose="02040503050406030204" pitchFamily="18" charset="0"/>
                </a:rPr>
                <a:t>𝒎_𝒄𝒕)</a:t>
              </a:r>
              <a:endParaRPr lang="es-CO" sz="1100" b="1"/>
            </a:p>
          </xdr:txBody>
        </xdr:sp>
      </mc:Fallback>
    </mc:AlternateContent>
    <xdr:clientData/>
  </xdr:oneCellAnchor>
  <xdr:oneCellAnchor>
    <xdr:from>
      <xdr:col>5</xdr:col>
      <xdr:colOff>243965</xdr:colOff>
      <xdr:row>70</xdr:row>
      <xdr:rowOff>130277</xdr:rowOff>
    </xdr:from>
    <xdr:ext cx="780598" cy="172227"/>
    <mc:AlternateContent xmlns:mc="http://schemas.openxmlformats.org/markup-compatibility/2006" xmlns:a14="http://schemas.microsoft.com/office/drawing/2010/main">
      <mc:Choice Requires="a14">
        <xdr:sp macro="" textlink="">
          <xdr:nvSpPr>
            <xdr:cNvPr id="13" name="CuadroTexto 12">
              <a:extLst>
                <a:ext uri="{FF2B5EF4-FFF2-40B4-BE49-F238E27FC236}">
                  <a16:creationId xmlns:a16="http://schemas.microsoft.com/office/drawing/2014/main" id="{00000000-0008-0000-0B00-00000D000000}"/>
                </a:ext>
              </a:extLst>
            </xdr:cNvPr>
            <xdr:cNvSpPr txBox="1"/>
          </xdr:nvSpPr>
          <xdr:spPr>
            <a:xfrm>
              <a:off x="5482715" y="2873702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100" b="1" i="1">
                      <a:latin typeface="Cambria Math" panose="02040503050406030204" pitchFamily="18" charset="0"/>
                    </a:rPr>
                    <m:t>𝑼</m:t>
                  </m:r>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a14:m>
              <a:r>
                <a:rPr lang="es-CO" sz="1100" b="1"/>
                <a:t> (k=2)</a:t>
              </a:r>
            </a:p>
          </xdr:txBody>
        </xdr:sp>
      </mc:Choice>
      <mc:Fallback xmlns="">
        <xdr:sp macro="" textlink="">
          <xdr:nvSpPr>
            <xdr:cNvPr id="13" name="CuadroTexto 12">
              <a:extLst>
                <a:ext uri="{FF2B5EF4-FFF2-40B4-BE49-F238E27FC236}">
                  <a16:creationId xmlns:a16="http://schemas.microsoft.com/office/drawing/2014/main" id="{A9A7F0D8-8E41-42A7-A24A-EC3D078BAE3B}"/>
                </a:ext>
              </a:extLst>
            </xdr:cNvPr>
            <xdr:cNvSpPr txBox="1"/>
          </xdr:nvSpPr>
          <xdr:spPr>
            <a:xfrm>
              <a:off x="5482715" y="2873702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100" b="1" i="0">
                  <a:latin typeface="Cambria Math" panose="02040503050406030204" pitchFamily="18" charset="0"/>
                </a:rPr>
                <a:t>𝑼(</a:t>
              </a:r>
              <a:r>
                <a:rPr lang="es-CO" sz="1100" b="1" i="0">
                  <a:latin typeface="Cambria Math" panose="02040503050406030204" pitchFamily="18" charset="0"/>
                  <a:ea typeface="Cambria Math" panose="02040503050406030204" pitchFamily="18" charset="0"/>
                </a:rPr>
                <a:t>𝒎_𝒄𝒕)</a:t>
              </a:r>
              <a:r>
                <a:rPr lang="es-CO" sz="1100" b="1"/>
                <a:t> (k=2)</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14" name="CuadroTexto 13">
              <a:extLst>
                <a:ext uri="{FF2B5EF4-FFF2-40B4-BE49-F238E27FC236}">
                  <a16:creationId xmlns:a16="http://schemas.microsoft.com/office/drawing/2014/main" id="{00000000-0008-0000-0B00-00000E000000}"/>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14" name="CuadroTexto 13">
              <a:extLst>
                <a:ext uri="{FF2B5EF4-FFF2-40B4-BE49-F238E27FC236}">
                  <a16:creationId xmlns:a16="http://schemas.microsoft.com/office/drawing/2014/main" id="{D6B45CDC-2F23-4847-9051-0DB9A6B844E5}"/>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8</xdr:col>
      <xdr:colOff>541269</xdr:colOff>
      <xdr:row>52</xdr:row>
      <xdr:rowOff>78683</xdr:rowOff>
    </xdr:from>
    <xdr:ext cx="304571" cy="172227"/>
    <mc:AlternateContent xmlns:mc="http://schemas.openxmlformats.org/markup-compatibility/2006" xmlns:a14="http://schemas.microsoft.com/office/drawing/2010/main">
      <mc:Choice Requires="a14">
        <xdr:sp macro="" textlink="">
          <xdr:nvSpPr>
            <xdr:cNvPr id="15" name="CuadroTexto 14">
              <a:extLst>
                <a:ext uri="{FF2B5EF4-FFF2-40B4-BE49-F238E27FC236}">
                  <a16:creationId xmlns:a16="http://schemas.microsoft.com/office/drawing/2014/main" id="{00000000-0008-0000-0B00-00000F000000}"/>
                </a:ext>
              </a:extLst>
            </xdr:cNvPr>
            <xdr:cNvSpPr txBox="1"/>
          </xdr:nvSpPr>
          <xdr:spPr>
            <a:xfrm>
              <a:off x="9882119" y="18595283"/>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oMath>
                </m:oMathPara>
              </a14:m>
              <a:endParaRPr lang="es-CO" sz="1100" b="1"/>
            </a:p>
          </xdr:txBody>
        </xdr:sp>
      </mc:Choice>
      <mc:Fallback xmlns="">
        <xdr:sp macro="" textlink="">
          <xdr:nvSpPr>
            <xdr:cNvPr id="15" name="CuadroTexto 14">
              <a:extLst>
                <a:ext uri="{FF2B5EF4-FFF2-40B4-BE49-F238E27FC236}">
                  <a16:creationId xmlns:a16="http://schemas.microsoft.com/office/drawing/2014/main" id="{5DA45627-A165-4513-B9FD-36C00D9EBDBF}"/>
                </a:ext>
              </a:extLst>
            </xdr:cNvPr>
            <xdr:cNvSpPr txBox="1"/>
          </xdr:nvSpPr>
          <xdr:spPr>
            <a:xfrm>
              <a:off x="9882119" y="18595283"/>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4</xdr:col>
      <xdr:colOff>155713</xdr:colOff>
      <xdr:row>39</xdr:row>
      <xdr:rowOff>106017</xdr:rowOff>
    </xdr:from>
    <xdr:ext cx="65" cy="172227"/>
    <xdr:sp macro="" textlink="">
      <xdr:nvSpPr>
        <xdr:cNvPr id="16" name="CuadroTexto 15">
          <a:extLst>
            <a:ext uri="{FF2B5EF4-FFF2-40B4-BE49-F238E27FC236}">
              <a16:creationId xmlns:a16="http://schemas.microsoft.com/office/drawing/2014/main" id="{00000000-0008-0000-0B00-000010000000}"/>
            </a:ext>
          </a:extLst>
        </xdr:cNvPr>
        <xdr:cNvSpPr txBox="1"/>
      </xdr:nvSpPr>
      <xdr:spPr>
        <a:xfrm>
          <a:off x="4308613" y="1369501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17" name="CuadroTexto 16">
              <a:extLst>
                <a:ext uri="{FF2B5EF4-FFF2-40B4-BE49-F238E27FC236}">
                  <a16:creationId xmlns:a16="http://schemas.microsoft.com/office/drawing/2014/main" id="{00000000-0008-0000-0B00-000011000000}"/>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7" name="CuadroTexto 16">
              <a:extLst>
                <a:ext uri="{FF2B5EF4-FFF2-40B4-BE49-F238E27FC236}">
                  <a16:creationId xmlns:a16="http://schemas.microsoft.com/office/drawing/2014/main" id="{EA96131A-91CD-491E-A72E-470244423DC2}"/>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18" name="CuadroTexto 17">
              <a:extLst>
                <a:ext uri="{FF2B5EF4-FFF2-40B4-BE49-F238E27FC236}">
                  <a16:creationId xmlns:a16="http://schemas.microsoft.com/office/drawing/2014/main" id="{00000000-0008-0000-0B00-000012000000}"/>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18" name="CuadroTexto 17">
              <a:extLst>
                <a:ext uri="{FF2B5EF4-FFF2-40B4-BE49-F238E27FC236}">
                  <a16:creationId xmlns:a16="http://schemas.microsoft.com/office/drawing/2014/main" id="{DBEB9FBD-6E99-462E-9475-D1415941F975}"/>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19" name="CuadroTexto 18">
              <a:extLst>
                <a:ext uri="{FF2B5EF4-FFF2-40B4-BE49-F238E27FC236}">
                  <a16:creationId xmlns:a16="http://schemas.microsoft.com/office/drawing/2014/main" id="{00000000-0008-0000-0B00-000013000000}"/>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9" name="CuadroTexto 18">
              <a:extLst>
                <a:ext uri="{FF2B5EF4-FFF2-40B4-BE49-F238E27FC236}">
                  <a16:creationId xmlns:a16="http://schemas.microsoft.com/office/drawing/2014/main" id="{45FE12FB-A66D-4C15-B8CA-00874A0F26A2}"/>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0" name="CuadroTexto 19">
              <a:extLst>
                <a:ext uri="{FF2B5EF4-FFF2-40B4-BE49-F238E27FC236}">
                  <a16:creationId xmlns:a16="http://schemas.microsoft.com/office/drawing/2014/main" id="{00000000-0008-0000-0B00-000014000000}"/>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0" name="CuadroTexto 19">
              <a:extLst>
                <a:ext uri="{FF2B5EF4-FFF2-40B4-BE49-F238E27FC236}">
                  <a16:creationId xmlns:a16="http://schemas.microsoft.com/office/drawing/2014/main" id="{6CAAFC2B-25D8-4DA7-B17F-802B93DCCF60}"/>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1" name="CuadroTexto 20">
          <a:extLst>
            <a:ext uri="{FF2B5EF4-FFF2-40B4-BE49-F238E27FC236}">
              <a16:creationId xmlns:a16="http://schemas.microsoft.com/office/drawing/2014/main" id="{00000000-0008-0000-0B00-000015000000}"/>
            </a:ext>
          </a:extLst>
        </xdr:cNvPr>
        <xdr:cNvSpPr txBox="1"/>
      </xdr:nvSpPr>
      <xdr:spPr>
        <a:xfrm>
          <a:off x="1376572" y="14521621"/>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3</xdr:col>
      <xdr:colOff>236456</xdr:colOff>
      <xdr:row>73</xdr:row>
      <xdr:rowOff>141002</xdr:rowOff>
    </xdr:from>
    <xdr:ext cx="730521" cy="219163"/>
    <mc:AlternateContent xmlns:mc="http://schemas.openxmlformats.org/markup-compatibility/2006" xmlns:a14="http://schemas.microsoft.com/office/drawing/2010/main">
      <mc:Choice Requires="a14">
        <xdr:sp macro="" textlink="">
          <xdr:nvSpPr>
            <xdr:cNvPr id="22" name="CuadroTexto 21">
              <a:extLst>
                <a:ext uri="{FF2B5EF4-FFF2-40B4-BE49-F238E27FC236}">
                  <a16:creationId xmlns:a16="http://schemas.microsoft.com/office/drawing/2014/main" id="{00000000-0008-0000-0B00-000016000000}"/>
                </a:ext>
              </a:extLst>
            </xdr:cNvPr>
            <xdr:cNvSpPr txBox="1"/>
          </xdr:nvSpPr>
          <xdr:spPr>
            <a:xfrm>
              <a:off x="3201906" y="30062202"/>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m:t>
                  </m:r>
                  <m:sSub>
                    <m:sSubPr>
                      <m:ctrlPr>
                        <a:rPr lang="es-CO" sz="1400" b="1" i="1">
                          <a:latin typeface="Cambria Math" panose="02040503050406030204" pitchFamily="18" charset="0"/>
                          <a:ea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𝒎</m:t>
                      </m:r>
                    </m:e>
                    <m:sub>
                      <m:r>
                        <a:rPr lang="es-CO" sz="1400" b="1" i="1">
                          <a:latin typeface="Cambria Math" panose="02040503050406030204" pitchFamily="18" charset="0"/>
                          <a:ea typeface="Cambria Math" panose="02040503050406030204" pitchFamily="18" charset="0"/>
                        </a:rPr>
                        <m:t>𝒄</m:t>
                      </m:r>
                    </m:sub>
                  </m:sSub>
                </m:oMath>
              </a14:m>
              <a:r>
                <a:rPr lang="es-CO" sz="1400" b="1" i="1"/>
                <a:t> (mg</a:t>
              </a:r>
              <a:r>
                <a:rPr lang="es-CO" sz="1200" b="1" i="0"/>
                <a:t>)</a:t>
              </a:r>
            </a:p>
          </xdr:txBody>
        </xdr:sp>
      </mc:Choice>
      <mc:Fallback xmlns="">
        <xdr:sp macro="" textlink="">
          <xdr:nvSpPr>
            <xdr:cNvPr id="22" name="CuadroTexto 21">
              <a:extLst>
                <a:ext uri="{FF2B5EF4-FFF2-40B4-BE49-F238E27FC236}">
                  <a16:creationId xmlns:a16="http://schemas.microsoft.com/office/drawing/2014/main" id="{17B7B4C8-1597-4C27-A990-9AE779B78D83}"/>
                </a:ext>
              </a:extLst>
            </xdr:cNvPr>
            <xdr:cNvSpPr txBox="1"/>
          </xdr:nvSpPr>
          <xdr:spPr>
            <a:xfrm>
              <a:off x="3201906" y="30062202"/>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400" b="1" i="0">
                  <a:latin typeface="Cambria Math" panose="02040503050406030204" pitchFamily="18" charset="0"/>
                  <a:ea typeface="Cambria Math" panose="02040503050406030204" pitchFamily="18" charset="0"/>
                </a:rPr>
                <a:t>∆𝒎_𝒄</a:t>
              </a:r>
              <a:r>
                <a:rPr lang="es-CO" sz="1400" b="1" i="1"/>
                <a:t> (mg</a:t>
              </a:r>
              <a:r>
                <a:rPr lang="es-CO" sz="1200" b="1" i="0"/>
                <a:t>)</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23" name="CuadroTexto 22">
              <a:extLst>
                <a:ext uri="{FF2B5EF4-FFF2-40B4-BE49-F238E27FC236}">
                  <a16:creationId xmlns:a16="http://schemas.microsoft.com/office/drawing/2014/main" id="{00000000-0008-0000-0B00-000017000000}"/>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23" name="CuadroTexto 22">
              <a:extLst>
                <a:ext uri="{FF2B5EF4-FFF2-40B4-BE49-F238E27FC236}">
                  <a16:creationId xmlns:a16="http://schemas.microsoft.com/office/drawing/2014/main" id="{1651DB3A-A0CD-496E-9F2C-53786962D0E3}"/>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24" name="CuadroTexto 23">
          <a:extLst>
            <a:ext uri="{FF2B5EF4-FFF2-40B4-BE49-F238E27FC236}">
              <a16:creationId xmlns:a16="http://schemas.microsoft.com/office/drawing/2014/main" id="{00000000-0008-0000-0B00-000018000000}"/>
            </a:ext>
          </a:extLst>
        </xdr:cNvPr>
        <xdr:cNvSpPr txBox="1"/>
      </xdr:nvSpPr>
      <xdr:spPr>
        <a:xfrm>
          <a:off x="4308613" y="1369501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25" name="CuadroTexto 24">
              <a:extLst>
                <a:ext uri="{FF2B5EF4-FFF2-40B4-BE49-F238E27FC236}">
                  <a16:creationId xmlns:a16="http://schemas.microsoft.com/office/drawing/2014/main" id="{00000000-0008-0000-0B00-000019000000}"/>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5" name="CuadroTexto 24">
              <a:extLst>
                <a:ext uri="{FF2B5EF4-FFF2-40B4-BE49-F238E27FC236}">
                  <a16:creationId xmlns:a16="http://schemas.microsoft.com/office/drawing/2014/main" id="{0749D333-D9F9-41AE-AA2D-680E124E9BBD}"/>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26" name="CuadroTexto 25">
              <a:extLst>
                <a:ext uri="{FF2B5EF4-FFF2-40B4-BE49-F238E27FC236}">
                  <a16:creationId xmlns:a16="http://schemas.microsoft.com/office/drawing/2014/main" id="{00000000-0008-0000-0B00-00001A000000}"/>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6" name="CuadroTexto 25">
              <a:extLst>
                <a:ext uri="{FF2B5EF4-FFF2-40B4-BE49-F238E27FC236}">
                  <a16:creationId xmlns:a16="http://schemas.microsoft.com/office/drawing/2014/main" id="{86DBD726-DB6D-4D15-A57F-26EC4672E154}"/>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27" name="CuadroTexto 26">
              <a:extLst>
                <a:ext uri="{FF2B5EF4-FFF2-40B4-BE49-F238E27FC236}">
                  <a16:creationId xmlns:a16="http://schemas.microsoft.com/office/drawing/2014/main" id="{00000000-0008-0000-0B00-00001B000000}"/>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7" name="CuadroTexto 26">
              <a:extLst>
                <a:ext uri="{FF2B5EF4-FFF2-40B4-BE49-F238E27FC236}">
                  <a16:creationId xmlns:a16="http://schemas.microsoft.com/office/drawing/2014/main" id="{ACEA6037-1F5F-4FF5-BC22-C6D949918610}"/>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8" name="CuadroTexto 27">
              <a:extLst>
                <a:ext uri="{FF2B5EF4-FFF2-40B4-BE49-F238E27FC236}">
                  <a16:creationId xmlns:a16="http://schemas.microsoft.com/office/drawing/2014/main" id="{00000000-0008-0000-0B00-00001C000000}"/>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8" name="CuadroTexto 27">
              <a:extLst>
                <a:ext uri="{FF2B5EF4-FFF2-40B4-BE49-F238E27FC236}">
                  <a16:creationId xmlns:a16="http://schemas.microsoft.com/office/drawing/2014/main" id="{3023C163-389D-4C21-B91B-DA9F5CFB9603}"/>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9" name="CuadroTexto 28">
          <a:extLst>
            <a:ext uri="{FF2B5EF4-FFF2-40B4-BE49-F238E27FC236}">
              <a16:creationId xmlns:a16="http://schemas.microsoft.com/office/drawing/2014/main" id="{00000000-0008-0000-0B00-00001D000000}"/>
            </a:ext>
          </a:extLst>
        </xdr:cNvPr>
        <xdr:cNvSpPr txBox="1"/>
      </xdr:nvSpPr>
      <xdr:spPr>
        <a:xfrm>
          <a:off x="1376572" y="14521621"/>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30" name="CuadroTexto 29">
              <a:extLst>
                <a:ext uri="{FF2B5EF4-FFF2-40B4-BE49-F238E27FC236}">
                  <a16:creationId xmlns:a16="http://schemas.microsoft.com/office/drawing/2014/main" id="{00000000-0008-0000-0B00-00001E000000}"/>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30" name="CuadroTexto 29">
              <a:extLst>
                <a:ext uri="{FF2B5EF4-FFF2-40B4-BE49-F238E27FC236}">
                  <a16:creationId xmlns:a16="http://schemas.microsoft.com/office/drawing/2014/main" id="{288F1328-4922-4E41-93E5-18E18C79AE42}"/>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31" name="CuadroTexto 30">
          <a:extLst>
            <a:ext uri="{FF2B5EF4-FFF2-40B4-BE49-F238E27FC236}">
              <a16:creationId xmlns:a16="http://schemas.microsoft.com/office/drawing/2014/main" id="{00000000-0008-0000-0B00-00001F000000}"/>
            </a:ext>
          </a:extLst>
        </xdr:cNvPr>
        <xdr:cNvSpPr txBox="1"/>
      </xdr:nvSpPr>
      <xdr:spPr>
        <a:xfrm>
          <a:off x="4308613" y="1369501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32" name="CuadroTexto 31">
              <a:extLst>
                <a:ext uri="{FF2B5EF4-FFF2-40B4-BE49-F238E27FC236}">
                  <a16:creationId xmlns:a16="http://schemas.microsoft.com/office/drawing/2014/main" id="{00000000-0008-0000-0B00-000020000000}"/>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2" name="CuadroTexto 31">
              <a:extLst>
                <a:ext uri="{FF2B5EF4-FFF2-40B4-BE49-F238E27FC236}">
                  <a16:creationId xmlns:a16="http://schemas.microsoft.com/office/drawing/2014/main" id="{6035CB8F-6DDF-4195-9A9B-C0DD27F1A5E0}"/>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33" name="CuadroTexto 32">
              <a:extLst>
                <a:ext uri="{FF2B5EF4-FFF2-40B4-BE49-F238E27FC236}">
                  <a16:creationId xmlns:a16="http://schemas.microsoft.com/office/drawing/2014/main" id="{00000000-0008-0000-0B00-000021000000}"/>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3" name="CuadroTexto 32">
              <a:extLst>
                <a:ext uri="{FF2B5EF4-FFF2-40B4-BE49-F238E27FC236}">
                  <a16:creationId xmlns:a16="http://schemas.microsoft.com/office/drawing/2014/main" id="{32250BA8-967D-42F1-BE3C-E56792BC14B4}"/>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34" name="CuadroTexto 33">
              <a:extLst>
                <a:ext uri="{FF2B5EF4-FFF2-40B4-BE49-F238E27FC236}">
                  <a16:creationId xmlns:a16="http://schemas.microsoft.com/office/drawing/2014/main" id="{00000000-0008-0000-0B00-000022000000}"/>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4" name="CuadroTexto 33">
              <a:extLst>
                <a:ext uri="{FF2B5EF4-FFF2-40B4-BE49-F238E27FC236}">
                  <a16:creationId xmlns:a16="http://schemas.microsoft.com/office/drawing/2014/main" id="{7180EC03-0411-4042-A5D3-623747849C95}"/>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35" name="CuadroTexto 34">
              <a:extLst>
                <a:ext uri="{FF2B5EF4-FFF2-40B4-BE49-F238E27FC236}">
                  <a16:creationId xmlns:a16="http://schemas.microsoft.com/office/drawing/2014/main" id="{00000000-0008-0000-0B00-000023000000}"/>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5" name="CuadroTexto 34">
              <a:extLst>
                <a:ext uri="{FF2B5EF4-FFF2-40B4-BE49-F238E27FC236}">
                  <a16:creationId xmlns:a16="http://schemas.microsoft.com/office/drawing/2014/main" id="{7D245403-C28F-4110-8DB0-7C90176D8767}"/>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36" name="CuadroTexto 35">
          <a:extLst>
            <a:ext uri="{FF2B5EF4-FFF2-40B4-BE49-F238E27FC236}">
              <a16:creationId xmlns:a16="http://schemas.microsoft.com/office/drawing/2014/main" id="{00000000-0008-0000-0B00-000024000000}"/>
            </a:ext>
          </a:extLst>
        </xdr:cNvPr>
        <xdr:cNvSpPr txBox="1"/>
      </xdr:nvSpPr>
      <xdr:spPr>
        <a:xfrm>
          <a:off x="1376572" y="14521621"/>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11</xdr:col>
      <xdr:colOff>628650</xdr:colOff>
      <xdr:row>61</xdr:row>
      <xdr:rowOff>0</xdr:rowOff>
    </xdr:from>
    <xdr:ext cx="65" cy="172227"/>
    <xdr:sp macro="" textlink="">
      <xdr:nvSpPr>
        <xdr:cNvPr id="37" name="CuadroTexto 36">
          <a:extLst>
            <a:ext uri="{FF2B5EF4-FFF2-40B4-BE49-F238E27FC236}">
              <a16:creationId xmlns:a16="http://schemas.microsoft.com/office/drawing/2014/main" id="{00000000-0008-0000-0B00-000025000000}"/>
            </a:ext>
          </a:extLst>
        </xdr:cNvPr>
        <xdr:cNvSpPr txBox="1"/>
      </xdr:nvSpPr>
      <xdr:spPr>
        <a:xfrm>
          <a:off x="12693650" y="22707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5</xdr:col>
      <xdr:colOff>539750</xdr:colOff>
      <xdr:row>73</xdr:row>
      <xdr:rowOff>158749</xdr:rowOff>
    </xdr:from>
    <xdr:ext cx="984250" cy="210507"/>
    <mc:AlternateContent xmlns:mc="http://schemas.openxmlformats.org/markup-compatibility/2006" xmlns:a14="http://schemas.microsoft.com/office/drawing/2010/main">
      <mc:Choice Requires="a14">
        <xdr:sp macro="" textlink="">
          <xdr:nvSpPr>
            <xdr:cNvPr id="38" name="CuadroTexto 37">
              <a:extLst>
                <a:ext uri="{FF2B5EF4-FFF2-40B4-BE49-F238E27FC236}">
                  <a16:creationId xmlns:a16="http://schemas.microsoft.com/office/drawing/2014/main" id="{00000000-0008-0000-0B00-000026000000}"/>
                </a:ext>
              </a:extLst>
            </xdr:cNvPr>
            <xdr:cNvSpPr txBox="1"/>
          </xdr:nvSpPr>
          <xdr:spPr>
            <a:xfrm>
              <a:off x="5778500" y="30079949"/>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𝒆</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38" name="CuadroTexto 37">
              <a:extLst>
                <a:ext uri="{FF2B5EF4-FFF2-40B4-BE49-F238E27FC236}">
                  <a16:creationId xmlns:a16="http://schemas.microsoft.com/office/drawing/2014/main" id="{98287AA8-764B-403E-A9C6-3AFF5682B758}"/>
                </a:ext>
              </a:extLst>
            </xdr:cNvPr>
            <xdr:cNvSpPr txBox="1"/>
          </xdr:nvSpPr>
          <xdr:spPr>
            <a:xfrm>
              <a:off x="5778500" y="30079949"/>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𝒆 𝒄𝒕</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4</xdr:col>
      <xdr:colOff>52917</xdr:colOff>
      <xdr:row>73</xdr:row>
      <xdr:rowOff>148167</xdr:rowOff>
    </xdr:from>
    <xdr:ext cx="984250" cy="210507"/>
    <mc:AlternateContent xmlns:mc="http://schemas.openxmlformats.org/markup-compatibility/2006" xmlns:a14="http://schemas.microsoft.com/office/drawing/2010/main">
      <mc:Choice Requires="a14">
        <xdr:sp macro="" textlink="">
          <xdr:nvSpPr>
            <xdr:cNvPr id="39" name="CuadroTexto 38">
              <a:extLst>
                <a:ext uri="{FF2B5EF4-FFF2-40B4-BE49-F238E27FC236}">
                  <a16:creationId xmlns:a16="http://schemas.microsoft.com/office/drawing/2014/main" id="{00000000-0008-0000-0B00-000027000000}"/>
                </a:ext>
              </a:extLst>
            </xdr:cNvPr>
            <xdr:cNvSpPr txBox="1"/>
          </xdr:nvSpPr>
          <xdr:spPr>
            <a:xfrm>
              <a:off x="4205817" y="30069367"/>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39" name="CuadroTexto 38">
              <a:extLst>
                <a:ext uri="{FF2B5EF4-FFF2-40B4-BE49-F238E27FC236}">
                  <a16:creationId xmlns:a16="http://schemas.microsoft.com/office/drawing/2014/main" id="{3A856072-72E8-4F71-A7C2-3AB4B01F36BE}"/>
                </a:ext>
              </a:extLst>
            </xdr:cNvPr>
            <xdr:cNvSpPr txBox="1"/>
          </xdr:nvSpPr>
          <xdr:spPr>
            <a:xfrm>
              <a:off x="4205817" y="30069367"/>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𝒄𝒕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1</xdr:col>
      <xdr:colOff>23812</xdr:colOff>
      <xdr:row>73</xdr:row>
      <xdr:rowOff>95250</xdr:rowOff>
    </xdr:from>
    <xdr:ext cx="873126" cy="214313"/>
    <mc:AlternateContent xmlns:mc="http://schemas.openxmlformats.org/markup-compatibility/2006" xmlns:a14="http://schemas.microsoft.com/office/drawing/2010/main">
      <mc:Choice Requires="a14">
        <xdr:sp macro="" textlink="">
          <xdr:nvSpPr>
            <xdr:cNvPr id="40" name="CuadroTexto 39">
              <a:extLst>
                <a:ext uri="{FF2B5EF4-FFF2-40B4-BE49-F238E27FC236}">
                  <a16:creationId xmlns:a16="http://schemas.microsoft.com/office/drawing/2014/main" id="{00000000-0008-0000-0B00-000028000000}"/>
                </a:ext>
              </a:extLst>
            </xdr:cNvPr>
            <xdr:cNvSpPr txBox="1"/>
          </xdr:nvSpPr>
          <xdr:spPr>
            <a:xfrm>
              <a:off x="1055687" y="29908500"/>
              <a:ext cx="873126" cy="2143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𝑵𝒓</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0" name="CuadroTexto 39">
              <a:extLst>
                <a:ext uri="{FF2B5EF4-FFF2-40B4-BE49-F238E27FC236}">
                  <a16:creationId xmlns:a16="http://schemas.microsoft.com/office/drawing/2014/main" id="{E9F69EAB-FBDD-42DF-9FF3-1583C4BEF21A}"/>
                </a:ext>
              </a:extLst>
            </xdr:cNvPr>
            <xdr:cNvSpPr txBox="1"/>
          </xdr:nvSpPr>
          <xdr:spPr>
            <a:xfrm>
              <a:off x="1055687" y="29908500"/>
              <a:ext cx="873126" cy="2143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𝑵𝒓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8</xdr:col>
      <xdr:colOff>624417</xdr:colOff>
      <xdr:row>73</xdr:row>
      <xdr:rowOff>285751</xdr:rowOff>
    </xdr:from>
    <xdr:ext cx="1524000" cy="210507"/>
    <mc:AlternateContent xmlns:mc="http://schemas.openxmlformats.org/markup-compatibility/2006" xmlns:a14="http://schemas.microsoft.com/office/drawing/2010/main">
      <mc:Choice Requires="a14">
        <xdr:sp macro="" textlink="">
          <xdr:nvSpPr>
            <xdr:cNvPr id="41" name="CuadroTexto 40">
              <a:extLst>
                <a:ext uri="{FF2B5EF4-FFF2-40B4-BE49-F238E27FC236}">
                  <a16:creationId xmlns:a16="http://schemas.microsoft.com/office/drawing/2014/main" id="{00000000-0008-0000-0B00-000029000000}"/>
                </a:ext>
              </a:extLst>
            </xdr:cNvPr>
            <xdr:cNvSpPr txBox="1"/>
          </xdr:nvSpPr>
          <xdr:spPr>
            <a:xfrm>
              <a:off x="9965267" y="30206951"/>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𝑼</m:t>
                  </m:r>
                  <m:r>
                    <a:rPr lang="es-CO" sz="1400" b="1" i="1">
                      <a:latin typeface="Cambria Math" panose="02040503050406030204" pitchFamily="18" charset="0"/>
                      <a:ea typeface="Cambria Math" panose="02040503050406030204" pitchFamily="18" charset="0"/>
                    </a:rPr>
                    <m:t> </m:t>
                  </m:r>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 </m:t>
                  </m:r>
                  <m:r>
                    <a:rPr lang="es-CO" sz="1400" b="1" i="1">
                      <a:latin typeface="Cambria Math" panose="02040503050406030204" pitchFamily="18" charset="0"/>
                      <a:ea typeface="Cambria Math" panose="02040503050406030204" pitchFamily="18" charset="0"/>
                    </a:rPr>
                    <m:t>𝒌</m:t>
                  </m:r>
                  <m:r>
                    <a:rPr lang="es-CO" sz="1400" b="1" i="1">
                      <a:latin typeface="Cambria Math" panose="02040503050406030204" pitchFamily="18" charset="0"/>
                      <a:ea typeface="Cambria Math" panose="02040503050406030204" pitchFamily="18" charset="0"/>
                    </a:rPr>
                    <m:t>=</m:t>
                  </m:r>
                  <m:r>
                    <a:rPr lang="es-CO" sz="1400" b="1" i="1">
                      <a:latin typeface="Cambria Math" panose="02040503050406030204" pitchFamily="18" charset="0"/>
                      <a:ea typeface="Cambria Math" panose="02040503050406030204" pitchFamily="18" charset="0"/>
                    </a:rPr>
                    <m:t>𝟐</m:t>
                  </m:r>
                </m:oMath>
              </a14:m>
              <a:r>
                <a:rPr lang="es-CO" sz="1400" b="1" i="1">
                  <a:latin typeface="Arial" panose="020B0604020202020204" pitchFamily="34" charset="0"/>
                  <a:cs typeface="Arial" panose="020B0604020202020204" pitchFamily="34" charset="0"/>
                </a:rPr>
                <a:t>)</a:t>
              </a:r>
            </a:p>
          </xdr:txBody>
        </xdr:sp>
      </mc:Choice>
      <mc:Fallback xmlns="">
        <xdr:sp macro="" textlink="">
          <xdr:nvSpPr>
            <xdr:cNvPr id="41" name="CuadroTexto 40">
              <a:extLst>
                <a:ext uri="{FF2B5EF4-FFF2-40B4-BE49-F238E27FC236}">
                  <a16:creationId xmlns:a16="http://schemas.microsoft.com/office/drawing/2014/main" id="{74528271-18A7-4522-BCD3-7FDF93C09D52}"/>
                </a:ext>
              </a:extLst>
            </xdr:cNvPr>
            <xdr:cNvSpPr txBox="1"/>
          </xdr:nvSpPr>
          <xdr:spPr>
            <a:xfrm>
              <a:off x="9965267" y="30206951"/>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0">
                  <a:latin typeface="Cambria Math" panose="02040503050406030204" pitchFamily="18" charset="0"/>
                  <a:ea typeface="Cambria Math" panose="02040503050406030204" pitchFamily="18" charset="0"/>
                </a:rPr>
                <a:t>𝑼 ( 𝒎 𝒄𝒕 )  ( 𝒌=𝟐</a:t>
              </a:r>
              <a:r>
                <a:rPr lang="es-CO" sz="1400" b="1" i="1">
                  <a:latin typeface="Arial" panose="020B0604020202020204" pitchFamily="34" charset="0"/>
                  <a:cs typeface="Arial" panose="020B0604020202020204" pitchFamily="34" charset="0"/>
                </a:rPr>
                <a:t>)</a:t>
              </a:r>
            </a:p>
          </xdr:txBody>
        </xdr:sp>
      </mc:Fallback>
    </mc:AlternateContent>
    <xdr:clientData/>
  </xdr:oneCellAnchor>
  <xdr:oneCellAnchor>
    <xdr:from>
      <xdr:col>9</xdr:col>
      <xdr:colOff>603252</xdr:colOff>
      <xdr:row>74</xdr:row>
      <xdr:rowOff>84667</xdr:rowOff>
    </xdr:from>
    <xdr:ext cx="465666" cy="219163"/>
    <xdr:sp macro="" textlink="">
      <xdr:nvSpPr>
        <xdr:cNvPr id="42" name="CuadroTexto 41">
          <a:extLst>
            <a:ext uri="{FF2B5EF4-FFF2-40B4-BE49-F238E27FC236}">
              <a16:creationId xmlns:a16="http://schemas.microsoft.com/office/drawing/2014/main" id="{00000000-0008-0000-0B00-00002A000000}"/>
            </a:ext>
          </a:extLst>
        </xdr:cNvPr>
        <xdr:cNvSpPr txBox="1"/>
      </xdr:nvSpPr>
      <xdr:spPr>
        <a:xfrm>
          <a:off x="10909302" y="30520217"/>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9</xdr:col>
      <xdr:colOff>571499</xdr:colOff>
      <xdr:row>75</xdr:row>
      <xdr:rowOff>116416</xdr:rowOff>
    </xdr:from>
    <xdr:ext cx="359835" cy="219163"/>
    <xdr:sp macro="" textlink="">
      <xdr:nvSpPr>
        <xdr:cNvPr id="43" name="CuadroTexto 42">
          <a:extLst>
            <a:ext uri="{FF2B5EF4-FFF2-40B4-BE49-F238E27FC236}">
              <a16:creationId xmlns:a16="http://schemas.microsoft.com/office/drawing/2014/main" id="{00000000-0008-0000-0B00-00002B000000}"/>
            </a:ext>
          </a:extLst>
        </xdr:cNvPr>
        <xdr:cNvSpPr txBox="1"/>
      </xdr:nvSpPr>
      <xdr:spPr>
        <a:xfrm>
          <a:off x="10877549" y="30996466"/>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6</xdr:col>
      <xdr:colOff>275167</xdr:colOff>
      <xdr:row>74</xdr:row>
      <xdr:rowOff>148166</xdr:rowOff>
    </xdr:from>
    <xdr:ext cx="465666" cy="219163"/>
    <xdr:sp macro="" textlink="">
      <xdr:nvSpPr>
        <xdr:cNvPr id="44" name="CuadroTexto 43">
          <a:extLst>
            <a:ext uri="{FF2B5EF4-FFF2-40B4-BE49-F238E27FC236}">
              <a16:creationId xmlns:a16="http://schemas.microsoft.com/office/drawing/2014/main" id="{00000000-0008-0000-0B00-00002C000000}"/>
            </a:ext>
          </a:extLst>
        </xdr:cNvPr>
        <xdr:cNvSpPr txBox="1"/>
      </xdr:nvSpPr>
      <xdr:spPr>
        <a:xfrm>
          <a:off x="6809317" y="30583716"/>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6</xdr:col>
      <xdr:colOff>328083</xdr:colOff>
      <xdr:row>75</xdr:row>
      <xdr:rowOff>84667</xdr:rowOff>
    </xdr:from>
    <xdr:ext cx="359835" cy="219163"/>
    <xdr:sp macro="" textlink="">
      <xdr:nvSpPr>
        <xdr:cNvPr id="45" name="CuadroTexto 44">
          <a:extLst>
            <a:ext uri="{FF2B5EF4-FFF2-40B4-BE49-F238E27FC236}">
              <a16:creationId xmlns:a16="http://schemas.microsoft.com/office/drawing/2014/main" id="{00000000-0008-0000-0B00-00002D000000}"/>
            </a:ext>
          </a:extLst>
        </xdr:cNvPr>
        <xdr:cNvSpPr txBox="1"/>
      </xdr:nvSpPr>
      <xdr:spPr>
        <a:xfrm>
          <a:off x="6862233" y="30964717"/>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3</xdr:col>
      <xdr:colOff>560916</xdr:colOff>
      <xdr:row>72</xdr:row>
      <xdr:rowOff>74084</xdr:rowOff>
    </xdr:from>
    <xdr:ext cx="1524000" cy="210507"/>
    <mc:AlternateContent xmlns:mc="http://schemas.openxmlformats.org/markup-compatibility/2006" xmlns:a14="http://schemas.microsoft.com/office/drawing/2010/main">
      <mc:Choice Requires="a14">
        <xdr:sp macro="" textlink="">
          <xdr:nvSpPr>
            <xdr:cNvPr id="46" name="CuadroTexto 45">
              <a:extLst>
                <a:ext uri="{FF2B5EF4-FFF2-40B4-BE49-F238E27FC236}">
                  <a16:creationId xmlns:a16="http://schemas.microsoft.com/office/drawing/2014/main" id="{00000000-0008-0000-0B00-00002E000000}"/>
                </a:ext>
              </a:extLst>
            </xdr:cNvPr>
            <xdr:cNvSpPr txBox="1"/>
          </xdr:nvSpPr>
          <xdr:spPr>
            <a:xfrm>
              <a:off x="3526366" y="29550784"/>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m:t>
                    </m:r>
                  </m:oMath>
                </m:oMathPara>
              </a14:m>
              <a:endParaRPr lang="es-CO" sz="1400" b="1" i="1">
                <a:latin typeface="Arial" panose="020B0604020202020204" pitchFamily="34" charset="0"/>
                <a:cs typeface="Arial" panose="020B0604020202020204" pitchFamily="34" charset="0"/>
              </a:endParaRPr>
            </a:p>
          </xdr:txBody>
        </xdr:sp>
      </mc:Choice>
      <mc:Fallback xmlns="">
        <xdr:sp macro="" textlink="">
          <xdr:nvSpPr>
            <xdr:cNvPr id="46" name="CuadroTexto 45">
              <a:extLst>
                <a:ext uri="{FF2B5EF4-FFF2-40B4-BE49-F238E27FC236}">
                  <a16:creationId xmlns:a16="http://schemas.microsoft.com/office/drawing/2014/main" id="{9E343E68-2A0E-4222-9836-8F5A5A8497F0}"/>
                </a:ext>
              </a:extLst>
            </xdr:cNvPr>
            <xdr:cNvSpPr txBox="1"/>
          </xdr:nvSpPr>
          <xdr:spPr>
            <a:xfrm>
              <a:off x="3526366" y="29550784"/>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 𝒎 𝒄𝒕 )   </a:t>
              </a:r>
              <a:endParaRPr lang="es-CO" sz="1400" b="1" i="1">
                <a:latin typeface="Arial" panose="020B0604020202020204" pitchFamily="34" charset="0"/>
                <a:cs typeface="Arial" panose="020B0604020202020204" pitchFamily="34" charset="0"/>
              </a:endParaRPr>
            </a:p>
          </xdr:txBody>
        </xdr:sp>
      </mc:Fallback>
    </mc:AlternateContent>
    <xdr:clientData/>
  </xdr:oneCellAnchor>
  <xdr:oneCellAnchor>
    <xdr:from>
      <xdr:col>7</xdr:col>
      <xdr:colOff>411956</xdr:colOff>
      <xdr:row>71</xdr:row>
      <xdr:rowOff>406003</xdr:rowOff>
    </xdr:from>
    <xdr:ext cx="65" cy="172227"/>
    <xdr:sp macro="" textlink="">
      <xdr:nvSpPr>
        <xdr:cNvPr id="47" name="CuadroTexto 46">
          <a:extLst>
            <a:ext uri="{FF2B5EF4-FFF2-40B4-BE49-F238E27FC236}">
              <a16:creationId xmlns:a16="http://schemas.microsoft.com/office/drawing/2014/main" id="{00000000-0008-0000-0B00-00002F000000}"/>
            </a:ext>
          </a:extLst>
        </xdr:cNvPr>
        <xdr:cNvSpPr txBox="1"/>
      </xdr:nvSpPr>
      <xdr:spPr>
        <a:xfrm>
          <a:off x="8044656" y="29457253"/>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49" name="CuadroTexto 48">
              <a:extLst>
                <a:ext uri="{FF2B5EF4-FFF2-40B4-BE49-F238E27FC236}">
                  <a16:creationId xmlns:a16="http://schemas.microsoft.com/office/drawing/2014/main" id="{00000000-0008-0000-0B00-000031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49" name="CuadroTexto 48">
              <a:extLst>
                <a:ext uri="{FF2B5EF4-FFF2-40B4-BE49-F238E27FC236}">
                  <a16:creationId xmlns:a16="http://schemas.microsoft.com/office/drawing/2014/main" id="{018E9B59-D582-4CC3-BACC-3C9A0807BA78}"/>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50" name="CuadroTexto 49">
              <a:extLst>
                <a:ext uri="{FF2B5EF4-FFF2-40B4-BE49-F238E27FC236}">
                  <a16:creationId xmlns:a16="http://schemas.microsoft.com/office/drawing/2014/main" id="{00000000-0008-0000-0B00-000032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50" name="CuadroTexto 49">
              <a:extLst>
                <a:ext uri="{FF2B5EF4-FFF2-40B4-BE49-F238E27FC236}">
                  <a16:creationId xmlns:a16="http://schemas.microsoft.com/office/drawing/2014/main" id="{0698F47C-6ADA-4D47-B767-DE9688659F29}"/>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twoCellAnchor>
    <xdr:from>
      <xdr:col>7</xdr:col>
      <xdr:colOff>817563</xdr:colOff>
      <xdr:row>62</xdr:row>
      <xdr:rowOff>277812</xdr:rowOff>
    </xdr:from>
    <xdr:to>
      <xdr:col>11</xdr:col>
      <xdr:colOff>754062</xdr:colOff>
      <xdr:row>64</xdr:row>
      <xdr:rowOff>547687</xdr:rowOff>
    </xdr:to>
    <xdr:graphicFrame macro="">
      <xdr:nvGraphicFramePr>
        <xdr:cNvPr id="52" name="Gráfico 51">
          <a:extLst>
            <a:ext uri="{FF2B5EF4-FFF2-40B4-BE49-F238E27FC236}">
              <a16:creationId xmlns:a16="http://schemas.microsoft.com/office/drawing/2014/main" id="{00000000-0008-0000-0B00-00003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226217</xdr:colOff>
      <xdr:row>0</xdr:row>
      <xdr:rowOff>71437</xdr:rowOff>
    </xdr:from>
    <xdr:to>
      <xdr:col>1</xdr:col>
      <xdr:colOff>566754</xdr:colOff>
      <xdr:row>0</xdr:row>
      <xdr:rowOff>687186</xdr:rowOff>
    </xdr:to>
    <xdr:pic>
      <xdr:nvPicPr>
        <xdr:cNvPr id="48" name="47 Imagen">
          <a:extLst>
            <a:ext uri="{FF2B5EF4-FFF2-40B4-BE49-F238E27FC236}">
              <a16:creationId xmlns:a16="http://schemas.microsoft.com/office/drawing/2014/main" id="{00000000-0008-0000-0B00-000030000000}"/>
            </a:ext>
          </a:extLst>
        </xdr:cNvPr>
        <xdr:cNvPicPr>
          <a:picLocks noChangeAspect="1"/>
        </xdr:cNvPicPr>
      </xdr:nvPicPr>
      <xdr:blipFill>
        <a:blip xmlns:r="http://schemas.openxmlformats.org/officeDocument/2006/relationships" r:embed="rId2"/>
        <a:stretch>
          <a:fillRect/>
        </a:stretch>
      </xdr:blipFill>
      <xdr:spPr>
        <a:xfrm>
          <a:off x="226217" y="71437"/>
          <a:ext cx="1316850" cy="615749"/>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oneCellAnchor>
    <xdr:from>
      <xdr:col>1</xdr:col>
      <xdr:colOff>285935</xdr:colOff>
      <xdr:row>42</xdr:row>
      <xdr:rowOff>169517</xdr:rowOff>
    </xdr:from>
    <xdr:ext cx="177356" cy="176202"/>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00000000-0008-0000-0C00-000003000000}"/>
                </a:ext>
              </a:extLst>
            </xdr:cNvPr>
            <xdr:cNvSpPr txBox="1"/>
          </xdr:nvSpPr>
          <xdr:spPr>
            <a:xfrm>
              <a:off x="1314635" y="14958667"/>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bg1"/>
                            </a:solidFill>
                            <a:latin typeface="Cambria Math" panose="02040503050406030204" pitchFamily="18" charset="0"/>
                          </a:rPr>
                        </m:ctrlPr>
                      </m:accPr>
                      <m:e>
                        <m:r>
                          <a:rPr lang="es-CO" sz="1100" b="1" i="1">
                            <a:solidFill>
                              <a:schemeClr val="bg1"/>
                            </a:solidFill>
                            <a:latin typeface="Cambria Math" panose="02040503050406030204" pitchFamily="18" charset="0"/>
                            <a:ea typeface="Cambria Math" panose="02040503050406030204" pitchFamily="18" charset="0"/>
                          </a:rPr>
                          <m:t>∆</m:t>
                        </m:r>
                        <m:r>
                          <a:rPr lang="es-CO" sz="1100" b="1" i="1">
                            <a:solidFill>
                              <a:schemeClr val="bg1"/>
                            </a:solidFill>
                            <a:latin typeface="Cambria Math" panose="02040503050406030204" pitchFamily="18" charset="0"/>
                            <a:ea typeface="Cambria Math" panose="02040503050406030204" pitchFamily="18" charset="0"/>
                          </a:rPr>
                          <m:t>𝑰</m:t>
                        </m:r>
                      </m:e>
                    </m:acc>
                  </m:oMath>
                </m:oMathPara>
              </a14:m>
              <a:endParaRPr lang="es-CO" sz="1100" b="1">
                <a:solidFill>
                  <a:schemeClr val="bg1"/>
                </a:solidFill>
              </a:endParaRPr>
            </a:p>
          </xdr:txBody>
        </xdr:sp>
      </mc:Choice>
      <mc:Fallback xmlns="">
        <xdr:sp macro="" textlink="">
          <xdr:nvSpPr>
            <xdr:cNvPr id="3" name="CuadroTexto 2">
              <a:extLst>
                <a:ext uri="{FF2B5EF4-FFF2-40B4-BE49-F238E27FC236}">
                  <a16:creationId xmlns:a16="http://schemas.microsoft.com/office/drawing/2014/main" id="{784DCF91-B98E-476E-9317-1129E1308BCD}"/>
                </a:ext>
              </a:extLst>
            </xdr:cNvPr>
            <xdr:cNvSpPr txBox="1"/>
          </xdr:nvSpPr>
          <xdr:spPr>
            <a:xfrm>
              <a:off x="1314635" y="14958667"/>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bg1"/>
                  </a:solidFill>
                  <a:latin typeface="Cambria Math" panose="02040503050406030204" pitchFamily="18" charset="0"/>
                </a:rPr>
                <a:t>(</a:t>
              </a:r>
              <a:r>
                <a:rPr lang="es-CO" sz="1100" b="1" i="0">
                  <a:solidFill>
                    <a:schemeClr val="bg1"/>
                  </a:solidFill>
                  <a:latin typeface="Cambria Math" panose="02040503050406030204" pitchFamily="18" charset="0"/>
                  <a:ea typeface="Cambria Math" panose="02040503050406030204" pitchFamily="18" charset="0"/>
                </a:rPr>
                <a:t>∆𝑰) ̅</a:t>
              </a:r>
              <a:endParaRPr lang="es-CO" sz="1100" b="1">
                <a:solidFill>
                  <a:schemeClr val="bg1"/>
                </a:solidFill>
              </a:endParaRPr>
            </a:p>
          </xdr:txBody>
        </xdr:sp>
      </mc:Fallback>
    </mc:AlternateContent>
    <xdr:clientData/>
  </xdr:oneCellAnchor>
  <xdr:oneCellAnchor>
    <xdr:from>
      <xdr:col>1</xdr:col>
      <xdr:colOff>136732</xdr:colOff>
      <xdr:row>58</xdr:row>
      <xdr:rowOff>253032</xdr:rowOff>
    </xdr:from>
    <xdr:ext cx="599716" cy="172227"/>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id="{00000000-0008-0000-0C00-000004000000}"/>
                </a:ext>
              </a:extLst>
            </xdr:cNvPr>
            <xdr:cNvSpPr txBox="1"/>
          </xdr:nvSpPr>
          <xdr:spPr>
            <a:xfrm>
              <a:off x="1165432" y="20750832"/>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𝒘</m:t>
                        </m:r>
                      </m:sub>
                    </m:sSub>
                    <m:r>
                      <a:rPr lang="es-CO" sz="1100" b="1" i="1">
                        <a:latin typeface="Cambria Math" panose="02040503050406030204" pitchFamily="18" charset="0"/>
                      </a:rPr>
                      <m:t>(</m:t>
                    </m:r>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4" name="CuadroTexto 3">
              <a:extLst>
                <a:ext uri="{FF2B5EF4-FFF2-40B4-BE49-F238E27FC236}">
                  <a16:creationId xmlns:a16="http://schemas.microsoft.com/office/drawing/2014/main" id="{47DE887F-4676-4204-B583-296438EB1594}"/>
                </a:ext>
              </a:extLst>
            </xdr:cNvPr>
            <xdr:cNvSpPr txBox="1"/>
          </xdr:nvSpPr>
          <xdr:spPr>
            <a:xfrm>
              <a:off x="1165432" y="20750832"/>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𝒖_𝒘 (</a:t>
              </a: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1</xdr:col>
      <xdr:colOff>202651</xdr:colOff>
      <xdr:row>61</xdr:row>
      <xdr:rowOff>265287</xdr:rowOff>
    </xdr:from>
    <xdr:ext cx="483915" cy="172227"/>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id="{00000000-0008-0000-0C00-000005000000}"/>
                </a:ext>
              </a:extLst>
            </xdr:cNvPr>
            <xdr:cNvSpPr txBox="1"/>
          </xdr:nvSpPr>
          <xdr:spPr>
            <a:xfrm>
              <a:off x="1231351" y="2297288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5" name="CuadroTexto 4">
              <a:extLst>
                <a:ext uri="{FF2B5EF4-FFF2-40B4-BE49-F238E27FC236}">
                  <a16:creationId xmlns:a16="http://schemas.microsoft.com/office/drawing/2014/main" id="{A51A6708-7E30-49C9-9ABD-DA92A64214E2}"/>
                </a:ext>
              </a:extLst>
            </xdr:cNvPr>
            <xdr:cNvSpPr txBox="1"/>
          </xdr:nvSpPr>
          <xdr:spPr>
            <a:xfrm>
              <a:off x="1231351" y="2297288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𝒖(𝒎_𝒄𝒓)</a:t>
              </a:r>
              <a:endParaRPr lang="es-CO" sz="1100" b="1"/>
            </a:p>
          </xdr:txBody>
        </xdr:sp>
      </mc:Fallback>
    </mc:AlternateContent>
    <xdr:clientData/>
  </xdr:oneCellAnchor>
  <xdr:oneCellAnchor>
    <xdr:from>
      <xdr:col>1</xdr:col>
      <xdr:colOff>34166</xdr:colOff>
      <xdr:row>60</xdr:row>
      <xdr:rowOff>250203</xdr:rowOff>
    </xdr:from>
    <xdr:ext cx="689483" cy="172227"/>
    <mc:AlternateContent xmlns:mc="http://schemas.openxmlformats.org/markup-compatibility/2006" xmlns:a14="http://schemas.microsoft.com/office/drawing/2010/main">
      <mc:Choice Requires="a14">
        <xdr:sp macro="" textlink="">
          <xdr:nvSpPr>
            <xdr:cNvPr id="6" name="CuadroTexto 5">
              <a:extLst>
                <a:ext uri="{FF2B5EF4-FFF2-40B4-BE49-F238E27FC236}">
                  <a16:creationId xmlns:a16="http://schemas.microsoft.com/office/drawing/2014/main" id="{00000000-0008-0000-0C00-000006000000}"/>
                </a:ext>
              </a:extLst>
            </xdr:cNvPr>
            <xdr:cNvSpPr txBox="1"/>
          </xdr:nvSpPr>
          <xdr:spPr>
            <a:xfrm>
              <a:off x="1062866" y="22221203"/>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𝒊𝒏𝒔𝒕</m:t>
                        </m:r>
                      </m:sub>
                    </m:sSub>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0" i="1">
                        <a:latin typeface="Cambria Math" panose="02040503050406030204" pitchFamily="18" charset="0"/>
                      </a:rPr>
                      <m:t>)</m:t>
                    </m:r>
                  </m:oMath>
                </m:oMathPara>
              </a14:m>
              <a:endParaRPr lang="es-CO" sz="1100"/>
            </a:p>
          </xdr:txBody>
        </xdr:sp>
      </mc:Choice>
      <mc:Fallback xmlns="">
        <xdr:sp macro="" textlink="">
          <xdr:nvSpPr>
            <xdr:cNvPr id="6" name="CuadroTexto 5">
              <a:extLst>
                <a:ext uri="{FF2B5EF4-FFF2-40B4-BE49-F238E27FC236}">
                  <a16:creationId xmlns:a16="http://schemas.microsoft.com/office/drawing/2014/main" id="{10317497-5089-45EC-9D2C-368C0FE05C8D}"/>
                </a:ext>
              </a:extLst>
            </xdr:cNvPr>
            <xdr:cNvSpPr txBox="1"/>
          </xdr:nvSpPr>
          <xdr:spPr>
            <a:xfrm>
              <a:off x="1062866" y="22221203"/>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𝒖_𝒊𝒏𝒔𝒕 (𝒎_𝒄𝒓</a:t>
              </a:r>
              <a:r>
                <a:rPr lang="es-CO" sz="1100" b="0" i="0">
                  <a:latin typeface="Cambria Math" panose="02040503050406030204" pitchFamily="18" charset="0"/>
                </a:rPr>
                <a:t>)</a:t>
              </a:r>
              <a:endParaRPr lang="es-CO" sz="1100"/>
            </a:p>
          </xdr:txBody>
        </xdr:sp>
      </mc:Fallback>
    </mc:AlternateContent>
    <xdr:clientData/>
  </xdr:oneCellAnchor>
  <xdr:oneCellAnchor>
    <xdr:from>
      <xdr:col>1</xdr:col>
      <xdr:colOff>183870</xdr:colOff>
      <xdr:row>62</xdr:row>
      <xdr:rowOff>264645</xdr:rowOff>
    </xdr:from>
    <xdr:ext cx="397353" cy="172227"/>
    <mc:AlternateContent xmlns:mc="http://schemas.openxmlformats.org/markup-compatibility/2006" xmlns:a14="http://schemas.microsoft.com/office/drawing/2010/main">
      <mc:Choice Requires="a14">
        <xdr:sp macro="" textlink="">
          <xdr:nvSpPr>
            <xdr:cNvPr id="7" name="CuadroTexto 6">
              <a:extLst>
                <a:ext uri="{FF2B5EF4-FFF2-40B4-BE49-F238E27FC236}">
                  <a16:creationId xmlns:a16="http://schemas.microsoft.com/office/drawing/2014/main" id="{00000000-0008-0000-0C00-000007000000}"/>
                </a:ext>
              </a:extLst>
            </xdr:cNvPr>
            <xdr:cNvSpPr txBox="1"/>
          </xdr:nvSpPr>
          <xdr:spPr>
            <a:xfrm>
              <a:off x="1212570" y="23708845"/>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𝒂</m:t>
                        </m:r>
                      </m:sub>
                    </m:sSub>
                    <m:r>
                      <a:rPr lang="es-CO" sz="1100" b="1" i="1">
                        <a:latin typeface="Cambria Math" panose="02040503050406030204" pitchFamily="18" charset="0"/>
                      </a:rPr>
                      <m:t>)</m:t>
                    </m:r>
                  </m:oMath>
                </m:oMathPara>
              </a14:m>
              <a:endParaRPr lang="es-CO" sz="1100" b="1"/>
            </a:p>
          </xdr:txBody>
        </xdr:sp>
      </mc:Choice>
      <mc:Fallback xmlns="">
        <xdr:sp macro="" textlink="">
          <xdr:nvSpPr>
            <xdr:cNvPr id="7" name="CuadroTexto 6">
              <a:extLst>
                <a:ext uri="{FF2B5EF4-FFF2-40B4-BE49-F238E27FC236}">
                  <a16:creationId xmlns:a16="http://schemas.microsoft.com/office/drawing/2014/main" id="{AD413D00-35BD-48E5-9247-69DD8902B61E}"/>
                </a:ext>
              </a:extLst>
            </xdr:cNvPr>
            <xdr:cNvSpPr txBox="1"/>
          </xdr:nvSpPr>
          <xdr:spPr>
            <a:xfrm>
              <a:off x="1212570" y="23708845"/>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𝒂)</a:t>
              </a:r>
              <a:endParaRPr lang="es-CO" sz="1100" b="1"/>
            </a:p>
          </xdr:txBody>
        </xdr:sp>
      </mc:Fallback>
    </mc:AlternateContent>
    <xdr:clientData/>
  </xdr:oneCellAnchor>
  <xdr:oneCellAnchor>
    <xdr:from>
      <xdr:col>1</xdr:col>
      <xdr:colOff>186298</xdr:colOff>
      <xdr:row>63</xdr:row>
      <xdr:rowOff>266606</xdr:rowOff>
    </xdr:from>
    <xdr:ext cx="376642" cy="172227"/>
    <mc:AlternateContent xmlns:mc="http://schemas.openxmlformats.org/markup-compatibility/2006" xmlns:a14="http://schemas.microsoft.com/office/drawing/2010/main">
      <mc:Choice Requires="a14">
        <xdr:sp macro="" textlink="">
          <xdr:nvSpPr>
            <xdr:cNvPr id="8" name="CuadroTexto 7">
              <a:extLst>
                <a:ext uri="{FF2B5EF4-FFF2-40B4-BE49-F238E27FC236}">
                  <a16:creationId xmlns:a16="http://schemas.microsoft.com/office/drawing/2014/main" id="{00000000-0008-0000-0C00-000008000000}"/>
                </a:ext>
              </a:extLst>
            </xdr:cNvPr>
            <xdr:cNvSpPr txBox="1"/>
          </xdr:nvSpPr>
          <xdr:spPr>
            <a:xfrm>
              <a:off x="1214998" y="244474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𝒕</m:t>
                        </m:r>
                      </m:sub>
                    </m:sSub>
                    <m:r>
                      <a:rPr lang="es-CO" sz="1100" b="1" i="1">
                        <a:latin typeface="Cambria Math" panose="02040503050406030204" pitchFamily="18" charset="0"/>
                      </a:rPr>
                      <m:t>)</m:t>
                    </m:r>
                  </m:oMath>
                </m:oMathPara>
              </a14:m>
              <a:endParaRPr lang="es-CO" sz="1100" b="1"/>
            </a:p>
          </xdr:txBody>
        </xdr:sp>
      </mc:Choice>
      <mc:Fallback xmlns="">
        <xdr:sp macro="" textlink="">
          <xdr:nvSpPr>
            <xdr:cNvPr id="8" name="CuadroTexto 7">
              <a:extLst>
                <a:ext uri="{FF2B5EF4-FFF2-40B4-BE49-F238E27FC236}">
                  <a16:creationId xmlns:a16="http://schemas.microsoft.com/office/drawing/2014/main" id="{8068E2A6-640B-439C-826E-9DB72394C776}"/>
                </a:ext>
              </a:extLst>
            </xdr:cNvPr>
            <xdr:cNvSpPr txBox="1"/>
          </xdr:nvSpPr>
          <xdr:spPr>
            <a:xfrm>
              <a:off x="1214998" y="244474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𝒕)</a:t>
              </a:r>
              <a:endParaRPr lang="es-CO" sz="1100" b="1"/>
            </a:p>
          </xdr:txBody>
        </xdr:sp>
      </mc:Fallback>
    </mc:AlternateContent>
    <xdr:clientData/>
  </xdr:oneCellAnchor>
  <xdr:oneCellAnchor>
    <xdr:from>
      <xdr:col>1</xdr:col>
      <xdr:colOff>186298</xdr:colOff>
      <xdr:row>64</xdr:row>
      <xdr:rowOff>222250</xdr:rowOff>
    </xdr:from>
    <xdr:ext cx="388696" cy="172227"/>
    <mc:AlternateContent xmlns:mc="http://schemas.openxmlformats.org/markup-compatibility/2006" xmlns:a14="http://schemas.microsoft.com/office/drawing/2010/main">
      <mc:Choice Requires="a14">
        <xdr:sp macro="" textlink="">
          <xdr:nvSpPr>
            <xdr:cNvPr id="9" name="CuadroTexto 8">
              <a:extLst>
                <a:ext uri="{FF2B5EF4-FFF2-40B4-BE49-F238E27FC236}">
                  <a16:creationId xmlns:a16="http://schemas.microsoft.com/office/drawing/2014/main" id="{00000000-0008-0000-0C00-000009000000}"/>
                </a:ext>
              </a:extLst>
            </xdr:cNvPr>
            <xdr:cNvSpPr txBox="1"/>
          </xdr:nvSpPr>
          <xdr:spPr>
            <a:xfrm>
              <a:off x="1214998" y="25139650"/>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9" name="CuadroTexto 8">
              <a:extLst>
                <a:ext uri="{FF2B5EF4-FFF2-40B4-BE49-F238E27FC236}">
                  <a16:creationId xmlns:a16="http://schemas.microsoft.com/office/drawing/2014/main" id="{2017E5A7-14CB-4B49-A766-A0B1E62B2DF3}"/>
                </a:ext>
              </a:extLst>
            </xdr:cNvPr>
            <xdr:cNvSpPr txBox="1"/>
          </xdr:nvSpPr>
          <xdr:spPr>
            <a:xfrm>
              <a:off x="1214998" y="25139650"/>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𝒓)</a:t>
              </a:r>
              <a:endParaRPr lang="es-CO" sz="1100" b="1"/>
            </a:p>
          </xdr:txBody>
        </xdr:sp>
      </mc:Fallback>
    </mc:AlternateContent>
    <xdr:clientData/>
  </xdr:oneCellAnchor>
  <xdr:oneCellAnchor>
    <xdr:from>
      <xdr:col>1</xdr:col>
      <xdr:colOff>265579</xdr:colOff>
      <xdr:row>65</xdr:row>
      <xdr:rowOff>288458</xdr:rowOff>
    </xdr:from>
    <xdr:ext cx="191271" cy="172227"/>
    <mc:AlternateContent xmlns:mc="http://schemas.openxmlformats.org/markup-compatibility/2006" xmlns:a14="http://schemas.microsoft.com/office/drawing/2010/main">
      <mc:Choice Requires="a14">
        <xdr:sp macro="" textlink="">
          <xdr:nvSpPr>
            <xdr:cNvPr id="10" name="CuadroTexto 9">
              <a:extLst>
                <a:ext uri="{FF2B5EF4-FFF2-40B4-BE49-F238E27FC236}">
                  <a16:creationId xmlns:a16="http://schemas.microsoft.com/office/drawing/2014/main" id="{00000000-0008-0000-0C00-00000A000000}"/>
                </a:ext>
              </a:extLst>
            </xdr:cNvPr>
            <xdr:cNvSpPr txBox="1"/>
          </xdr:nvSpPr>
          <xdr:spPr>
            <a:xfrm>
              <a:off x="1294279" y="2594245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𝒃</m:t>
                        </m:r>
                      </m:sub>
                    </m:sSub>
                  </m:oMath>
                </m:oMathPara>
              </a14:m>
              <a:endParaRPr lang="es-CO" sz="1100" b="1"/>
            </a:p>
          </xdr:txBody>
        </xdr:sp>
      </mc:Choice>
      <mc:Fallback xmlns="">
        <xdr:sp macro="" textlink="">
          <xdr:nvSpPr>
            <xdr:cNvPr id="10" name="CuadroTexto 9">
              <a:extLst>
                <a:ext uri="{FF2B5EF4-FFF2-40B4-BE49-F238E27FC236}">
                  <a16:creationId xmlns:a16="http://schemas.microsoft.com/office/drawing/2014/main" id="{C4B5205F-F13D-4E53-9915-1B66B66355DC}"/>
                </a:ext>
              </a:extLst>
            </xdr:cNvPr>
            <xdr:cNvSpPr txBox="1"/>
          </xdr:nvSpPr>
          <xdr:spPr>
            <a:xfrm>
              <a:off x="1294279" y="2594245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𝒖_𝒃</a:t>
              </a:r>
              <a:endParaRPr lang="es-CO" sz="1100" b="1"/>
            </a:p>
          </xdr:txBody>
        </xdr:sp>
      </mc:Fallback>
    </mc:AlternateContent>
    <xdr:clientData/>
  </xdr:oneCellAnchor>
  <xdr:oneCellAnchor>
    <xdr:from>
      <xdr:col>1</xdr:col>
      <xdr:colOff>261391</xdr:colOff>
      <xdr:row>66</xdr:row>
      <xdr:rowOff>294234</xdr:rowOff>
    </xdr:from>
    <xdr:ext cx="195053" cy="172227"/>
    <mc:AlternateContent xmlns:mc="http://schemas.openxmlformats.org/markup-compatibility/2006" xmlns:a14="http://schemas.microsoft.com/office/drawing/2010/main">
      <mc:Choice Requires="a14">
        <xdr:sp macro="" textlink="">
          <xdr:nvSpPr>
            <xdr:cNvPr id="11" name="CuadroTexto 10">
              <a:extLst>
                <a:ext uri="{FF2B5EF4-FFF2-40B4-BE49-F238E27FC236}">
                  <a16:creationId xmlns:a16="http://schemas.microsoft.com/office/drawing/2014/main" id="{00000000-0008-0000-0C00-00000B000000}"/>
                </a:ext>
              </a:extLst>
            </xdr:cNvPr>
            <xdr:cNvSpPr txBox="1"/>
          </xdr:nvSpPr>
          <xdr:spPr>
            <a:xfrm>
              <a:off x="1290091" y="26684834"/>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𝒅</m:t>
                        </m:r>
                      </m:sub>
                    </m:sSub>
                  </m:oMath>
                </m:oMathPara>
              </a14:m>
              <a:endParaRPr lang="es-CO" sz="1100" b="1"/>
            </a:p>
          </xdr:txBody>
        </xdr:sp>
      </mc:Choice>
      <mc:Fallback xmlns="">
        <xdr:sp macro="" textlink="">
          <xdr:nvSpPr>
            <xdr:cNvPr id="11" name="CuadroTexto 10">
              <a:extLst>
                <a:ext uri="{FF2B5EF4-FFF2-40B4-BE49-F238E27FC236}">
                  <a16:creationId xmlns:a16="http://schemas.microsoft.com/office/drawing/2014/main" id="{5382FB72-D570-4E76-A3C9-1C792B454656}"/>
                </a:ext>
              </a:extLst>
            </xdr:cNvPr>
            <xdr:cNvSpPr txBox="1"/>
          </xdr:nvSpPr>
          <xdr:spPr>
            <a:xfrm>
              <a:off x="1290091" y="26684834"/>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𝒖_𝒅</a:t>
              </a:r>
              <a:endParaRPr lang="es-CO" sz="1100" b="1"/>
            </a:p>
          </xdr:txBody>
        </xdr:sp>
      </mc:Fallback>
    </mc:AlternateContent>
    <xdr:clientData/>
  </xdr:oneCellAnchor>
  <xdr:oneCellAnchor>
    <xdr:from>
      <xdr:col>5</xdr:col>
      <xdr:colOff>393571</xdr:colOff>
      <xdr:row>69</xdr:row>
      <xdr:rowOff>265119</xdr:rowOff>
    </xdr:from>
    <xdr:ext cx="529697" cy="172227"/>
    <mc:AlternateContent xmlns:mc="http://schemas.openxmlformats.org/markup-compatibility/2006" xmlns:a14="http://schemas.microsoft.com/office/drawing/2010/main">
      <mc:Choice Requires="a14">
        <xdr:sp macro="" textlink="">
          <xdr:nvSpPr>
            <xdr:cNvPr id="12" name="CuadroTexto 11">
              <a:extLst>
                <a:ext uri="{FF2B5EF4-FFF2-40B4-BE49-F238E27FC236}">
                  <a16:creationId xmlns:a16="http://schemas.microsoft.com/office/drawing/2014/main" id="{00000000-0008-0000-0C00-00000C000000}"/>
                </a:ext>
              </a:extLst>
            </xdr:cNvPr>
            <xdr:cNvSpPr txBox="1"/>
          </xdr:nvSpPr>
          <xdr:spPr>
            <a:xfrm>
              <a:off x="5632321" y="28217819"/>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𝒄</m:t>
                        </m:r>
                      </m:sub>
                    </m:sSub>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12" name="CuadroTexto 11">
              <a:extLst>
                <a:ext uri="{FF2B5EF4-FFF2-40B4-BE49-F238E27FC236}">
                  <a16:creationId xmlns:a16="http://schemas.microsoft.com/office/drawing/2014/main" id="{AF6B604B-901B-4EBB-8B2A-6425AB30DBFC}"/>
                </a:ext>
              </a:extLst>
            </xdr:cNvPr>
            <xdr:cNvSpPr txBox="1"/>
          </xdr:nvSpPr>
          <xdr:spPr>
            <a:xfrm>
              <a:off x="5632321" y="28217819"/>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𝒖_𝒄 (</a:t>
              </a:r>
              <a:r>
                <a:rPr lang="es-CO" sz="1100" b="1" i="0">
                  <a:latin typeface="Cambria Math" panose="02040503050406030204" pitchFamily="18" charset="0"/>
                  <a:ea typeface="Cambria Math" panose="02040503050406030204" pitchFamily="18" charset="0"/>
                </a:rPr>
                <a:t>𝒎_𝒄𝒕)</a:t>
              </a:r>
              <a:endParaRPr lang="es-CO" sz="1100" b="1"/>
            </a:p>
          </xdr:txBody>
        </xdr:sp>
      </mc:Fallback>
    </mc:AlternateContent>
    <xdr:clientData/>
  </xdr:oneCellAnchor>
  <xdr:oneCellAnchor>
    <xdr:from>
      <xdr:col>5</xdr:col>
      <xdr:colOff>243965</xdr:colOff>
      <xdr:row>70</xdr:row>
      <xdr:rowOff>130277</xdr:rowOff>
    </xdr:from>
    <xdr:ext cx="780598" cy="172227"/>
    <mc:AlternateContent xmlns:mc="http://schemas.openxmlformats.org/markup-compatibility/2006" xmlns:a14="http://schemas.microsoft.com/office/drawing/2010/main">
      <mc:Choice Requires="a14">
        <xdr:sp macro="" textlink="">
          <xdr:nvSpPr>
            <xdr:cNvPr id="13" name="CuadroTexto 12">
              <a:extLst>
                <a:ext uri="{FF2B5EF4-FFF2-40B4-BE49-F238E27FC236}">
                  <a16:creationId xmlns:a16="http://schemas.microsoft.com/office/drawing/2014/main" id="{00000000-0008-0000-0C00-00000D000000}"/>
                </a:ext>
              </a:extLst>
            </xdr:cNvPr>
            <xdr:cNvSpPr txBox="1"/>
          </xdr:nvSpPr>
          <xdr:spPr>
            <a:xfrm>
              <a:off x="5482715" y="2873702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100" b="1" i="1">
                      <a:latin typeface="Cambria Math" panose="02040503050406030204" pitchFamily="18" charset="0"/>
                    </a:rPr>
                    <m:t>𝑼</m:t>
                  </m:r>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a14:m>
              <a:r>
                <a:rPr lang="es-CO" sz="1100" b="1"/>
                <a:t> (k=2)</a:t>
              </a:r>
            </a:p>
          </xdr:txBody>
        </xdr:sp>
      </mc:Choice>
      <mc:Fallback xmlns="">
        <xdr:sp macro="" textlink="">
          <xdr:nvSpPr>
            <xdr:cNvPr id="13" name="CuadroTexto 12">
              <a:extLst>
                <a:ext uri="{FF2B5EF4-FFF2-40B4-BE49-F238E27FC236}">
                  <a16:creationId xmlns:a16="http://schemas.microsoft.com/office/drawing/2014/main" id="{D769D605-D08A-43D9-B70C-61A2204A08BB}"/>
                </a:ext>
              </a:extLst>
            </xdr:cNvPr>
            <xdr:cNvSpPr txBox="1"/>
          </xdr:nvSpPr>
          <xdr:spPr>
            <a:xfrm>
              <a:off x="5482715" y="2873702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100" b="1" i="0">
                  <a:latin typeface="Cambria Math" panose="02040503050406030204" pitchFamily="18" charset="0"/>
                </a:rPr>
                <a:t>𝑼(</a:t>
              </a:r>
              <a:r>
                <a:rPr lang="es-CO" sz="1100" b="1" i="0">
                  <a:latin typeface="Cambria Math" panose="02040503050406030204" pitchFamily="18" charset="0"/>
                  <a:ea typeface="Cambria Math" panose="02040503050406030204" pitchFamily="18" charset="0"/>
                </a:rPr>
                <a:t>𝒎_𝒄𝒕)</a:t>
              </a:r>
              <a:r>
                <a:rPr lang="es-CO" sz="1100" b="1"/>
                <a:t> (k=2)</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14" name="CuadroTexto 13">
              <a:extLst>
                <a:ext uri="{FF2B5EF4-FFF2-40B4-BE49-F238E27FC236}">
                  <a16:creationId xmlns:a16="http://schemas.microsoft.com/office/drawing/2014/main" id="{00000000-0008-0000-0C00-00000E000000}"/>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14" name="CuadroTexto 13">
              <a:extLst>
                <a:ext uri="{FF2B5EF4-FFF2-40B4-BE49-F238E27FC236}">
                  <a16:creationId xmlns:a16="http://schemas.microsoft.com/office/drawing/2014/main" id="{C8D81A27-B76D-492A-9E01-7E1A17A43543}"/>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8</xdr:col>
      <xdr:colOff>541269</xdr:colOff>
      <xdr:row>52</xdr:row>
      <xdr:rowOff>78683</xdr:rowOff>
    </xdr:from>
    <xdr:ext cx="304571" cy="172227"/>
    <mc:AlternateContent xmlns:mc="http://schemas.openxmlformats.org/markup-compatibility/2006" xmlns:a14="http://schemas.microsoft.com/office/drawing/2010/main">
      <mc:Choice Requires="a14">
        <xdr:sp macro="" textlink="">
          <xdr:nvSpPr>
            <xdr:cNvPr id="15" name="CuadroTexto 14">
              <a:extLst>
                <a:ext uri="{FF2B5EF4-FFF2-40B4-BE49-F238E27FC236}">
                  <a16:creationId xmlns:a16="http://schemas.microsoft.com/office/drawing/2014/main" id="{00000000-0008-0000-0C00-00000F000000}"/>
                </a:ext>
              </a:extLst>
            </xdr:cNvPr>
            <xdr:cNvSpPr txBox="1"/>
          </xdr:nvSpPr>
          <xdr:spPr>
            <a:xfrm>
              <a:off x="9882119" y="18595283"/>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oMath>
                </m:oMathPara>
              </a14:m>
              <a:endParaRPr lang="es-CO" sz="1100" b="1"/>
            </a:p>
          </xdr:txBody>
        </xdr:sp>
      </mc:Choice>
      <mc:Fallback xmlns="">
        <xdr:sp macro="" textlink="">
          <xdr:nvSpPr>
            <xdr:cNvPr id="15" name="CuadroTexto 14">
              <a:extLst>
                <a:ext uri="{FF2B5EF4-FFF2-40B4-BE49-F238E27FC236}">
                  <a16:creationId xmlns:a16="http://schemas.microsoft.com/office/drawing/2014/main" id="{4802BA2D-CF8A-452B-ACFA-61A7CA2F975B}"/>
                </a:ext>
              </a:extLst>
            </xdr:cNvPr>
            <xdr:cNvSpPr txBox="1"/>
          </xdr:nvSpPr>
          <xdr:spPr>
            <a:xfrm>
              <a:off x="9882119" y="18595283"/>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4</xdr:col>
      <xdr:colOff>155713</xdr:colOff>
      <xdr:row>39</xdr:row>
      <xdr:rowOff>106017</xdr:rowOff>
    </xdr:from>
    <xdr:ext cx="65" cy="172227"/>
    <xdr:sp macro="" textlink="">
      <xdr:nvSpPr>
        <xdr:cNvPr id="16" name="CuadroTexto 15">
          <a:extLst>
            <a:ext uri="{FF2B5EF4-FFF2-40B4-BE49-F238E27FC236}">
              <a16:creationId xmlns:a16="http://schemas.microsoft.com/office/drawing/2014/main" id="{00000000-0008-0000-0C00-000010000000}"/>
            </a:ext>
          </a:extLst>
        </xdr:cNvPr>
        <xdr:cNvSpPr txBox="1"/>
      </xdr:nvSpPr>
      <xdr:spPr>
        <a:xfrm>
          <a:off x="4308613" y="1369501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17" name="CuadroTexto 16">
              <a:extLst>
                <a:ext uri="{FF2B5EF4-FFF2-40B4-BE49-F238E27FC236}">
                  <a16:creationId xmlns:a16="http://schemas.microsoft.com/office/drawing/2014/main" id="{00000000-0008-0000-0C00-000011000000}"/>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7" name="CuadroTexto 16">
              <a:extLst>
                <a:ext uri="{FF2B5EF4-FFF2-40B4-BE49-F238E27FC236}">
                  <a16:creationId xmlns:a16="http://schemas.microsoft.com/office/drawing/2014/main" id="{61255253-44BC-4892-8CE2-CF8A733500EB}"/>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18" name="CuadroTexto 17">
              <a:extLst>
                <a:ext uri="{FF2B5EF4-FFF2-40B4-BE49-F238E27FC236}">
                  <a16:creationId xmlns:a16="http://schemas.microsoft.com/office/drawing/2014/main" id="{00000000-0008-0000-0C00-000012000000}"/>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18" name="CuadroTexto 17">
              <a:extLst>
                <a:ext uri="{FF2B5EF4-FFF2-40B4-BE49-F238E27FC236}">
                  <a16:creationId xmlns:a16="http://schemas.microsoft.com/office/drawing/2014/main" id="{E2F64CE7-5D57-4FF4-A40F-5A9FEA2B7E9F}"/>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19" name="CuadroTexto 18">
              <a:extLst>
                <a:ext uri="{FF2B5EF4-FFF2-40B4-BE49-F238E27FC236}">
                  <a16:creationId xmlns:a16="http://schemas.microsoft.com/office/drawing/2014/main" id="{00000000-0008-0000-0C00-000013000000}"/>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9" name="CuadroTexto 18">
              <a:extLst>
                <a:ext uri="{FF2B5EF4-FFF2-40B4-BE49-F238E27FC236}">
                  <a16:creationId xmlns:a16="http://schemas.microsoft.com/office/drawing/2014/main" id="{CF740BD5-4BB0-4FC2-8D2A-1E5A8B35550F}"/>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0" name="CuadroTexto 19">
              <a:extLst>
                <a:ext uri="{FF2B5EF4-FFF2-40B4-BE49-F238E27FC236}">
                  <a16:creationId xmlns:a16="http://schemas.microsoft.com/office/drawing/2014/main" id="{00000000-0008-0000-0C00-000014000000}"/>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0" name="CuadroTexto 19">
              <a:extLst>
                <a:ext uri="{FF2B5EF4-FFF2-40B4-BE49-F238E27FC236}">
                  <a16:creationId xmlns:a16="http://schemas.microsoft.com/office/drawing/2014/main" id="{2024D97A-957B-4AED-B87D-6A5A2DF6A75D}"/>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1" name="CuadroTexto 20">
          <a:extLst>
            <a:ext uri="{FF2B5EF4-FFF2-40B4-BE49-F238E27FC236}">
              <a16:creationId xmlns:a16="http://schemas.microsoft.com/office/drawing/2014/main" id="{00000000-0008-0000-0C00-000015000000}"/>
            </a:ext>
          </a:extLst>
        </xdr:cNvPr>
        <xdr:cNvSpPr txBox="1"/>
      </xdr:nvSpPr>
      <xdr:spPr>
        <a:xfrm>
          <a:off x="1376572" y="14521621"/>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3</xdr:col>
      <xdr:colOff>236456</xdr:colOff>
      <xdr:row>73</xdr:row>
      <xdr:rowOff>141002</xdr:rowOff>
    </xdr:from>
    <xdr:ext cx="730521" cy="219163"/>
    <mc:AlternateContent xmlns:mc="http://schemas.openxmlformats.org/markup-compatibility/2006" xmlns:a14="http://schemas.microsoft.com/office/drawing/2010/main">
      <mc:Choice Requires="a14">
        <xdr:sp macro="" textlink="">
          <xdr:nvSpPr>
            <xdr:cNvPr id="22" name="CuadroTexto 21">
              <a:extLst>
                <a:ext uri="{FF2B5EF4-FFF2-40B4-BE49-F238E27FC236}">
                  <a16:creationId xmlns:a16="http://schemas.microsoft.com/office/drawing/2014/main" id="{00000000-0008-0000-0C00-000016000000}"/>
                </a:ext>
              </a:extLst>
            </xdr:cNvPr>
            <xdr:cNvSpPr txBox="1"/>
          </xdr:nvSpPr>
          <xdr:spPr>
            <a:xfrm>
              <a:off x="3201906" y="30062202"/>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m:t>
                  </m:r>
                  <m:sSub>
                    <m:sSubPr>
                      <m:ctrlPr>
                        <a:rPr lang="es-CO" sz="1400" b="1" i="1">
                          <a:latin typeface="Cambria Math" panose="02040503050406030204" pitchFamily="18" charset="0"/>
                          <a:ea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𝒎</m:t>
                      </m:r>
                    </m:e>
                    <m:sub>
                      <m:r>
                        <a:rPr lang="es-CO" sz="1400" b="1" i="1">
                          <a:latin typeface="Cambria Math" panose="02040503050406030204" pitchFamily="18" charset="0"/>
                          <a:ea typeface="Cambria Math" panose="02040503050406030204" pitchFamily="18" charset="0"/>
                        </a:rPr>
                        <m:t>𝒄</m:t>
                      </m:r>
                    </m:sub>
                  </m:sSub>
                </m:oMath>
              </a14:m>
              <a:r>
                <a:rPr lang="es-CO" sz="1400" b="1" i="1"/>
                <a:t> (mg</a:t>
              </a:r>
              <a:r>
                <a:rPr lang="es-CO" sz="1200" b="1" i="0"/>
                <a:t>)</a:t>
              </a:r>
            </a:p>
          </xdr:txBody>
        </xdr:sp>
      </mc:Choice>
      <mc:Fallback xmlns="">
        <xdr:sp macro="" textlink="">
          <xdr:nvSpPr>
            <xdr:cNvPr id="22" name="CuadroTexto 21">
              <a:extLst>
                <a:ext uri="{FF2B5EF4-FFF2-40B4-BE49-F238E27FC236}">
                  <a16:creationId xmlns:a16="http://schemas.microsoft.com/office/drawing/2014/main" id="{630F369F-CE06-4E4A-A44A-D7324163DD49}"/>
                </a:ext>
              </a:extLst>
            </xdr:cNvPr>
            <xdr:cNvSpPr txBox="1"/>
          </xdr:nvSpPr>
          <xdr:spPr>
            <a:xfrm>
              <a:off x="3201906" y="30062202"/>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400" b="1" i="0">
                  <a:latin typeface="Cambria Math" panose="02040503050406030204" pitchFamily="18" charset="0"/>
                  <a:ea typeface="Cambria Math" panose="02040503050406030204" pitchFamily="18" charset="0"/>
                </a:rPr>
                <a:t>∆𝒎_𝒄</a:t>
              </a:r>
              <a:r>
                <a:rPr lang="es-CO" sz="1400" b="1" i="1"/>
                <a:t> (mg</a:t>
              </a:r>
              <a:r>
                <a:rPr lang="es-CO" sz="1200" b="1" i="0"/>
                <a:t>)</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23" name="CuadroTexto 22">
              <a:extLst>
                <a:ext uri="{FF2B5EF4-FFF2-40B4-BE49-F238E27FC236}">
                  <a16:creationId xmlns:a16="http://schemas.microsoft.com/office/drawing/2014/main" id="{00000000-0008-0000-0C00-000017000000}"/>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23" name="CuadroTexto 22">
              <a:extLst>
                <a:ext uri="{FF2B5EF4-FFF2-40B4-BE49-F238E27FC236}">
                  <a16:creationId xmlns:a16="http://schemas.microsoft.com/office/drawing/2014/main" id="{1BCE50E6-688C-4404-B3EB-B6E32BA55878}"/>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24" name="CuadroTexto 23">
          <a:extLst>
            <a:ext uri="{FF2B5EF4-FFF2-40B4-BE49-F238E27FC236}">
              <a16:creationId xmlns:a16="http://schemas.microsoft.com/office/drawing/2014/main" id="{00000000-0008-0000-0C00-000018000000}"/>
            </a:ext>
          </a:extLst>
        </xdr:cNvPr>
        <xdr:cNvSpPr txBox="1"/>
      </xdr:nvSpPr>
      <xdr:spPr>
        <a:xfrm>
          <a:off x="4308613" y="1369501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25" name="CuadroTexto 24">
              <a:extLst>
                <a:ext uri="{FF2B5EF4-FFF2-40B4-BE49-F238E27FC236}">
                  <a16:creationId xmlns:a16="http://schemas.microsoft.com/office/drawing/2014/main" id="{00000000-0008-0000-0C00-000019000000}"/>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5" name="CuadroTexto 24">
              <a:extLst>
                <a:ext uri="{FF2B5EF4-FFF2-40B4-BE49-F238E27FC236}">
                  <a16:creationId xmlns:a16="http://schemas.microsoft.com/office/drawing/2014/main" id="{5F0082A4-56CA-475B-B4F1-9D375908D45C}"/>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26" name="CuadroTexto 25">
              <a:extLst>
                <a:ext uri="{FF2B5EF4-FFF2-40B4-BE49-F238E27FC236}">
                  <a16:creationId xmlns:a16="http://schemas.microsoft.com/office/drawing/2014/main" id="{00000000-0008-0000-0C00-00001A000000}"/>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6" name="CuadroTexto 25">
              <a:extLst>
                <a:ext uri="{FF2B5EF4-FFF2-40B4-BE49-F238E27FC236}">
                  <a16:creationId xmlns:a16="http://schemas.microsoft.com/office/drawing/2014/main" id="{CF7A5E8A-E35E-40BA-9ED9-3E6BDCB5ED5D}"/>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27" name="CuadroTexto 26">
              <a:extLst>
                <a:ext uri="{FF2B5EF4-FFF2-40B4-BE49-F238E27FC236}">
                  <a16:creationId xmlns:a16="http://schemas.microsoft.com/office/drawing/2014/main" id="{00000000-0008-0000-0C00-00001B000000}"/>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7" name="CuadroTexto 26">
              <a:extLst>
                <a:ext uri="{FF2B5EF4-FFF2-40B4-BE49-F238E27FC236}">
                  <a16:creationId xmlns:a16="http://schemas.microsoft.com/office/drawing/2014/main" id="{BE13968A-D998-42A6-B2DA-2DE06F20D0B8}"/>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8" name="CuadroTexto 27">
              <a:extLst>
                <a:ext uri="{FF2B5EF4-FFF2-40B4-BE49-F238E27FC236}">
                  <a16:creationId xmlns:a16="http://schemas.microsoft.com/office/drawing/2014/main" id="{00000000-0008-0000-0C00-00001C000000}"/>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8" name="CuadroTexto 27">
              <a:extLst>
                <a:ext uri="{FF2B5EF4-FFF2-40B4-BE49-F238E27FC236}">
                  <a16:creationId xmlns:a16="http://schemas.microsoft.com/office/drawing/2014/main" id="{D233154C-B037-4C58-A2A5-1AB893AAB218}"/>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9" name="CuadroTexto 28">
          <a:extLst>
            <a:ext uri="{FF2B5EF4-FFF2-40B4-BE49-F238E27FC236}">
              <a16:creationId xmlns:a16="http://schemas.microsoft.com/office/drawing/2014/main" id="{00000000-0008-0000-0C00-00001D000000}"/>
            </a:ext>
          </a:extLst>
        </xdr:cNvPr>
        <xdr:cNvSpPr txBox="1"/>
      </xdr:nvSpPr>
      <xdr:spPr>
        <a:xfrm>
          <a:off x="1376572" y="14521621"/>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30" name="CuadroTexto 29">
              <a:extLst>
                <a:ext uri="{FF2B5EF4-FFF2-40B4-BE49-F238E27FC236}">
                  <a16:creationId xmlns:a16="http://schemas.microsoft.com/office/drawing/2014/main" id="{00000000-0008-0000-0C00-00001E000000}"/>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30" name="CuadroTexto 29">
              <a:extLst>
                <a:ext uri="{FF2B5EF4-FFF2-40B4-BE49-F238E27FC236}">
                  <a16:creationId xmlns:a16="http://schemas.microsoft.com/office/drawing/2014/main" id="{8C79CEC5-E4FF-4E09-A024-5F7FE18C1FC9}"/>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31" name="CuadroTexto 30">
          <a:extLst>
            <a:ext uri="{FF2B5EF4-FFF2-40B4-BE49-F238E27FC236}">
              <a16:creationId xmlns:a16="http://schemas.microsoft.com/office/drawing/2014/main" id="{00000000-0008-0000-0C00-00001F000000}"/>
            </a:ext>
          </a:extLst>
        </xdr:cNvPr>
        <xdr:cNvSpPr txBox="1"/>
      </xdr:nvSpPr>
      <xdr:spPr>
        <a:xfrm>
          <a:off x="4308613" y="1369501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32" name="CuadroTexto 31">
              <a:extLst>
                <a:ext uri="{FF2B5EF4-FFF2-40B4-BE49-F238E27FC236}">
                  <a16:creationId xmlns:a16="http://schemas.microsoft.com/office/drawing/2014/main" id="{00000000-0008-0000-0C00-000020000000}"/>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2" name="CuadroTexto 31">
              <a:extLst>
                <a:ext uri="{FF2B5EF4-FFF2-40B4-BE49-F238E27FC236}">
                  <a16:creationId xmlns:a16="http://schemas.microsoft.com/office/drawing/2014/main" id="{A1BB7AE7-D1D3-4367-B806-D105BDF13088}"/>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33" name="CuadroTexto 32">
              <a:extLst>
                <a:ext uri="{FF2B5EF4-FFF2-40B4-BE49-F238E27FC236}">
                  <a16:creationId xmlns:a16="http://schemas.microsoft.com/office/drawing/2014/main" id="{00000000-0008-0000-0C00-000021000000}"/>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3" name="CuadroTexto 32">
              <a:extLst>
                <a:ext uri="{FF2B5EF4-FFF2-40B4-BE49-F238E27FC236}">
                  <a16:creationId xmlns:a16="http://schemas.microsoft.com/office/drawing/2014/main" id="{AC0399A6-9E09-4550-A661-3FD1EC998A4E}"/>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34" name="CuadroTexto 33">
              <a:extLst>
                <a:ext uri="{FF2B5EF4-FFF2-40B4-BE49-F238E27FC236}">
                  <a16:creationId xmlns:a16="http://schemas.microsoft.com/office/drawing/2014/main" id="{00000000-0008-0000-0C00-000022000000}"/>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4" name="CuadroTexto 33">
              <a:extLst>
                <a:ext uri="{FF2B5EF4-FFF2-40B4-BE49-F238E27FC236}">
                  <a16:creationId xmlns:a16="http://schemas.microsoft.com/office/drawing/2014/main" id="{63A43A0F-FDA4-4936-A7D4-1F4F274A182F}"/>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35" name="CuadroTexto 34">
              <a:extLst>
                <a:ext uri="{FF2B5EF4-FFF2-40B4-BE49-F238E27FC236}">
                  <a16:creationId xmlns:a16="http://schemas.microsoft.com/office/drawing/2014/main" id="{00000000-0008-0000-0C00-000023000000}"/>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5" name="CuadroTexto 34">
              <a:extLst>
                <a:ext uri="{FF2B5EF4-FFF2-40B4-BE49-F238E27FC236}">
                  <a16:creationId xmlns:a16="http://schemas.microsoft.com/office/drawing/2014/main" id="{26176668-7021-472E-B75F-088C36C75DD1}"/>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36" name="CuadroTexto 35">
          <a:extLst>
            <a:ext uri="{FF2B5EF4-FFF2-40B4-BE49-F238E27FC236}">
              <a16:creationId xmlns:a16="http://schemas.microsoft.com/office/drawing/2014/main" id="{00000000-0008-0000-0C00-000024000000}"/>
            </a:ext>
          </a:extLst>
        </xdr:cNvPr>
        <xdr:cNvSpPr txBox="1"/>
      </xdr:nvSpPr>
      <xdr:spPr>
        <a:xfrm>
          <a:off x="1376572" y="14521621"/>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11</xdr:col>
      <xdr:colOff>628650</xdr:colOff>
      <xdr:row>61</xdr:row>
      <xdr:rowOff>0</xdr:rowOff>
    </xdr:from>
    <xdr:ext cx="65" cy="172227"/>
    <xdr:sp macro="" textlink="">
      <xdr:nvSpPr>
        <xdr:cNvPr id="37" name="CuadroTexto 36">
          <a:extLst>
            <a:ext uri="{FF2B5EF4-FFF2-40B4-BE49-F238E27FC236}">
              <a16:creationId xmlns:a16="http://schemas.microsoft.com/office/drawing/2014/main" id="{00000000-0008-0000-0C00-000025000000}"/>
            </a:ext>
          </a:extLst>
        </xdr:cNvPr>
        <xdr:cNvSpPr txBox="1"/>
      </xdr:nvSpPr>
      <xdr:spPr>
        <a:xfrm>
          <a:off x="12693650" y="22707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5</xdr:col>
      <xdr:colOff>539750</xdr:colOff>
      <xdr:row>73</xdr:row>
      <xdr:rowOff>158749</xdr:rowOff>
    </xdr:from>
    <xdr:ext cx="984250" cy="210507"/>
    <mc:AlternateContent xmlns:mc="http://schemas.openxmlformats.org/markup-compatibility/2006" xmlns:a14="http://schemas.microsoft.com/office/drawing/2010/main">
      <mc:Choice Requires="a14">
        <xdr:sp macro="" textlink="">
          <xdr:nvSpPr>
            <xdr:cNvPr id="38" name="CuadroTexto 37">
              <a:extLst>
                <a:ext uri="{FF2B5EF4-FFF2-40B4-BE49-F238E27FC236}">
                  <a16:creationId xmlns:a16="http://schemas.microsoft.com/office/drawing/2014/main" id="{00000000-0008-0000-0C00-000026000000}"/>
                </a:ext>
              </a:extLst>
            </xdr:cNvPr>
            <xdr:cNvSpPr txBox="1"/>
          </xdr:nvSpPr>
          <xdr:spPr>
            <a:xfrm>
              <a:off x="5778500" y="30079949"/>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𝒆</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38" name="CuadroTexto 37">
              <a:extLst>
                <a:ext uri="{FF2B5EF4-FFF2-40B4-BE49-F238E27FC236}">
                  <a16:creationId xmlns:a16="http://schemas.microsoft.com/office/drawing/2014/main" id="{59DD1339-3920-4704-A75F-C5CC2125416F}"/>
                </a:ext>
              </a:extLst>
            </xdr:cNvPr>
            <xdr:cNvSpPr txBox="1"/>
          </xdr:nvSpPr>
          <xdr:spPr>
            <a:xfrm>
              <a:off x="5778500" y="30079949"/>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𝒆 𝒄𝒕</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4</xdr:col>
      <xdr:colOff>52917</xdr:colOff>
      <xdr:row>73</xdr:row>
      <xdr:rowOff>148167</xdr:rowOff>
    </xdr:from>
    <xdr:ext cx="984250" cy="210507"/>
    <mc:AlternateContent xmlns:mc="http://schemas.openxmlformats.org/markup-compatibility/2006" xmlns:a14="http://schemas.microsoft.com/office/drawing/2010/main">
      <mc:Choice Requires="a14">
        <xdr:sp macro="" textlink="">
          <xdr:nvSpPr>
            <xdr:cNvPr id="39" name="CuadroTexto 38">
              <a:extLst>
                <a:ext uri="{FF2B5EF4-FFF2-40B4-BE49-F238E27FC236}">
                  <a16:creationId xmlns:a16="http://schemas.microsoft.com/office/drawing/2014/main" id="{00000000-0008-0000-0C00-000027000000}"/>
                </a:ext>
              </a:extLst>
            </xdr:cNvPr>
            <xdr:cNvSpPr txBox="1"/>
          </xdr:nvSpPr>
          <xdr:spPr>
            <a:xfrm>
              <a:off x="4205817" y="30069367"/>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39" name="CuadroTexto 38">
              <a:extLst>
                <a:ext uri="{FF2B5EF4-FFF2-40B4-BE49-F238E27FC236}">
                  <a16:creationId xmlns:a16="http://schemas.microsoft.com/office/drawing/2014/main" id="{35E8F0F2-2ED6-4BF1-B3A8-40430CE19139}"/>
                </a:ext>
              </a:extLst>
            </xdr:cNvPr>
            <xdr:cNvSpPr txBox="1"/>
          </xdr:nvSpPr>
          <xdr:spPr>
            <a:xfrm>
              <a:off x="4205817" y="30069367"/>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𝒄𝒕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1</xdr:col>
      <xdr:colOff>11906</xdr:colOff>
      <xdr:row>73</xdr:row>
      <xdr:rowOff>95250</xdr:rowOff>
    </xdr:from>
    <xdr:ext cx="853282" cy="210507"/>
    <mc:AlternateContent xmlns:mc="http://schemas.openxmlformats.org/markup-compatibility/2006" xmlns:a14="http://schemas.microsoft.com/office/drawing/2010/main">
      <mc:Choice Requires="a14">
        <xdr:sp macro="" textlink="">
          <xdr:nvSpPr>
            <xdr:cNvPr id="40" name="CuadroTexto 39">
              <a:extLst>
                <a:ext uri="{FF2B5EF4-FFF2-40B4-BE49-F238E27FC236}">
                  <a16:creationId xmlns:a16="http://schemas.microsoft.com/office/drawing/2014/main" id="{00000000-0008-0000-0C00-000028000000}"/>
                </a:ext>
              </a:extLst>
            </xdr:cNvPr>
            <xdr:cNvSpPr txBox="1"/>
          </xdr:nvSpPr>
          <xdr:spPr>
            <a:xfrm>
              <a:off x="1043781" y="29908500"/>
              <a:ext cx="853282"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𝑵𝒓</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0" name="CuadroTexto 39">
              <a:extLst>
                <a:ext uri="{FF2B5EF4-FFF2-40B4-BE49-F238E27FC236}">
                  <a16:creationId xmlns:a16="http://schemas.microsoft.com/office/drawing/2014/main" id="{DC05CD08-203B-40B1-964C-328DDEE306E3}"/>
                </a:ext>
              </a:extLst>
            </xdr:cNvPr>
            <xdr:cNvSpPr txBox="1"/>
          </xdr:nvSpPr>
          <xdr:spPr>
            <a:xfrm>
              <a:off x="1043781" y="29908500"/>
              <a:ext cx="853282"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𝑵𝒓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8</xdr:col>
      <xdr:colOff>624417</xdr:colOff>
      <xdr:row>73</xdr:row>
      <xdr:rowOff>285751</xdr:rowOff>
    </xdr:from>
    <xdr:ext cx="1524000" cy="210507"/>
    <mc:AlternateContent xmlns:mc="http://schemas.openxmlformats.org/markup-compatibility/2006" xmlns:a14="http://schemas.microsoft.com/office/drawing/2010/main">
      <mc:Choice Requires="a14">
        <xdr:sp macro="" textlink="">
          <xdr:nvSpPr>
            <xdr:cNvPr id="41" name="CuadroTexto 40">
              <a:extLst>
                <a:ext uri="{FF2B5EF4-FFF2-40B4-BE49-F238E27FC236}">
                  <a16:creationId xmlns:a16="http://schemas.microsoft.com/office/drawing/2014/main" id="{00000000-0008-0000-0C00-000029000000}"/>
                </a:ext>
              </a:extLst>
            </xdr:cNvPr>
            <xdr:cNvSpPr txBox="1"/>
          </xdr:nvSpPr>
          <xdr:spPr>
            <a:xfrm>
              <a:off x="9965267" y="30206951"/>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𝑼</m:t>
                  </m:r>
                  <m:r>
                    <a:rPr lang="es-CO" sz="1400" b="1" i="1">
                      <a:latin typeface="Cambria Math" panose="02040503050406030204" pitchFamily="18" charset="0"/>
                      <a:ea typeface="Cambria Math" panose="02040503050406030204" pitchFamily="18" charset="0"/>
                    </a:rPr>
                    <m:t> </m:t>
                  </m:r>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 </m:t>
                  </m:r>
                  <m:r>
                    <a:rPr lang="es-CO" sz="1400" b="1" i="1">
                      <a:latin typeface="Cambria Math" panose="02040503050406030204" pitchFamily="18" charset="0"/>
                      <a:ea typeface="Cambria Math" panose="02040503050406030204" pitchFamily="18" charset="0"/>
                    </a:rPr>
                    <m:t>𝒌</m:t>
                  </m:r>
                  <m:r>
                    <a:rPr lang="es-CO" sz="1400" b="1" i="1">
                      <a:latin typeface="Cambria Math" panose="02040503050406030204" pitchFamily="18" charset="0"/>
                      <a:ea typeface="Cambria Math" panose="02040503050406030204" pitchFamily="18" charset="0"/>
                    </a:rPr>
                    <m:t>=</m:t>
                  </m:r>
                  <m:r>
                    <a:rPr lang="es-CO" sz="1400" b="1" i="1">
                      <a:latin typeface="Cambria Math" panose="02040503050406030204" pitchFamily="18" charset="0"/>
                      <a:ea typeface="Cambria Math" panose="02040503050406030204" pitchFamily="18" charset="0"/>
                    </a:rPr>
                    <m:t>𝟐</m:t>
                  </m:r>
                </m:oMath>
              </a14:m>
              <a:r>
                <a:rPr lang="es-CO" sz="1400" b="1" i="1">
                  <a:latin typeface="Arial" panose="020B0604020202020204" pitchFamily="34" charset="0"/>
                  <a:cs typeface="Arial" panose="020B0604020202020204" pitchFamily="34" charset="0"/>
                </a:rPr>
                <a:t>)</a:t>
              </a:r>
            </a:p>
          </xdr:txBody>
        </xdr:sp>
      </mc:Choice>
      <mc:Fallback xmlns="">
        <xdr:sp macro="" textlink="">
          <xdr:nvSpPr>
            <xdr:cNvPr id="41" name="CuadroTexto 40">
              <a:extLst>
                <a:ext uri="{FF2B5EF4-FFF2-40B4-BE49-F238E27FC236}">
                  <a16:creationId xmlns:a16="http://schemas.microsoft.com/office/drawing/2014/main" id="{87AD3E34-B91D-4CB8-9040-AADE7431C937}"/>
                </a:ext>
              </a:extLst>
            </xdr:cNvPr>
            <xdr:cNvSpPr txBox="1"/>
          </xdr:nvSpPr>
          <xdr:spPr>
            <a:xfrm>
              <a:off x="9965267" y="30206951"/>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0">
                  <a:latin typeface="Cambria Math" panose="02040503050406030204" pitchFamily="18" charset="0"/>
                  <a:ea typeface="Cambria Math" panose="02040503050406030204" pitchFamily="18" charset="0"/>
                </a:rPr>
                <a:t>𝑼 ( 𝒎 𝒄𝒕 )  ( 𝒌=𝟐</a:t>
              </a:r>
              <a:r>
                <a:rPr lang="es-CO" sz="1400" b="1" i="1">
                  <a:latin typeface="Arial" panose="020B0604020202020204" pitchFamily="34" charset="0"/>
                  <a:cs typeface="Arial" panose="020B0604020202020204" pitchFamily="34" charset="0"/>
                </a:rPr>
                <a:t>)</a:t>
              </a:r>
            </a:p>
          </xdr:txBody>
        </xdr:sp>
      </mc:Fallback>
    </mc:AlternateContent>
    <xdr:clientData/>
  </xdr:oneCellAnchor>
  <xdr:oneCellAnchor>
    <xdr:from>
      <xdr:col>9</xdr:col>
      <xdr:colOff>603252</xdr:colOff>
      <xdr:row>74</xdr:row>
      <xdr:rowOff>84667</xdr:rowOff>
    </xdr:from>
    <xdr:ext cx="465666" cy="219163"/>
    <xdr:sp macro="" textlink="">
      <xdr:nvSpPr>
        <xdr:cNvPr id="42" name="CuadroTexto 41">
          <a:extLst>
            <a:ext uri="{FF2B5EF4-FFF2-40B4-BE49-F238E27FC236}">
              <a16:creationId xmlns:a16="http://schemas.microsoft.com/office/drawing/2014/main" id="{00000000-0008-0000-0C00-00002A000000}"/>
            </a:ext>
          </a:extLst>
        </xdr:cNvPr>
        <xdr:cNvSpPr txBox="1"/>
      </xdr:nvSpPr>
      <xdr:spPr>
        <a:xfrm>
          <a:off x="10909302" y="30520217"/>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9</xdr:col>
      <xdr:colOff>571499</xdr:colOff>
      <xdr:row>75</xdr:row>
      <xdr:rowOff>116416</xdr:rowOff>
    </xdr:from>
    <xdr:ext cx="359835" cy="219163"/>
    <xdr:sp macro="" textlink="">
      <xdr:nvSpPr>
        <xdr:cNvPr id="43" name="CuadroTexto 42">
          <a:extLst>
            <a:ext uri="{FF2B5EF4-FFF2-40B4-BE49-F238E27FC236}">
              <a16:creationId xmlns:a16="http://schemas.microsoft.com/office/drawing/2014/main" id="{00000000-0008-0000-0C00-00002B000000}"/>
            </a:ext>
          </a:extLst>
        </xdr:cNvPr>
        <xdr:cNvSpPr txBox="1"/>
      </xdr:nvSpPr>
      <xdr:spPr>
        <a:xfrm>
          <a:off x="10877549" y="30996466"/>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6</xdr:col>
      <xdr:colOff>275167</xdr:colOff>
      <xdr:row>74</xdr:row>
      <xdr:rowOff>148166</xdr:rowOff>
    </xdr:from>
    <xdr:ext cx="465666" cy="219163"/>
    <xdr:sp macro="" textlink="">
      <xdr:nvSpPr>
        <xdr:cNvPr id="44" name="CuadroTexto 43">
          <a:extLst>
            <a:ext uri="{FF2B5EF4-FFF2-40B4-BE49-F238E27FC236}">
              <a16:creationId xmlns:a16="http://schemas.microsoft.com/office/drawing/2014/main" id="{00000000-0008-0000-0C00-00002C000000}"/>
            </a:ext>
          </a:extLst>
        </xdr:cNvPr>
        <xdr:cNvSpPr txBox="1"/>
      </xdr:nvSpPr>
      <xdr:spPr>
        <a:xfrm>
          <a:off x="6809317" y="30583716"/>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6</xdr:col>
      <xdr:colOff>328083</xdr:colOff>
      <xdr:row>75</xdr:row>
      <xdr:rowOff>84667</xdr:rowOff>
    </xdr:from>
    <xdr:ext cx="359835" cy="219163"/>
    <xdr:sp macro="" textlink="">
      <xdr:nvSpPr>
        <xdr:cNvPr id="45" name="CuadroTexto 44">
          <a:extLst>
            <a:ext uri="{FF2B5EF4-FFF2-40B4-BE49-F238E27FC236}">
              <a16:creationId xmlns:a16="http://schemas.microsoft.com/office/drawing/2014/main" id="{00000000-0008-0000-0C00-00002D000000}"/>
            </a:ext>
          </a:extLst>
        </xdr:cNvPr>
        <xdr:cNvSpPr txBox="1"/>
      </xdr:nvSpPr>
      <xdr:spPr>
        <a:xfrm>
          <a:off x="6862233" y="30964717"/>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3</xdr:col>
      <xdr:colOff>560916</xdr:colOff>
      <xdr:row>72</xdr:row>
      <xdr:rowOff>74084</xdr:rowOff>
    </xdr:from>
    <xdr:ext cx="1524000" cy="210507"/>
    <mc:AlternateContent xmlns:mc="http://schemas.openxmlformats.org/markup-compatibility/2006" xmlns:a14="http://schemas.microsoft.com/office/drawing/2010/main">
      <mc:Choice Requires="a14">
        <xdr:sp macro="" textlink="">
          <xdr:nvSpPr>
            <xdr:cNvPr id="46" name="CuadroTexto 45">
              <a:extLst>
                <a:ext uri="{FF2B5EF4-FFF2-40B4-BE49-F238E27FC236}">
                  <a16:creationId xmlns:a16="http://schemas.microsoft.com/office/drawing/2014/main" id="{00000000-0008-0000-0C00-00002E000000}"/>
                </a:ext>
              </a:extLst>
            </xdr:cNvPr>
            <xdr:cNvSpPr txBox="1"/>
          </xdr:nvSpPr>
          <xdr:spPr>
            <a:xfrm>
              <a:off x="3526366" y="29550784"/>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m:t>
                    </m:r>
                  </m:oMath>
                </m:oMathPara>
              </a14:m>
              <a:endParaRPr lang="es-CO" sz="1400" b="1" i="1">
                <a:latin typeface="Arial" panose="020B0604020202020204" pitchFamily="34" charset="0"/>
                <a:cs typeface="Arial" panose="020B0604020202020204" pitchFamily="34" charset="0"/>
              </a:endParaRPr>
            </a:p>
          </xdr:txBody>
        </xdr:sp>
      </mc:Choice>
      <mc:Fallback xmlns="">
        <xdr:sp macro="" textlink="">
          <xdr:nvSpPr>
            <xdr:cNvPr id="46" name="CuadroTexto 45">
              <a:extLst>
                <a:ext uri="{FF2B5EF4-FFF2-40B4-BE49-F238E27FC236}">
                  <a16:creationId xmlns:a16="http://schemas.microsoft.com/office/drawing/2014/main" id="{D0CB0D47-F489-4951-ABE4-5346F601E5F5}"/>
                </a:ext>
              </a:extLst>
            </xdr:cNvPr>
            <xdr:cNvSpPr txBox="1"/>
          </xdr:nvSpPr>
          <xdr:spPr>
            <a:xfrm>
              <a:off x="3526366" y="29550784"/>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 𝒎 𝒄𝒕 )   </a:t>
              </a:r>
              <a:endParaRPr lang="es-CO" sz="1400" b="1" i="1">
                <a:latin typeface="Arial" panose="020B0604020202020204" pitchFamily="34" charset="0"/>
                <a:cs typeface="Arial" panose="020B0604020202020204" pitchFamily="34" charset="0"/>
              </a:endParaRPr>
            </a:p>
          </xdr:txBody>
        </xdr:sp>
      </mc:Fallback>
    </mc:AlternateContent>
    <xdr:clientData/>
  </xdr:oneCellAnchor>
  <xdr:oneCellAnchor>
    <xdr:from>
      <xdr:col>7</xdr:col>
      <xdr:colOff>411956</xdr:colOff>
      <xdr:row>71</xdr:row>
      <xdr:rowOff>406003</xdr:rowOff>
    </xdr:from>
    <xdr:ext cx="65" cy="172227"/>
    <xdr:sp macro="" textlink="">
      <xdr:nvSpPr>
        <xdr:cNvPr id="47" name="CuadroTexto 46">
          <a:extLst>
            <a:ext uri="{FF2B5EF4-FFF2-40B4-BE49-F238E27FC236}">
              <a16:creationId xmlns:a16="http://schemas.microsoft.com/office/drawing/2014/main" id="{00000000-0008-0000-0C00-00002F000000}"/>
            </a:ext>
          </a:extLst>
        </xdr:cNvPr>
        <xdr:cNvSpPr txBox="1"/>
      </xdr:nvSpPr>
      <xdr:spPr>
        <a:xfrm>
          <a:off x="8044656" y="29457253"/>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49" name="CuadroTexto 48">
              <a:extLst>
                <a:ext uri="{FF2B5EF4-FFF2-40B4-BE49-F238E27FC236}">
                  <a16:creationId xmlns:a16="http://schemas.microsoft.com/office/drawing/2014/main" id="{00000000-0008-0000-0C00-000031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49" name="CuadroTexto 48">
              <a:extLst>
                <a:ext uri="{FF2B5EF4-FFF2-40B4-BE49-F238E27FC236}">
                  <a16:creationId xmlns:a16="http://schemas.microsoft.com/office/drawing/2014/main" id="{A74992F9-CD74-42C1-BB47-D742E6C39423}"/>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50" name="CuadroTexto 49">
              <a:extLst>
                <a:ext uri="{FF2B5EF4-FFF2-40B4-BE49-F238E27FC236}">
                  <a16:creationId xmlns:a16="http://schemas.microsoft.com/office/drawing/2014/main" id="{00000000-0008-0000-0C00-000032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50" name="CuadroTexto 49">
              <a:extLst>
                <a:ext uri="{FF2B5EF4-FFF2-40B4-BE49-F238E27FC236}">
                  <a16:creationId xmlns:a16="http://schemas.microsoft.com/office/drawing/2014/main" id="{C62E89D7-10F0-4AAF-87B7-1F1EC6F3E856}"/>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twoCellAnchor>
    <xdr:from>
      <xdr:col>7</xdr:col>
      <xdr:colOff>825500</xdr:colOff>
      <xdr:row>62</xdr:row>
      <xdr:rowOff>190500</xdr:rowOff>
    </xdr:from>
    <xdr:to>
      <xdr:col>11</xdr:col>
      <xdr:colOff>761999</xdr:colOff>
      <xdr:row>64</xdr:row>
      <xdr:rowOff>460375</xdr:rowOff>
    </xdr:to>
    <xdr:graphicFrame macro="">
      <xdr:nvGraphicFramePr>
        <xdr:cNvPr id="52" name="Gráfico 51">
          <a:extLst>
            <a:ext uri="{FF2B5EF4-FFF2-40B4-BE49-F238E27FC236}">
              <a16:creationId xmlns:a16="http://schemas.microsoft.com/office/drawing/2014/main" id="{00000000-0008-0000-0C00-00003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238126</xdr:colOff>
      <xdr:row>0</xdr:row>
      <xdr:rowOff>83344</xdr:rowOff>
    </xdr:from>
    <xdr:to>
      <xdr:col>1</xdr:col>
      <xdr:colOff>578663</xdr:colOff>
      <xdr:row>0</xdr:row>
      <xdr:rowOff>699093</xdr:rowOff>
    </xdr:to>
    <xdr:pic>
      <xdr:nvPicPr>
        <xdr:cNvPr id="51" name="50 Imagen">
          <a:extLst>
            <a:ext uri="{FF2B5EF4-FFF2-40B4-BE49-F238E27FC236}">
              <a16:creationId xmlns:a16="http://schemas.microsoft.com/office/drawing/2014/main" id="{00000000-0008-0000-0C00-000033000000}"/>
            </a:ext>
          </a:extLst>
        </xdr:cNvPr>
        <xdr:cNvPicPr>
          <a:picLocks noChangeAspect="1"/>
        </xdr:cNvPicPr>
      </xdr:nvPicPr>
      <xdr:blipFill>
        <a:blip xmlns:r="http://schemas.openxmlformats.org/officeDocument/2006/relationships" r:embed="rId2"/>
        <a:stretch>
          <a:fillRect/>
        </a:stretch>
      </xdr:blipFill>
      <xdr:spPr>
        <a:xfrm>
          <a:off x="238126" y="83344"/>
          <a:ext cx="1316850" cy="615749"/>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17318</xdr:colOff>
      <xdr:row>0</xdr:row>
      <xdr:rowOff>86591</xdr:rowOff>
    </xdr:from>
    <xdr:to>
      <xdr:col>2</xdr:col>
      <xdr:colOff>1177635</xdr:colOff>
      <xdr:row>0</xdr:row>
      <xdr:rowOff>1398443</xdr:rowOff>
    </xdr:to>
    <xdr:pic>
      <xdr:nvPicPr>
        <xdr:cNvPr id="3" name="2 Imagen">
          <a:extLst>
            <a:ext uri="{FF2B5EF4-FFF2-40B4-BE49-F238E27FC236}">
              <a16:creationId xmlns:a16="http://schemas.microsoft.com/office/drawing/2014/main" id="{00000000-0008-0000-0D00-000003000000}"/>
            </a:ext>
          </a:extLst>
        </xdr:cNvPr>
        <xdr:cNvPicPr>
          <a:picLocks noChangeAspect="1"/>
        </xdr:cNvPicPr>
      </xdr:nvPicPr>
      <xdr:blipFill>
        <a:blip xmlns:r="http://schemas.openxmlformats.org/officeDocument/2006/relationships" r:embed="rId1"/>
        <a:stretch>
          <a:fillRect/>
        </a:stretch>
      </xdr:blipFill>
      <xdr:spPr>
        <a:xfrm>
          <a:off x="1662545" y="86591"/>
          <a:ext cx="2805545" cy="1311852"/>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xdr:from>
      <xdr:col>0</xdr:col>
      <xdr:colOff>274815</xdr:colOff>
      <xdr:row>19</xdr:row>
      <xdr:rowOff>432234</xdr:rowOff>
    </xdr:from>
    <xdr:to>
      <xdr:col>3</xdr:col>
      <xdr:colOff>539096</xdr:colOff>
      <xdr:row>24</xdr:row>
      <xdr:rowOff>160234</xdr:rowOff>
    </xdr:to>
    <xdr:graphicFrame macro="">
      <xdr:nvGraphicFramePr>
        <xdr:cNvPr id="28" name="Gráfico 27">
          <a:extLst>
            <a:ext uri="{FF2B5EF4-FFF2-40B4-BE49-F238E27FC236}">
              <a16:creationId xmlns:a16="http://schemas.microsoft.com/office/drawing/2014/main" id="{00000000-0008-0000-0E00-00001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947202</xdr:colOff>
      <xdr:row>19</xdr:row>
      <xdr:rowOff>440348</xdr:rowOff>
    </xdr:from>
    <xdr:to>
      <xdr:col>7</xdr:col>
      <xdr:colOff>485202</xdr:colOff>
      <xdr:row>24</xdr:row>
      <xdr:rowOff>168348</xdr:rowOff>
    </xdr:to>
    <xdr:graphicFrame macro="">
      <xdr:nvGraphicFramePr>
        <xdr:cNvPr id="29" name="Gráfico 28">
          <a:extLst>
            <a:ext uri="{FF2B5EF4-FFF2-40B4-BE49-F238E27FC236}">
              <a16:creationId xmlns:a16="http://schemas.microsoft.com/office/drawing/2014/main" id="{00000000-0008-0000-0E00-00001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727077</xdr:colOff>
      <xdr:row>19</xdr:row>
      <xdr:rowOff>442994</xdr:rowOff>
    </xdr:from>
    <xdr:to>
      <xdr:col>16</xdr:col>
      <xdr:colOff>157920</xdr:colOff>
      <xdr:row>24</xdr:row>
      <xdr:rowOff>170994</xdr:rowOff>
    </xdr:to>
    <xdr:graphicFrame macro="">
      <xdr:nvGraphicFramePr>
        <xdr:cNvPr id="30" name="Gráfico 29">
          <a:extLst>
            <a:ext uri="{FF2B5EF4-FFF2-40B4-BE49-F238E27FC236}">
              <a16:creationId xmlns:a16="http://schemas.microsoft.com/office/drawing/2014/main" id="{00000000-0008-0000-0E00-00001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32279</xdr:colOff>
      <xdr:row>19</xdr:row>
      <xdr:rowOff>492205</xdr:rowOff>
    </xdr:from>
    <xdr:to>
      <xdr:col>11</xdr:col>
      <xdr:colOff>725185</xdr:colOff>
      <xdr:row>24</xdr:row>
      <xdr:rowOff>220205</xdr:rowOff>
    </xdr:to>
    <xdr:graphicFrame macro="">
      <xdr:nvGraphicFramePr>
        <xdr:cNvPr id="31" name="Gráfico 30">
          <a:extLst>
            <a:ext uri="{FF2B5EF4-FFF2-40B4-BE49-F238E27FC236}">
              <a16:creationId xmlns:a16="http://schemas.microsoft.com/office/drawing/2014/main" id="{00000000-0008-0000-0E00-00001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825501</xdr:colOff>
      <xdr:row>19</xdr:row>
      <xdr:rowOff>455086</xdr:rowOff>
    </xdr:from>
    <xdr:to>
      <xdr:col>21</xdr:col>
      <xdr:colOff>192843</xdr:colOff>
      <xdr:row>24</xdr:row>
      <xdr:rowOff>183086</xdr:rowOff>
    </xdr:to>
    <xdr:graphicFrame macro="">
      <xdr:nvGraphicFramePr>
        <xdr:cNvPr id="15" name="Gráfico 14">
          <a:extLst>
            <a:ext uri="{FF2B5EF4-FFF2-40B4-BE49-F238E27FC236}">
              <a16:creationId xmlns:a16="http://schemas.microsoft.com/office/drawing/2014/main" id="{00000000-0008-0000-0E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264581</xdr:colOff>
      <xdr:row>25</xdr:row>
      <xdr:rowOff>201080</xdr:rowOff>
    </xdr:from>
    <xdr:to>
      <xdr:col>3</xdr:col>
      <xdr:colOff>528862</xdr:colOff>
      <xdr:row>31</xdr:row>
      <xdr:rowOff>56080</xdr:rowOff>
    </xdr:to>
    <xdr:graphicFrame macro="">
      <xdr:nvGraphicFramePr>
        <xdr:cNvPr id="16" name="Gráfico 15">
          <a:extLst>
            <a:ext uri="{FF2B5EF4-FFF2-40B4-BE49-F238E27FC236}">
              <a16:creationId xmlns:a16="http://schemas.microsoft.com/office/drawing/2014/main" id="{00000000-0008-0000-0E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xdr:col>
      <xdr:colOff>1005417</xdr:colOff>
      <xdr:row>25</xdr:row>
      <xdr:rowOff>190500</xdr:rowOff>
    </xdr:from>
    <xdr:to>
      <xdr:col>7</xdr:col>
      <xdr:colOff>507698</xdr:colOff>
      <xdr:row>31</xdr:row>
      <xdr:rowOff>45500</xdr:rowOff>
    </xdr:to>
    <xdr:graphicFrame macro="">
      <xdr:nvGraphicFramePr>
        <xdr:cNvPr id="19" name="Gráfico 18">
          <a:extLst>
            <a:ext uri="{FF2B5EF4-FFF2-40B4-BE49-F238E27FC236}">
              <a16:creationId xmlns:a16="http://schemas.microsoft.com/office/drawing/2014/main" id="{00000000-0008-0000-0E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0</xdr:colOff>
      <xdr:row>25</xdr:row>
      <xdr:rowOff>243413</xdr:rowOff>
    </xdr:from>
    <xdr:to>
      <xdr:col>11</xdr:col>
      <xdr:colOff>740531</xdr:colOff>
      <xdr:row>31</xdr:row>
      <xdr:rowOff>98413</xdr:rowOff>
    </xdr:to>
    <xdr:graphicFrame macro="">
      <xdr:nvGraphicFramePr>
        <xdr:cNvPr id="20" name="Gráfico 19">
          <a:extLst>
            <a:ext uri="{FF2B5EF4-FFF2-40B4-BE49-F238E27FC236}">
              <a16:creationId xmlns:a16="http://schemas.microsoft.com/office/drawing/2014/main" id="{00000000-0008-0000-0E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12</xdr:col>
      <xdr:colOff>709078</xdr:colOff>
      <xdr:row>25</xdr:row>
      <xdr:rowOff>254001</xdr:rowOff>
    </xdr:from>
    <xdr:to>
      <xdr:col>16</xdr:col>
      <xdr:colOff>88593</xdr:colOff>
      <xdr:row>31</xdr:row>
      <xdr:rowOff>109001</xdr:rowOff>
    </xdr:to>
    <xdr:graphicFrame macro="">
      <xdr:nvGraphicFramePr>
        <xdr:cNvPr id="21" name="Gráfico 20">
          <a:extLst>
            <a:ext uri="{FF2B5EF4-FFF2-40B4-BE49-F238E27FC236}">
              <a16:creationId xmlns:a16="http://schemas.microsoft.com/office/drawing/2014/main" id="{00000000-0008-0000-0E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16</xdr:col>
      <xdr:colOff>910169</xdr:colOff>
      <xdr:row>25</xdr:row>
      <xdr:rowOff>179918</xdr:rowOff>
    </xdr:from>
    <xdr:to>
      <xdr:col>21</xdr:col>
      <xdr:colOff>226183</xdr:colOff>
      <xdr:row>31</xdr:row>
      <xdr:rowOff>34918</xdr:rowOff>
    </xdr:to>
    <xdr:graphicFrame macro="">
      <xdr:nvGraphicFramePr>
        <xdr:cNvPr id="23" name="Gráfico 22">
          <a:extLst>
            <a:ext uri="{FF2B5EF4-FFF2-40B4-BE49-F238E27FC236}">
              <a16:creationId xmlns:a16="http://schemas.microsoft.com/office/drawing/2014/main" id="{00000000-0008-0000-0E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201083</xdr:colOff>
      <xdr:row>32</xdr:row>
      <xdr:rowOff>306916</xdr:rowOff>
    </xdr:from>
    <xdr:to>
      <xdr:col>3</xdr:col>
      <xdr:colOff>459014</xdr:colOff>
      <xdr:row>38</xdr:row>
      <xdr:rowOff>288916</xdr:rowOff>
    </xdr:to>
    <xdr:graphicFrame macro="">
      <xdr:nvGraphicFramePr>
        <xdr:cNvPr id="24" name="Gráfico 23">
          <a:extLst>
            <a:ext uri="{FF2B5EF4-FFF2-40B4-BE49-F238E27FC236}">
              <a16:creationId xmlns:a16="http://schemas.microsoft.com/office/drawing/2014/main" id="{00000000-0008-0000-0E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4</xdr:col>
      <xdr:colOff>0</xdr:colOff>
      <xdr:row>33</xdr:row>
      <xdr:rowOff>0</xdr:rowOff>
    </xdr:from>
    <xdr:to>
      <xdr:col>7</xdr:col>
      <xdr:colOff>649514</xdr:colOff>
      <xdr:row>38</xdr:row>
      <xdr:rowOff>363000</xdr:rowOff>
    </xdr:to>
    <xdr:graphicFrame macro="">
      <xdr:nvGraphicFramePr>
        <xdr:cNvPr id="25" name="Gráfico 24">
          <a:extLst>
            <a:ext uri="{FF2B5EF4-FFF2-40B4-BE49-F238E27FC236}">
              <a16:creationId xmlns:a16="http://schemas.microsoft.com/office/drawing/2014/main" id="{00000000-0008-0000-0E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editAs="oneCell">
    <xdr:from>
      <xdr:col>0</xdr:col>
      <xdr:colOff>693398</xdr:colOff>
      <xdr:row>0</xdr:row>
      <xdr:rowOff>63500</xdr:rowOff>
    </xdr:from>
    <xdr:to>
      <xdr:col>2</xdr:col>
      <xdr:colOff>216778</xdr:colOff>
      <xdr:row>2</xdr:row>
      <xdr:rowOff>222250</xdr:rowOff>
    </xdr:to>
    <xdr:pic>
      <xdr:nvPicPr>
        <xdr:cNvPr id="2" name="1 Imagen">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3"/>
        <a:stretch>
          <a:fillRect/>
        </a:stretch>
      </xdr:blipFill>
      <xdr:spPr>
        <a:xfrm>
          <a:off x="693398" y="63500"/>
          <a:ext cx="1698255" cy="79375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oneCellAnchor>
    <xdr:from>
      <xdr:col>3</xdr:col>
      <xdr:colOff>508000</xdr:colOff>
      <xdr:row>74</xdr:row>
      <xdr:rowOff>193674</xdr:rowOff>
    </xdr:from>
    <xdr:ext cx="3692934" cy="210507"/>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00000000-0008-0000-0F00-000002000000}"/>
                </a:ext>
              </a:extLst>
            </xdr:cNvPr>
            <xdr:cNvSpPr txBox="1"/>
          </xdr:nvSpPr>
          <xdr:spPr>
            <a:xfrm>
              <a:off x="2444750" y="30049257"/>
              <a:ext cx="3692934" cy="210507"/>
            </a:xfrm>
            <a:prstGeom prst="rect">
              <a:avLst/>
            </a:prstGeom>
            <a:solidFill>
              <a:sysClr val="window" lastClr="FFFFFF"/>
            </a:solidFill>
            <a:ln>
              <a:noFill/>
            </a:ln>
          </xdr:spPr>
          <xdr:style>
            <a:lnRef idx="2">
              <a:schemeClr val="dk1"/>
            </a:lnRef>
            <a:fillRef idx="1">
              <a:schemeClr val="lt1"/>
            </a:fillRef>
            <a:effectRef idx="0">
              <a:schemeClr val="dk1"/>
            </a:effectRef>
            <a:fontRef idx="minor">
              <a:schemeClr val="dk1"/>
            </a:fontRef>
          </xdr:style>
          <xdr:txBody>
            <a:bodyPr vertOverflow="clip" horzOverflow="clip" wrap="none" lIns="0" tIns="0" rIns="0" bIns="0" rtlCol="0" anchor="t">
              <a:spAutoFit/>
            </a:bodyPr>
            <a:lstStyle/>
            <a:p>
              <a14:m>
                <m:oMath xmlns:m="http://schemas.openxmlformats.org/officeDocument/2006/math">
                  <m:r>
                    <a:rPr lang="es-CO" sz="1400" b="0" i="1">
                      <a:solidFill>
                        <a:schemeClr val="bg1"/>
                      </a:solidFill>
                      <a:latin typeface="Cambria Math" panose="02040503050406030204" pitchFamily="18" charset="0"/>
                      <a:ea typeface="Cambria Math" panose="02040503050406030204" pitchFamily="18" charset="0"/>
                    </a:rPr>
                    <m:t>𝑅𝑒𝑔𝑙𝑎</m:t>
                  </m:r>
                  <m:r>
                    <a:rPr lang="es-CO" sz="1400" b="0" i="1">
                      <a:solidFill>
                        <a:schemeClr val="bg1"/>
                      </a:solidFill>
                      <a:latin typeface="Cambria Math" panose="02040503050406030204" pitchFamily="18" charset="0"/>
                      <a:ea typeface="Cambria Math" panose="02040503050406030204" pitchFamily="18" charset="0"/>
                    </a:rPr>
                    <m:t> </m:t>
                  </m:r>
                  <m:r>
                    <a:rPr lang="es-CO" sz="1400" b="0" i="1">
                      <a:solidFill>
                        <a:schemeClr val="bg1"/>
                      </a:solidFill>
                      <a:latin typeface="Cambria Math" panose="02040503050406030204" pitchFamily="18" charset="0"/>
                      <a:ea typeface="Cambria Math" panose="02040503050406030204" pitchFamily="18" charset="0"/>
                    </a:rPr>
                    <m:t>𝑑𝑒</m:t>
                  </m:r>
                  <m:r>
                    <a:rPr lang="es-CO" sz="1400" b="0" i="1">
                      <a:solidFill>
                        <a:schemeClr val="bg1"/>
                      </a:solidFill>
                      <a:latin typeface="Cambria Math" panose="02040503050406030204" pitchFamily="18" charset="0"/>
                      <a:ea typeface="Cambria Math" panose="02040503050406030204" pitchFamily="18" charset="0"/>
                    </a:rPr>
                    <m:t> </m:t>
                  </m:r>
                  <m:r>
                    <a:rPr lang="es-CO" sz="1400" b="0" i="1">
                      <a:solidFill>
                        <a:schemeClr val="bg1"/>
                      </a:solidFill>
                      <a:latin typeface="Cambria Math" panose="02040503050406030204" pitchFamily="18" charset="0"/>
                      <a:ea typeface="Cambria Math" panose="02040503050406030204" pitchFamily="18" charset="0"/>
                    </a:rPr>
                    <m:t>𝑑𝑒𝑐𝑖𝑠𝑖</m:t>
                  </m:r>
                  <m:r>
                    <a:rPr lang="es-CO" sz="1400" b="0" i="1">
                      <a:solidFill>
                        <a:schemeClr val="bg1"/>
                      </a:solidFill>
                      <a:latin typeface="Cambria Math" panose="02040503050406030204" pitchFamily="18" charset="0"/>
                      <a:ea typeface="Cambria Math" panose="02040503050406030204" pitchFamily="18" charset="0"/>
                    </a:rPr>
                    <m:t>ó</m:t>
                  </m:r>
                  <m:r>
                    <a:rPr lang="es-CO" sz="1400" b="0" i="1">
                      <a:solidFill>
                        <a:schemeClr val="bg1"/>
                      </a:solidFill>
                      <a:latin typeface="Cambria Math" panose="02040503050406030204" pitchFamily="18" charset="0"/>
                      <a:ea typeface="Cambria Math" panose="02040503050406030204" pitchFamily="18" charset="0"/>
                    </a:rPr>
                    <m:t>𝑛</m:t>
                  </m:r>
                  <m:r>
                    <a:rPr lang="es-CO" sz="1400" b="0" i="1">
                      <a:solidFill>
                        <a:schemeClr val="bg1"/>
                      </a:solidFill>
                      <a:latin typeface="Cambria Math" panose="02040503050406030204" pitchFamily="18" charset="0"/>
                      <a:ea typeface="Cambria Math" panose="02040503050406030204" pitchFamily="18" charset="0"/>
                    </a:rPr>
                    <m:t>=|</m:t>
                  </m:r>
                  <m:r>
                    <a:rPr lang="es-CO" sz="1400" b="0" i="1">
                      <a:solidFill>
                        <a:schemeClr val="bg1"/>
                      </a:solidFill>
                      <a:latin typeface="Cambria Math" panose="02040503050406030204" pitchFamily="18" charset="0"/>
                      <a:ea typeface="Cambria Math" panose="02040503050406030204" pitchFamily="18" charset="0"/>
                    </a:rPr>
                    <m:t>𝐸</m:t>
                  </m:r>
                  <m:r>
                    <a:rPr lang="es-CO" sz="1400" b="0" i="1">
                      <a:solidFill>
                        <a:schemeClr val="bg1"/>
                      </a:solidFill>
                      <a:latin typeface="Cambria Math" panose="02040503050406030204" pitchFamily="18" charset="0"/>
                      <a:ea typeface="Cambria Math" panose="02040503050406030204" pitchFamily="18" charset="0"/>
                    </a:rPr>
                    <m:t>|+</m:t>
                  </m:r>
                  <m:r>
                    <a:rPr lang="es-CO" sz="1400" b="0" i="1">
                      <a:solidFill>
                        <a:schemeClr val="bg1"/>
                      </a:solidFill>
                      <a:latin typeface="Cambria Math" panose="02040503050406030204" pitchFamily="18" charset="0"/>
                      <a:ea typeface="Cambria Math" panose="02040503050406030204" pitchFamily="18" charset="0"/>
                    </a:rPr>
                    <m:t>𝑈</m:t>
                  </m:r>
                  <m:r>
                    <a:rPr lang="es-CO" sz="1400" b="0" i="1">
                      <a:solidFill>
                        <a:schemeClr val="bg1"/>
                      </a:solidFill>
                      <a:latin typeface="Cambria Math" panose="02040503050406030204" pitchFamily="18" charset="0"/>
                      <a:ea typeface="Cambria Math" panose="02040503050406030204" pitchFamily="18" charset="0"/>
                    </a:rPr>
                    <m:t>≤</m:t>
                  </m:r>
                  <m:r>
                    <a:rPr lang="es-CO" sz="1400" b="0" i="1">
                      <a:solidFill>
                        <a:schemeClr val="bg1"/>
                      </a:solidFill>
                      <a:latin typeface="Cambria Math" panose="02040503050406030204" pitchFamily="18" charset="0"/>
                      <a:ea typeface="Cambria Math" panose="02040503050406030204" pitchFamily="18" charset="0"/>
                    </a:rPr>
                    <m:t>𝐸𝑀𝑃</m:t>
                  </m:r>
                </m:oMath>
              </a14:m>
              <a:r>
                <a:rPr lang="es-CO" sz="1400">
                  <a:solidFill>
                    <a:schemeClr val="bg1"/>
                  </a:solidFill>
                  <a:latin typeface="Arial" panose="020B0604020202020204" pitchFamily="34" charset="0"/>
                  <a:cs typeface="Arial" panose="020B0604020202020204" pitchFamily="34" charset="0"/>
                </a:rPr>
                <a:t> </a:t>
              </a:r>
              <a:r>
                <a:rPr lang="es-CO" sz="1400" b="0">
                  <a:solidFill>
                    <a:schemeClr val="bg1"/>
                  </a:solidFill>
                  <a:latin typeface="Arial" panose="020B0604020202020204" pitchFamily="34" charset="0"/>
                  <a:cs typeface="Arial" panose="020B0604020202020204" pitchFamily="34" charset="0"/>
                </a:rPr>
                <a:t>= </a:t>
              </a:r>
              <a:r>
                <a:rPr lang="es-CO" sz="1200" b="0" i="0">
                  <a:solidFill>
                    <a:schemeClr val="bg1"/>
                  </a:solidFill>
                  <a:latin typeface="Arial" panose="020B0604020202020204" pitchFamily="34" charset="0"/>
                  <a:cs typeface="Arial" panose="020B0604020202020204" pitchFamily="34" charset="0"/>
                </a:rPr>
                <a:t>CUMPLE</a:t>
              </a:r>
            </a:p>
          </xdr:txBody>
        </xdr:sp>
      </mc:Choice>
      <mc:Fallback xmlns="">
        <xdr:sp macro="" textlink="">
          <xdr:nvSpPr>
            <xdr:cNvPr id="2" name="CuadroTexto 1">
              <a:extLst>
                <a:ext uri="{FF2B5EF4-FFF2-40B4-BE49-F238E27FC236}">
                  <a16:creationId xmlns="" xmlns:a16="http://schemas.microsoft.com/office/drawing/2014/main" xmlns:a14="http://schemas.microsoft.com/office/drawing/2010/main" id="{6CD1BDD8-42AD-4B58-A707-633E30C53F51}"/>
                </a:ext>
              </a:extLst>
            </xdr:cNvPr>
            <xdr:cNvSpPr txBox="1"/>
          </xdr:nvSpPr>
          <xdr:spPr>
            <a:xfrm>
              <a:off x="2444750" y="30049257"/>
              <a:ext cx="3692934" cy="210507"/>
            </a:xfrm>
            <a:prstGeom prst="rect">
              <a:avLst/>
            </a:prstGeom>
            <a:solidFill>
              <a:sysClr val="window" lastClr="FFFFFF"/>
            </a:solidFill>
            <a:ln>
              <a:noFill/>
            </a:ln>
          </xdr:spPr>
          <xdr:style>
            <a:lnRef idx="2">
              <a:schemeClr val="dk1"/>
            </a:lnRef>
            <a:fillRef idx="1">
              <a:schemeClr val="lt1"/>
            </a:fillRef>
            <a:effectRef idx="0">
              <a:schemeClr val="dk1"/>
            </a:effectRef>
            <a:fontRef idx="minor">
              <a:schemeClr val="dk1"/>
            </a:fontRef>
          </xdr:style>
          <xdr:txBody>
            <a:bodyPr vertOverflow="clip" horzOverflow="clip" wrap="none" lIns="0" tIns="0" rIns="0" bIns="0" rtlCol="0" anchor="t">
              <a:spAutoFit/>
            </a:bodyPr>
            <a:lstStyle/>
            <a:p>
              <a:r>
                <a:rPr lang="es-CO" sz="1400" b="0" i="0">
                  <a:solidFill>
                    <a:schemeClr val="bg1"/>
                  </a:solidFill>
                  <a:latin typeface="Cambria Math" panose="02040503050406030204" pitchFamily="18" charset="0"/>
                  <a:ea typeface="Cambria Math" panose="02040503050406030204" pitchFamily="18" charset="0"/>
                </a:rPr>
                <a:t>𝑅𝑒𝑔𝑙𝑎 𝑑𝑒 𝑑𝑒𝑐𝑖𝑠𝑖ó𝑛=|𝐸|+𝑈≤𝐸𝑀𝑃</a:t>
              </a:r>
              <a:r>
                <a:rPr lang="es-CO" sz="1400">
                  <a:solidFill>
                    <a:schemeClr val="bg1"/>
                  </a:solidFill>
                  <a:latin typeface="Arial" panose="020B0604020202020204" pitchFamily="34" charset="0"/>
                  <a:cs typeface="Arial" panose="020B0604020202020204" pitchFamily="34" charset="0"/>
                </a:rPr>
                <a:t> </a:t>
              </a:r>
              <a:r>
                <a:rPr lang="es-CO" sz="1400" b="0">
                  <a:solidFill>
                    <a:schemeClr val="bg1"/>
                  </a:solidFill>
                  <a:latin typeface="Arial" panose="020B0604020202020204" pitchFamily="34" charset="0"/>
                  <a:cs typeface="Arial" panose="020B0604020202020204" pitchFamily="34" charset="0"/>
                </a:rPr>
                <a:t>= </a:t>
              </a:r>
              <a:r>
                <a:rPr lang="es-CO" sz="1200" b="0" i="0">
                  <a:solidFill>
                    <a:schemeClr val="bg1"/>
                  </a:solidFill>
                  <a:latin typeface="Arial" panose="020B0604020202020204" pitchFamily="34" charset="0"/>
                  <a:cs typeface="Arial" panose="020B0604020202020204" pitchFamily="34" charset="0"/>
                </a:rPr>
                <a:t>CUMPLE</a:t>
              </a:r>
            </a:p>
          </xdr:txBody>
        </xdr:sp>
      </mc:Fallback>
    </mc:AlternateContent>
    <xdr:clientData/>
  </xdr:oneCellAnchor>
</xdr:wsDr>
</file>

<file path=xl/drawings/drawing17.xml><?xml version="1.0" encoding="utf-8"?>
<xdr:wsDr xmlns:xdr="http://schemas.openxmlformats.org/drawingml/2006/spreadsheetDrawing" xmlns:a="http://schemas.openxmlformats.org/drawingml/2006/main">
  <xdr:twoCellAnchor>
    <xdr:from>
      <xdr:col>13</xdr:col>
      <xdr:colOff>164418</xdr:colOff>
      <xdr:row>125</xdr:row>
      <xdr:rowOff>76200</xdr:rowOff>
    </xdr:from>
    <xdr:to>
      <xdr:col>14</xdr:col>
      <xdr:colOff>936624</xdr:colOff>
      <xdr:row>129</xdr:row>
      <xdr:rowOff>127000</xdr:rowOff>
    </xdr:to>
    <xdr:graphicFrame macro="">
      <xdr:nvGraphicFramePr>
        <xdr:cNvPr id="2" name="Gráfico 1">
          <a:extLst>
            <a:ext uri="{FF2B5EF4-FFF2-40B4-BE49-F238E27FC236}">
              <a16:creationId xmlns:a16="http://schemas.microsoft.com/office/drawing/2014/main" id="{00000000-0008-0000-1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185511</xdr:colOff>
      <xdr:row>125</xdr:row>
      <xdr:rowOff>92074</xdr:rowOff>
    </xdr:from>
    <xdr:to>
      <xdr:col>16</xdr:col>
      <xdr:colOff>920749</xdr:colOff>
      <xdr:row>129</xdr:row>
      <xdr:rowOff>142875</xdr:rowOff>
    </xdr:to>
    <xdr:graphicFrame macro="">
      <xdr:nvGraphicFramePr>
        <xdr:cNvPr id="3" name="Gráfico 2">
          <a:extLst>
            <a:ext uri="{FF2B5EF4-FFF2-40B4-BE49-F238E27FC236}">
              <a16:creationId xmlns:a16="http://schemas.microsoft.com/office/drawing/2014/main" id="{00000000-0008-0000-1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17</xdr:col>
      <xdr:colOff>33193</xdr:colOff>
      <xdr:row>125</xdr:row>
      <xdr:rowOff>69273</xdr:rowOff>
    </xdr:from>
    <xdr:to>
      <xdr:col>18</xdr:col>
      <xdr:colOff>1049194</xdr:colOff>
      <xdr:row>129</xdr:row>
      <xdr:rowOff>132773</xdr:rowOff>
    </xdr:to>
    <xdr:graphicFrame macro="">
      <xdr:nvGraphicFramePr>
        <xdr:cNvPr id="4" name="Gráfico 3">
          <a:extLst>
            <a:ext uri="{FF2B5EF4-FFF2-40B4-BE49-F238E27FC236}">
              <a16:creationId xmlns:a16="http://schemas.microsoft.com/office/drawing/2014/main" id="{00000000-0008-0000-10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17</xdr:col>
      <xdr:colOff>238125</xdr:colOff>
      <xdr:row>134</xdr:row>
      <xdr:rowOff>380999</xdr:rowOff>
    </xdr:from>
    <xdr:to>
      <xdr:col>18</xdr:col>
      <xdr:colOff>1190625</xdr:colOff>
      <xdr:row>139</xdr:row>
      <xdr:rowOff>79374</xdr:rowOff>
    </xdr:to>
    <xdr:graphicFrame macro="">
      <xdr:nvGraphicFramePr>
        <xdr:cNvPr id="5" name="Gráfico 4">
          <a:extLst>
            <a:ext uri="{FF2B5EF4-FFF2-40B4-BE49-F238E27FC236}">
              <a16:creationId xmlns:a16="http://schemas.microsoft.com/office/drawing/2014/main" id="{00000000-0008-0000-10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15</xdr:col>
      <xdr:colOff>317501</xdr:colOff>
      <xdr:row>135</xdr:row>
      <xdr:rowOff>15875</xdr:rowOff>
    </xdr:from>
    <xdr:to>
      <xdr:col>16</xdr:col>
      <xdr:colOff>1063626</xdr:colOff>
      <xdr:row>139</xdr:row>
      <xdr:rowOff>142875</xdr:rowOff>
    </xdr:to>
    <xdr:graphicFrame macro="">
      <xdr:nvGraphicFramePr>
        <xdr:cNvPr id="6" name="Gráfico 5">
          <a:extLst>
            <a:ext uri="{FF2B5EF4-FFF2-40B4-BE49-F238E27FC236}">
              <a16:creationId xmlns:a16="http://schemas.microsoft.com/office/drawing/2014/main" id="{00000000-0008-0000-10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13</xdr:col>
      <xdr:colOff>224518</xdr:colOff>
      <xdr:row>135</xdr:row>
      <xdr:rowOff>95250</xdr:rowOff>
    </xdr:from>
    <xdr:to>
      <xdr:col>14</xdr:col>
      <xdr:colOff>904875</xdr:colOff>
      <xdr:row>139</xdr:row>
      <xdr:rowOff>158750</xdr:rowOff>
    </xdr:to>
    <xdr:graphicFrame macro="">
      <xdr:nvGraphicFramePr>
        <xdr:cNvPr id="7" name="Gráfico 6">
          <a:extLst>
            <a:ext uri="{FF2B5EF4-FFF2-40B4-BE49-F238E27FC236}">
              <a16:creationId xmlns:a16="http://schemas.microsoft.com/office/drawing/2014/main" id="{00000000-0008-0000-10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13</xdr:col>
      <xdr:colOff>174624</xdr:colOff>
      <xdr:row>144</xdr:row>
      <xdr:rowOff>333374</xdr:rowOff>
    </xdr:from>
    <xdr:to>
      <xdr:col>14</xdr:col>
      <xdr:colOff>1127124</xdr:colOff>
      <xdr:row>148</xdr:row>
      <xdr:rowOff>380999</xdr:rowOff>
    </xdr:to>
    <xdr:graphicFrame macro="">
      <xdr:nvGraphicFramePr>
        <xdr:cNvPr id="8" name="Gráfico 7">
          <a:extLst>
            <a:ext uri="{FF2B5EF4-FFF2-40B4-BE49-F238E27FC236}">
              <a16:creationId xmlns:a16="http://schemas.microsoft.com/office/drawing/2014/main" id="{00000000-0008-0000-10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15</xdr:col>
      <xdr:colOff>439512</xdr:colOff>
      <xdr:row>144</xdr:row>
      <xdr:rowOff>349250</xdr:rowOff>
    </xdr:from>
    <xdr:to>
      <xdr:col>16</xdr:col>
      <xdr:colOff>1206500</xdr:colOff>
      <xdr:row>149</xdr:row>
      <xdr:rowOff>21770</xdr:rowOff>
    </xdr:to>
    <xdr:graphicFrame macro="">
      <xdr:nvGraphicFramePr>
        <xdr:cNvPr id="9" name="Gráfico 8">
          <a:extLst>
            <a:ext uri="{FF2B5EF4-FFF2-40B4-BE49-F238E27FC236}">
              <a16:creationId xmlns:a16="http://schemas.microsoft.com/office/drawing/2014/main" id="{00000000-0008-0000-10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17</xdr:col>
      <xdr:colOff>387805</xdr:colOff>
      <xdr:row>145</xdr:row>
      <xdr:rowOff>31750</xdr:rowOff>
    </xdr:from>
    <xdr:to>
      <xdr:col>18</xdr:col>
      <xdr:colOff>1158876</xdr:colOff>
      <xdr:row>149</xdr:row>
      <xdr:rowOff>63500</xdr:rowOff>
    </xdr:to>
    <xdr:graphicFrame macro="">
      <xdr:nvGraphicFramePr>
        <xdr:cNvPr id="10" name="Gráfico 9">
          <a:extLst>
            <a:ext uri="{FF2B5EF4-FFF2-40B4-BE49-F238E27FC236}">
              <a16:creationId xmlns:a16="http://schemas.microsoft.com/office/drawing/2014/main" id="{00000000-0008-0000-10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13</xdr:col>
      <xdr:colOff>223611</xdr:colOff>
      <xdr:row>156</xdr:row>
      <xdr:rowOff>0</xdr:rowOff>
    </xdr:from>
    <xdr:to>
      <xdr:col>14</xdr:col>
      <xdr:colOff>1095375</xdr:colOff>
      <xdr:row>160</xdr:row>
      <xdr:rowOff>0</xdr:rowOff>
    </xdr:to>
    <xdr:graphicFrame macro="">
      <xdr:nvGraphicFramePr>
        <xdr:cNvPr id="11" name="Gráfico 10">
          <a:extLst>
            <a:ext uri="{FF2B5EF4-FFF2-40B4-BE49-F238E27FC236}">
              <a16:creationId xmlns:a16="http://schemas.microsoft.com/office/drawing/2014/main" id="{00000000-0008-0000-10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15</xdr:col>
      <xdr:colOff>412625</xdr:colOff>
      <xdr:row>156</xdr:row>
      <xdr:rowOff>7216</xdr:rowOff>
    </xdr:from>
    <xdr:to>
      <xdr:col>16</xdr:col>
      <xdr:colOff>1228147</xdr:colOff>
      <xdr:row>159</xdr:row>
      <xdr:rowOff>404996</xdr:rowOff>
    </xdr:to>
    <xdr:graphicFrame macro="">
      <xdr:nvGraphicFramePr>
        <xdr:cNvPr id="12" name="Gráfico 11">
          <a:extLst>
            <a:ext uri="{FF2B5EF4-FFF2-40B4-BE49-F238E27FC236}">
              <a16:creationId xmlns:a16="http://schemas.microsoft.com/office/drawing/2014/main" id="{00000000-0008-0000-10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17</xdr:col>
      <xdr:colOff>349250</xdr:colOff>
      <xdr:row>156</xdr:row>
      <xdr:rowOff>15874</xdr:rowOff>
    </xdr:from>
    <xdr:to>
      <xdr:col>18</xdr:col>
      <xdr:colOff>1143001</xdr:colOff>
      <xdr:row>159</xdr:row>
      <xdr:rowOff>412750</xdr:rowOff>
    </xdr:to>
    <xdr:graphicFrame macro="">
      <xdr:nvGraphicFramePr>
        <xdr:cNvPr id="13" name="Gráfico 12">
          <a:extLst>
            <a:ext uri="{FF2B5EF4-FFF2-40B4-BE49-F238E27FC236}">
              <a16:creationId xmlns:a16="http://schemas.microsoft.com/office/drawing/2014/main" id="{00000000-0008-0000-10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17</xdr:col>
      <xdr:colOff>349250</xdr:colOff>
      <xdr:row>165</xdr:row>
      <xdr:rowOff>79375</xdr:rowOff>
    </xdr:from>
    <xdr:to>
      <xdr:col>18</xdr:col>
      <xdr:colOff>1238251</xdr:colOff>
      <xdr:row>169</xdr:row>
      <xdr:rowOff>75293</xdr:rowOff>
    </xdr:to>
    <xdr:graphicFrame macro="">
      <xdr:nvGraphicFramePr>
        <xdr:cNvPr id="14" name="Gráfico 13">
          <a:extLst>
            <a:ext uri="{FF2B5EF4-FFF2-40B4-BE49-F238E27FC236}">
              <a16:creationId xmlns:a16="http://schemas.microsoft.com/office/drawing/2014/main" id="{00000000-0008-0000-10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15</xdr:col>
      <xdr:colOff>412750</xdr:colOff>
      <xdr:row>165</xdr:row>
      <xdr:rowOff>0</xdr:rowOff>
    </xdr:from>
    <xdr:to>
      <xdr:col>16</xdr:col>
      <xdr:colOff>1349375</xdr:colOff>
      <xdr:row>169</xdr:row>
      <xdr:rowOff>119287</xdr:rowOff>
    </xdr:to>
    <xdr:graphicFrame macro="">
      <xdr:nvGraphicFramePr>
        <xdr:cNvPr id="15" name="Gráfico 14">
          <a:extLst>
            <a:ext uri="{FF2B5EF4-FFF2-40B4-BE49-F238E27FC236}">
              <a16:creationId xmlns:a16="http://schemas.microsoft.com/office/drawing/2014/main" id="{00000000-0008-0000-10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13</xdr:col>
      <xdr:colOff>221795</xdr:colOff>
      <xdr:row>164</xdr:row>
      <xdr:rowOff>333376</xdr:rowOff>
    </xdr:from>
    <xdr:to>
      <xdr:col>14</xdr:col>
      <xdr:colOff>1270000</xdr:colOff>
      <xdr:row>169</xdr:row>
      <xdr:rowOff>114302</xdr:rowOff>
    </xdr:to>
    <xdr:graphicFrame macro="">
      <xdr:nvGraphicFramePr>
        <xdr:cNvPr id="16" name="Gráfico 15">
          <a:extLst>
            <a:ext uri="{FF2B5EF4-FFF2-40B4-BE49-F238E27FC236}">
              <a16:creationId xmlns:a16="http://schemas.microsoft.com/office/drawing/2014/main" id="{00000000-0008-0000-10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editAs="oneCell">
    <xdr:from>
      <xdr:col>0</xdr:col>
      <xdr:colOff>1365250</xdr:colOff>
      <xdr:row>0</xdr:row>
      <xdr:rowOff>15875</xdr:rowOff>
    </xdr:from>
    <xdr:to>
      <xdr:col>3</xdr:col>
      <xdr:colOff>169153</xdr:colOff>
      <xdr:row>0</xdr:row>
      <xdr:rowOff>1326629</xdr:rowOff>
    </xdr:to>
    <xdr:pic>
      <xdr:nvPicPr>
        <xdr:cNvPr id="17" name="16 Imagen">
          <a:extLst>
            <a:ext uri="{FF2B5EF4-FFF2-40B4-BE49-F238E27FC236}">
              <a16:creationId xmlns:a16="http://schemas.microsoft.com/office/drawing/2014/main" id="{00000000-0008-0000-1000-000011000000}"/>
            </a:ext>
          </a:extLst>
        </xdr:cNvPr>
        <xdr:cNvPicPr>
          <a:picLocks noChangeAspect="1"/>
        </xdr:cNvPicPr>
      </xdr:nvPicPr>
      <xdr:blipFill>
        <a:blip xmlns:r="http://schemas.openxmlformats.org/officeDocument/2006/relationships" r:embed="rId16"/>
        <a:stretch>
          <a:fillRect/>
        </a:stretch>
      </xdr:blipFill>
      <xdr:spPr>
        <a:xfrm>
          <a:off x="1365250" y="15875"/>
          <a:ext cx="2804403" cy="1310754"/>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oneCellAnchor>
    <xdr:from>
      <xdr:col>1</xdr:col>
      <xdr:colOff>285935</xdr:colOff>
      <xdr:row>42</xdr:row>
      <xdr:rowOff>169517</xdr:rowOff>
    </xdr:from>
    <xdr:ext cx="177356" cy="176202"/>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00000000-0008-0000-1100-000003000000}"/>
                </a:ext>
              </a:extLst>
            </xdr:cNvPr>
            <xdr:cNvSpPr txBox="1"/>
          </xdr:nvSpPr>
          <xdr:spPr>
            <a:xfrm>
              <a:off x="1124135" y="14980892"/>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bg1"/>
                            </a:solidFill>
                            <a:latin typeface="Cambria Math" panose="02040503050406030204" pitchFamily="18" charset="0"/>
                          </a:rPr>
                        </m:ctrlPr>
                      </m:accPr>
                      <m:e>
                        <m:r>
                          <a:rPr lang="es-CO" sz="1100" b="1" i="1">
                            <a:solidFill>
                              <a:schemeClr val="bg1"/>
                            </a:solidFill>
                            <a:latin typeface="Cambria Math" panose="02040503050406030204" pitchFamily="18" charset="0"/>
                            <a:ea typeface="Cambria Math" panose="02040503050406030204" pitchFamily="18" charset="0"/>
                          </a:rPr>
                          <m:t>∆</m:t>
                        </m:r>
                        <m:r>
                          <a:rPr lang="es-CO" sz="1100" b="1" i="1">
                            <a:solidFill>
                              <a:schemeClr val="bg1"/>
                            </a:solidFill>
                            <a:latin typeface="Cambria Math" panose="02040503050406030204" pitchFamily="18" charset="0"/>
                            <a:ea typeface="Cambria Math" panose="02040503050406030204" pitchFamily="18" charset="0"/>
                          </a:rPr>
                          <m:t>𝑰</m:t>
                        </m:r>
                      </m:e>
                    </m:acc>
                  </m:oMath>
                </m:oMathPara>
              </a14:m>
              <a:endParaRPr lang="es-CO" sz="1100" b="1">
                <a:solidFill>
                  <a:schemeClr val="bg1"/>
                </a:solidFill>
              </a:endParaRPr>
            </a:p>
          </xdr:txBody>
        </xdr:sp>
      </mc:Choice>
      <mc:Fallback xmlns="">
        <xdr:sp macro="" textlink="">
          <xdr:nvSpPr>
            <xdr:cNvPr id="3" name="CuadroTexto 2">
              <a:extLst>
                <a:ext uri="{FF2B5EF4-FFF2-40B4-BE49-F238E27FC236}">
                  <a16:creationId xmlns="" xmlns:a16="http://schemas.microsoft.com/office/drawing/2014/main" xmlns:a14="http://schemas.microsoft.com/office/drawing/2010/main" id="{00000000-0008-0000-1000-000003000000}"/>
                </a:ext>
              </a:extLst>
            </xdr:cNvPr>
            <xdr:cNvSpPr txBox="1"/>
          </xdr:nvSpPr>
          <xdr:spPr>
            <a:xfrm>
              <a:off x="1124135" y="14980892"/>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bg1"/>
                  </a:solidFill>
                  <a:latin typeface="Cambria Math" panose="02040503050406030204" pitchFamily="18" charset="0"/>
                </a:rPr>
                <a:t>(</a:t>
              </a:r>
              <a:r>
                <a:rPr lang="es-CO" sz="1100" b="1" i="0">
                  <a:solidFill>
                    <a:schemeClr val="bg1"/>
                  </a:solidFill>
                  <a:latin typeface="Cambria Math" panose="02040503050406030204" pitchFamily="18" charset="0"/>
                  <a:ea typeface="Cambria Math" panose="02040503050406030204" pitchFamily="18" charset="0"/>
                </a:rPr>
                <a:t>∆𝑰) ̅</a:t>
              </a:r>
              <a:endParaRPr lang="es-CO" sz="1100" b="1">
                <a:solidFill>
                  <a:schemeClr val="bg1"/>
                </a:solidFill>
              </a:endParaRPr>
            </a:p>
          </xdr:txBody>
        </xdr:sp>
      </mc:Fallback>
    </mc:AlternateContent>
    <xdr:clientData/>
  </xdr:oneCellAnchor>
  <xdr:oneCellAnchor>
    <xdr:from>
      <xdr:col>1</xdr:col>
      <xdr:colOff>136732</xdr:colOff>
      <xdr:row>58</xdr:row>
      <xdr:rowOff>253032</xdr:rowOff>
    </xdr:from>
    <xdr:ext cx="599716" cy="172227"/>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id="{00000000-0008-0000-1100-000004000000}"/>
                </a:ext>
              </a:extLst>
            </xdr:cNvPr>
            <xdr:cNvSpPr txBox="1"/>
          </xdr:nvSpPr>
          <xdr:spPr>
            <a:xfrm>
              <a:off x="974932" y="20779407"/>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𝒘</m:t>
                        </m:r>
                      </m:sub>
                    </m:sSub>
                    <m:r>
                      <a:rPr lang="es-CO" sz="1100" b="1" i="1">
                        <a:latin typeface="Cambria Math" panose="02040503050406030204" pitchFamily="18" charset="0"/>
                      </a:rPr>
                      <m:t>(</m:t>
                    </m:r>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4" name="CuadroTexto 3">
              <a:extLst>
                <a:ext uri="{FF2B5EF4-FFF2-40B4-BE49-F238E27FC236}">
                  <a16:creationId xmlns="" xmlns:a16="http://schemas.microsoft.com/office/drawing/2014/main" xmlns:a14="http://schemas.microsoft.com/office/drawing/2010/main" id="{00000000-0008-0000-1000-000004000000}"/>
                </a:ext>
              </a:extLst>
            </xdr:cNvPr>
            <xdr:cNvSpPr txBox="1"/>
          </xdr:nvSpPr>
          <xdr:spPr>
            <a:xfrm>
              <a:off x="974932" y="20779407"/>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𝒖_𝒘 (</a:t>
              </a: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1</xdr:col>
      <xdr:colOff>202651</xdr:colOff>
      <xdr:row>61</xdr:row>
      <xdr:rowOff>265287</xdr:rowOff>
    </xdr:from>
    <xdr:ext cx="483915" cy="172227"/>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id="{00000000-0008-0000-1100-000005000000}"/>
                </a:ext>
              </a:extLst>
            </xdr:cNvPr>
            <xdr:cNvSpPr txBox="1"/>
          </xdr:nvSpPr>
          <xdr:spPr>
            <a:xfrm>
              <a:off x="1040851" y="2299193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5" name="CuadroTexto 4">
              <a:extLst>
                <a:ext uri="{FF2B5EF4-FFF2-40B4-BE49-F238E27FC236}">
                  <a16:creationId xmlns="" xmlns:a16="http://schemas.microsoft.com/office/drawing/2014/main" xmlns:a14="http://schemas.microsoft.com/office/drawing/2010/main" id="{00000000-0008-0000-1000-000005000000}"/>
                </a:ext>
              </a:extLst>
            </xdr:cNvPr>
            <xdr:cNvSpPr txBox="1"/>
          </xdr:nvSpPr>
          <xdr:spPr>
            <a:xfrm>
              <a:off x="1040851" y="2299193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𝒖(𝒎_𝒄𝒓)</a:t>
              </a:r>
              <a:endParaRPr lang="es-CO" sz="1100" b="1"/>
            </a:p>
          </xdr:txBody>
        </xdr:sp>
      </mc:Fallback>
    </mc:AlternateContent>
    <xdr:clientData/>
  </xdr:oneCellAnchor>
  <xdr:oneCellAnchor>
    <xdr:from>
      <xdr:col>1</xdr:col>
      <xdr:colOff>34166</xdr:colOff>
      <xdr:row>60</xdr:row>
      <xdr:rowOff>250203</xdr:rowOff>
    </xdr:from>
    <xdr:ext cx="689483" cy="172227"/>
    <mc:AlternateContent xmlns:mc="http://schemas.openxmlformats.org/markup-compatibility/2006" xmlns:a14="http://schemas.microsoft.com/office/drawing/2010/main">
      <mc:Choice Requires="a14">
        <xdr:sp macro="" textlink="">
          <xdr:nvSpPr>
            <xdr:cNvPr id="6" name="CuadroTexto 5">
              <a:extLst>
                <a:ext uri="{FF2B5EF4-FFF2-40B4-BE49-F238E27FC236}">
                  <a16:creationId xmlns:a16="http://schemas.microsoft.com/office/drawing/2014/main" id="{00000000-0008-0000-1100-000006000000}"/>
                </a:ext>
              </a:extLst>
            </xdr:cNvPr>
            <xdr:cNvSpPr txBox="1"/>
          </xdr:nvSpPr>
          <xdr:spPr>
            <a:xfrm>
              <a:off x="872366" y="22243428"/>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𝒊𝒏𝒔𝒕</m:t>
                        </m:r>
                      </m:sub>
                    </m:sSub>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0" i="1">
                        <a:latin typeface="Cambria Math" panose="02040503050406030204" pitchFamily="18" charset="0"/>
                      </a:rPr>
                      <m:t>)</m:t>
                    </m:r>
                  </m:oMath>
                </m:oMathPara>
              </a14:m>
              <a:endParaRPr lang="es-CO" sz="1100"/>
            </a:p>
          </xdr:txBody>
        </xdr:sp>
      </mc:Choice>
      <mc:Fallback xmlns="">
        <xdr:sp macro="" textlink="">
          <xdr:nvSpPr>
            <xdr:cNvPr id="6" name="CuadroTexto 5">
              <a:extLst>
                <a:ext uri="{FF2B5EF4-FFF2-40B4-BE49-F238E27FC236}">
                  <a16:creationId xmlns="" xmlns:a16="http://schemas.microsoft.com/office/drawing/2014/main" xmlns:a14="http://schemas.microsoft.com/office/drawing/2010/main" id="{00000000-0008-0000-1000-000006000000}"/>
                </a:ext>
              </a:extLst>
            </xdr:cNvPr>
            <xdr:cNvSpPr txBox="1"/>
          </xdr:nvSpPr>
          <xdr:spPr>
            <a:xfrm>
              <a:off x="872366" y="22243428"/>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𝒖_𝒊𝒏𝒔𝒕 (𝒎_𝒄𝒓</a:t>
              </a:r>
              <a:r>
                <a:rPr lang="es-CO" sz="1100" b="0" i="0">
                  <a:latin typeface="Cambria Math" panose="02040503050406030204" pitchFamily="18" charset="0"/>
                </a:rPr>
                <a:t>)</a:t>
              </a:r>
              <a:endParaRPr lang="es-CO" sz="1100"/>
            </a:p>
          </xdr:txBody>
        </xdr:sp>
      </mc:Fallback>
    </mc:AlternateContent>
    <xdr:clientData/>
  </xdr:oneCellAnchor>
  <xdr:oneCellAnchor>
    <xdr:from>
      <xdr:col>1</xdr:col>
      <xdr:colOff>183870</xdr:colOff>
      <xdr:row>62</xdr:row>
      <xdr:rowOff>264645</xdr:rowOff>
    </xdr:from>
    <xdr:ext cx="397353" cy="172227"/>
    <mc:AlternateContent xmlns:mc="http://schemas.openxmlformats.org/markup-compatibility/2006" xmlns:a14="http://schemas.microsoft.com/office/drawing/2010/main">
      <mc:Choice Requires="a14">
        <xdr:sp macro="" textlink="">
          <xdr:nvSpPr>
            <xdr:cNvPr id="7" name="CuadroTexto 6">
              <a:extLst>
                <a:ext uri="{FF2B5EF4-FFF2-40B4-BE49-F238E27FC236}">
                  <a16:creationId xmlns:a16="http://schemas.microsoft.com/office/drawing/2014/main" id="{00000000-0008-0000-1100-000007000000}"/>
                </a:ext>
              </a:extLst>
            </xdr:cNvPr>
            <xdr:cNvSpPr txBox="1"/>
          </xdr:nvSpPr>
          <xdr:spPr>
            <a:xfrm>
              <a:off x="1022070" y="23724720"/>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𝒂</m:t>
                        </m:r>
                      </m:sub>
                    </m:sSub>
                    <m:r>
                      <a:rPr lang="es-CO" sz="1100" b="1" i="1">
                        <a:latin typeface="Cambria Math" panose="02040503050406030204" pitchFamily="18" charset="0"/>
                      </a:rPr>
                      <m:t>)</m:t>
                    </m:r>
                  </m:oMath>
                </m:oMathPara>
              </a14:m>
              <a:endParaRPr lang="es-CO" sz="1100" b="1"/>
            </a:p>
          </xdr:txBody>
        </xdr:sp>
      </mc:Choice>
      <mc:Fallback xmlns="">
        <xdr:sp macro="" textlink="">
          <xdr:nvSpPr>
            <xdr:cNvPr id="7" name="CuadroTexto 6">
              <a:extLst>
                <a:ext uri="{FF2B5EF4-FFF2-40B4-BE49-F238E27FC236}">
                  <a16:creationId xmlns="" xmlns:a16="http://schemas.microsoft.com/office/drawing/2014/main" xmlns:a14="http://schemas.microsoft.com/office/drawing/2010/main" id="{00000000-0008-0000-1000-000007000000}"/>
                </a:ext>
              </a:extLst>
            </xdr:cNvPr>
            <xdr:cNvSpPr txBox="1"/>
          </xdr:nvSpPr>
          <xdr:spPr>
            <a:xfrm>
              <a:off x="1022070" y="23724720"/>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𝒂)</a:t>
              </a:r>
              <a:endParaRPr lang="es-CO" sz="1100" b="1"/>
            </a:p>
          </xdr:txBody>
        </xdr:sp>
      </mc:Fallback>
    </mc:AlternateContent>
    <xdr:clientData/>
  </xdr:oneCellAnchor>
  <xdr:oneCellAnchor>
    <xdr:from>
      <xdr:col>1</xdr:col>
      <xdr:colOff>186298</xdr:colOff>
      <xdr:row>63</xdr:row>
      <xdr:rowOff>266606</xdr:rowOff>
    </xdr:from>
    <xdr:ext cx="376642" cy="172227"/>
    <mc:AlternateContent xmlns:mc="http://schemas.openxmlformats.org/markup-compatibility/2006" xmlns:a14="http://schemas.microsoft.com/office/drawing/2010/main">
      <mc:Choice Requires="a14">
        <xdr:sp macro="" textlink="">
          <xdr:nvSpPr>
            <xdr:cNvPr id="8" name="CuadroTexto 7">
              <a:extLst>
                <a:ext uri="{FF2B5EF4-FFF2-40B4-BE49-F238E27FC236}">
                  <a16:creationId xmlns:a16="http://schemas.microsoft.com/office/drawing/2014/main" id="{00000000-0008-0000-1100-000008000000}"/>
                </a:ext>
              </a:extLst>
            </xdr:cNvPr>
            <xdr:cNvSpPr txBox="1"/>
          </xdr:nvSpPr>
          <xdr:spPr>
            <a:xfrm>
              <a:off x="1024498" y="244601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𝒕</m:t>
                        </m:r>
                      </m:sub>
                    </m:sSub>
                    <m:r>
                      <a:rPr lang="es-CO" sz="1100" b="1" i="1">
                        <a:latin typeface="Cambria Math" panose="02040503050406030204" pitchFamily="18" charset="0"/>
                      </a:rPr>
                      <m:t>)</m:t>
                    </m:r>
                  </m:oMath>
                </m:oMathPara>
              </a14:m>
              <a:endParaRPr lang="es-CO" sz="1100" b="1"/>
            </a:p>
          </xdr:txBody>
        </xdr:sp>
      </mc:Choice>
      <mc:Fallback xmlns="">
        <xdr:sp macro="" textlink="">
          <xdr:nvSpPr>
            <xdr:cNvPr id="8" name="CuadroTexto 7">
              <a:extLst>
                <a:ext uri="{FF2B5EF4-FFF2-40B4-BE49-F238E27FC236}">
                  <a16:creationId xmlns="" xmlns:a16="http://schemas.microsoft.com/office/drawing/2014/main" xmlns:a14="http://schemas.microsoft.com/office/drawing/2010/main" id="{00000000-0008-0000-1000-000008000000}"/>
                </a:ext>
              </a:extLst>
            </xdr:cNvPr>
            <xdr:cNvSpPr txBox="1"/>
          </xdr:nvSpPr>
          <xdr:spPr>
            <a:xfrm>
              <a:off x="1024498" y="244601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𝒕)</a:t>
              </a:r>
              <a:endParaRPr lang="es-CO" sz="1100" b="1"/>
            </a:p>
          </xdr:txBody>
        </xdr:sp>
      </mc:Fallback>
    </mc:AlternateContent>
    <xdr:clientData/>
  </xdr:oneCellAnchor>
  <xdr:oneCellAnchor>
    <xdr:from>
      <xdr:col>1</xdr:col>
      <xdr:colOff>186298</xdr:colOff>
      <xdr:row>64</xdr:row>
      <xdr:rowOff>222250</xdr:rowOff>
    </xdr:from>
    <xdr:ext cx="388696" cy="172227"/>
    <mc:AlternateContent xmlns:mc="http://schemas.openxmlformats.org/markup-compatibility/2006" xmlns:a14="http://schemas.microsoft.com/office/drawing/2010/main">
      <mc:Choice Requires="a14">
        <xdr:sp macro="" textlink="">
          <xdr:nvSpPr>
            <xdr:cNvPr id="9" name="CuadroTexto 8">
              <a:extLst>
                <a:ext uri="{FF2B5EF4-FFF2-40B4-BE49-F238E27FC236}">
                  <a16:creationId xmlns:a16="http://schemas.microsoft.com/office/drawing/2014/main" id="{00000000-0008-0000-1100-000009000000}"/>
                </a:ext>
              </a:extLst>
            </xdr:cNvPr>
            <xdr:cNvSpPr txBox="1"/>
          </xdr:nvSpPr>
          <xdr:spPr>
            <a:xfrm>
              <a:off x="1024498" y="25149175"/>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9" name="CuadroTexto 8">
              <a:extLst>
                <a:ext uri="{FF2B5EF4-FFF2-40B4-BE49-F238E27FC236}">
                  <a16:creationId xmlns="" xmlns:a16="http://schemas.microsoft.com/office/drawing/2014/main" xmlns:a14="http://schemas.microsoft.com/office/drawing/2010/main" id="{00000000-0008-0000-1000-000009000000}"/>
                </a:ext>
              </a:extLst>
            </xdr:cNvPr>
            <xdr:cNvSpPr txBox="1"/>
          </xdr:nvSpPr>
          <xdr:spPr>
            <a:xfrm>
              <a:off x="1024498" y="25149175"/>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𝒓)</a:t>
              </a:r>
              <a:endParaRPr lang="es-CO" sz="1100" b="1"/>
            </a:p>
          </xdr:txBody>
        </xdr:sp>
      </mc:Fallback>
    </mc:AlternateContent>
    <xdr:clientData/>
  </xdr:oneCellAnchor>
  <xdr:oneCellAnchor>
    <xdr:from>
      <xdr:col>1</xdr:col>
      <xdr:colOff>265579</xdr:colOff>
      <xdr:row>65</xdr:row>
      <xdr:rowOff>288458</xdr:rowOff>
    </xdr:from>
    <xdr:ext cx="191271" cy="172227"/>
    <mc:AlternateContent xmlns:mc="http://schemas.openxmlformats.org/markup-compatibility/2006" xmlns:a14="http://schemas.microsoft.com/office/drawing/2010/main">
      <mc:Choice Requires="a14">
        <xdr:sp macro="" textlink="">
          <xdr:nvSpPr>
            <xdr:cNvPr id="10" name="CuadroTexto 9">
              <a:extLst>
                <a:ext uri="{FF2B5EF4-FFF2-40B4-BE49-F238E27FC236}">
                  <a16:creationId xmlns:a16="http://schemas.microsoft.com/office/drawing/2014/main" id="{00000000-0008-0000-1100-00000A000000}"/>
                </a:ext>
              </a:extLst>
            </xdr:cNvPr>
            <xdr:cNvSpPr txBox="1"/>
          </xdr:nvSpPr>
          <xdr:spPr>
            <a:xfrm>
              <a:off x="1103779" y="2594880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𝒃</m:t>
                        </m:r>
                      </m:sub>
                    </m:sSub>
                  </m:oMath>
                </m:oMathPara>
              </a14:m>
              <a:endParaRPr lang="es-CO" sz="1100" b="1"/>
            </a:p>
          </xdr:txBody>
        </xdr:sp>
      </mc:Choice>
      <mc:Fallback xmlns="">
        <xdr:sp macro="" textlink="">
          <xdr:nvSpPr>
            <xdr:cNvPr id="10" name="CuadroTexto 9">
              <a:extLst>
                <a:ext uri="{FF2B5EF4-FFF2-40B4-BE49-F238E27FC236}">
                  <a16:creationId xmlns="" xmlns:a16="http://schemas.microsoft.com/office/drawing/2014/main" xmlns:a14="http://schemas.microsoft.com/office/drawing/2010/main" id="{00000000-0008-0000-1000-00000A000000}"/>
                </a:ext>
              </a:extLst>
            </xdr:cNvPr>
            <xdr:cNvSpPr txBox="1"/>
          </xdr:nvSpPr>
          <xdr:spPr>
            <a:xfrm>
              <a:off x="1103779" y="2594880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𝒖_𝒃</a:t>
              </a:r>
              <a:endParaRPr lang="es-CO" sz="1100" b="1"/>
            </a:p>
          </xdr:txBody>
        </xdr:sp>
      </mc:Fallback>
    </mc:AlternateContent>
    <xdr:clientData/>
  </xdr:oneCellAnchor>
  <xdr:oneCellAnchor>
    <xdr:from>
      <xdr:col>1</xdr:col>
      <xdr:colOff>261391</xdr:colOff>
      <xdr:row>66</xdr:row>
      <xdr:rowOff>294234</xdr:rowOff>
    </xdr:from>
    <xdr:ext cx="195053" cy="172227"/>
    <mc:AlternateContent xmlns:mc="http://schemas.openxmlformats.org/markup-compatibility/2006" xmlns:a14="http://schemas.microsoft.com/office/drawing/2010/main">
      <mc:Choice Requires="a14">
        <xdr:sp macro="" textlink="">
          <xdr:nvSpPr>
            <xdr:cNvPr id="11" name="CuadroTexto 10">
              <a:extLst>
                <a:ext uri="{FF2B5EF4-FFF2-40B4-BE49-F238E27FC236}">
                  <a16:creationId xmlns:a16="http://schemas.microsoft.com/office/drawing/2014/main" id="{00000000-0008-0000-1100-00000B000000}"/>
                </a:ext>
              </a:extLst>
            </xdr:cNvPr>
            <xdr:cNvSpPr txBox="1"/>
          </xdr:nvSpPr>
          <xdr:spPr>
            <a:xfrm>
              <a:off x="1099591" y="26688009"/>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𝒅</m:t>
                        </m:r>
                      </m:sub>
                    </m:sSub>
                  </m:oMath>
                </m:oMathPara>
              </a14:m>
              <a:endParaRPr lang="es-CO" sz="1100" b="1"/>
            </a:p>
          </xdr:txBody>
        </xdr:sp>
      </mc:Choice>
      <mc:Fallback xmlns="">
        <xdr:sp macro="" textlink="">
          <xdr:nvSpPr>
            <xdr:cNvPr id="11" name="CuadroTexto 10">
              <a:extLst>
                <a:ext uri="{FF2B5EF4-FFF2-40B4-BE49-F238E27FC236}">
                  <a16:creationId xmlns="" xmlns:a16="http://schemas.microsoft.com/office/drawing/2014/main" xmlns:a14="http://schemas.microsoft.com/office/drawing/2010/main" id="{00000000-0008-0000-1000-00000B000000}"/>
                </a:ext>
              </a:extLst>
            </xdr:cNvPr>
            <xdr:cNvSpPr txBox="1"/>
          </xdr:nvSpPr>
          <xdr:spPr>
            <a:xfrm>
              <a:off x="1099591" y="26688009"/>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𝒖_𝒅</a:t>
              </a:r>
              <a:endParaRPr lang="es-CO" sz="1100" b="1"/>
            </a:p>
          </xdr:txBody>
        </xdr:sp>
      </mc:Fallback>
    </mc:AlternateContent>
    <xdr:clientData/>
  </xdr:oneCellAnchor>
  <xdr:oneCellAnchor>
    <xdr:from>
      <xdr:col>5</xdr:col>
      <xdr:colOff>393571</xdr:colOff>
      <xdr:row>69</xdr:row>
      <xdr:rowOff>265119</xdr:rowOff>
    </xdr:from>
    <xdr:ext cx="529697" cy="172227"/>
    <mc:AlternateContent xmlns:mc="http://schemas.openxmlformats.org/markup-compatibility/2006" xmlns:a14="http://schemas.microsoft.com/office/drawing/2010/main">
      <mc:Choice Requires="a14">
        <xdr:sp macro="" textlink="">
          <xdr:nvSpPr>
            <xdr:cNvPr id="12" name="CuadroTexto 11">
              <a:extLst>
                <a:ext uri="{FF2B5EF4-FFF2-40B4-BE49-F238E27FC236}">
                  <a16:creationId xmlns:a16="http://schemas.microsoft.com/office/drawing/2014/main" id="{00000000-0008-0000-1100-00000C000000}"/>
                </a:ext>
              </a:extLst>
            </xdr:cNvPr>
            <xdr:cNvSpPr txBox="1"/>
          </xdr:nvSpPr>
          <xdr:spPr>
            <a:xfrm>
              <a:off x="5251321" y="28220994"/>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𝒄</m:t>
                        </m:r>
                      </m:sub>
                    </m:sSub>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12" name="CuadroTexto 11">
              <a:extLst>
                <a:ext uri="{FF2B5EF4-FFF2-40B4-BE49-F238E27FC236}">
                  <a16:creationId xmlns="" xmlns:a16="http://schemas.microsoft.com/office/drawing/2014/main" xmlns:a14="http://schemas.microsoft.com/office/drawing/2010/main" id="{00000000-0008-0000-1000-00000C000000}"/>
                </a:ext>
              </a:extLst>
            </xdr:cNvPr>
            <xdr:cNvSpPr txBox="1"/>
          </xdr:nvSpPr>
          <xdr:spPr>
            <a:xfrm>
              <a:off x="5251321" y="28220994"/>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𝒖_𝒄 (</a:t>
              </a:r>
              <a:r>
                <a:rPr lang="es-CO" sz="1100" b="1" i="0">
                  <a:latin typeface="Cambria Math" panose="02040503050406030204" pitchFamily="18" charset="0"/>
                  <a:ea typeface="Cambria Math" panose="02040503050406030204" pitchFamily="18" charset="0"/>
                </a:rPr>
                <a:t>𝒎_𝒄𝒕)</a:t>
              </a:r>
              <a:endParaRPr lang="es-CO" sz="1100" b="1"/>
            </a:p>
          </xdr:txBody>
        </xdr:sp>
      </mc:Fallback>
    </mc:AlternateContent>
    <xdr:clientData/>
  </xdr:oneCellAnchor>
  <xdr:oneCellAnchor>
    <xdr:from>
      <xdr:col>5</xdr:col>
      <xdr:colOff>243965</xdr:colOff>
      <xdr:row>70</xdr:row>
      <xdr:rowOff>130277</xdr:rowOff>
    </xdr:from>
    <xdr:ext cx="780598" cy="172227"/>
    <mc:AlternateContent xmlns:mc="http://schemas.openxmlformats.org/markup-compatibility/2006" xmlns:a14="http://schemas.microsoft.com/office/drawing/2010/main">
      <mc:Choice Requires="a14">
        <xdr:sp macro="" textlink="">
          <xdr:nvSpPr>
            <xdr:cNvPr id="13" name="CuadroTexto 12">
              <a:extLst>
                <a:ext uri="{FF2B5EF4-FFF2-40B4-BE49-F238E27FC236}">
                  <a16:creationId xmlns:a16="http://schemas.microsoft.com/office/drawing/2014/main" id="{00000000-0008-0000-1100-00000D000000}"/>
                </a:ext>
              </a:extLst>
            </xdr:cNvPr>
            <xdr:cNvSpPr txBox="1"/>
          </xdr:nvSpPr>
          <xdr:spPr>
            <a:xfrm>
              <a:off x="5101715" y="2874337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100" b="1" i="1">
                      <a:latin typeface="Cambria Math" panose="02040503050406030204" pitchFamily="18" charset="0"/>
                    </a:rPr>
                    <m:t>𝑼</m:t>
                  </m:r>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a14:m>
              <a:r>
                <a:rPr lang="es-CO" sz="1100" b="1"/>
                <a:t> (k=2)</a:t>
              </a:r>
            </a:p>
          </xdr:txBody>
        </xdr:sp>
      </mc:Choice>
      <mc:Fallback xmlns="">
        <xdr:sp macro="" textlink="">
          <xdr:nvSpPr>
            <xdr:cNvPr id="13" name="CuadroTexto 12">
              <a:extLst>
                <a:ext uri="{FF2B5EF4-FFF2-40B4-BE49-F238E27FC236}">
                  <a16:creationId xmlns="" xmlns:a16="http://schemas.microsoft.com/office/drawing/2014/main" xmlns:a14="http://schemas.microsoft.com/office/drawing/2010/main" id="{00000000-0008-0000-1000-00000D000000}"/>
                </a:ext>
              </a:extLst>
            </xdr:cNvPr>
            <xdr:cNvSpPr txBox="1"/>
          </xdr:nvSpPr>
          <xdr:spPr>
            <a:xfrm>
              <a:off x="5101715" y="2874337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100" b="1" i="0">
                  <a:latin typeface="Cambria Math" panose="02040503050406030204" pitchFamily="18" charset="0"/>
                </a:rPr>
                <a:t>𝑼(</a:t>
              </a:r>
              <a:r>
                <a:rPr lang="es-CO" sz="1100" b="1" i="0">
                  <a:latin typeface="Cambria Math" panose="02040503050406030204" pitchFamily="18" charset="0"/>
                  <a:ea typeface="Cambria Math" panose="02040503050406030204" pitchFamily="18" charset="0"/>
                </a:rPr>
                <a:t>𝒎_𝒄𝒕)</a:t>
              </a:r>
              <a:r>
                <a:rPr lang="es-CO" sz="1100" b="1"/>
                <a:t> (k=2)</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14" name="CuadroTexto 13">
              <a:extLst>
                <a:ext uri="{FF2B5EF4-FFF2-40B4-BE49-F238E27FC236}">
                  <a16:creationId xmlns:a16="http://schemas.microsoft.com/office/drawing/2014/main" id="{00000000-0008-0000-1100-00000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14" name="CuadroTexto 13">
              <a:extLst>
                <a:ext uri="{FF2B5EF4-FFF2-40B4-BE49-F238E27FC236}">
                  <a16:creationId xmlns="" xmlns:a16="http://schemas.microsoft.com/office/drawing/2014/main" xmlns:a14="http://schemas.microsoft.com/office/drawing/2010/main" id="{00000000-0008-0000-1000-00000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8</xdr:col>
      <xdr:colOff>541269</xdr:colOff>
      <xdr:row>52</xdr:row>
      <xdr:rowOff>78683</xdr:rowOff>
    </xdr:from>
    <xdr:ext cx="304571" cy="172227"/>
    <mc:AlternateContent xmlns:mc="http://schemas.openxmlformats.org/markup-compatibility/2006" xmlns:a14="http://schemas.microsoft.com/office/drawing/2010/main">
      <mc:Choice Requires="a14">
        <xdr:sp macro="" textlink="">
          <xdr:nvSpPr>
            <xdr:cNvPr id="15" name="CuadroTexto 14">
              <a:extLst>
                <a:ext uri="{FF2B5EF4-FFF2-40B4-BE49-F238E27FC236}">
                  <a16:creationId xmlns:a16="http://schemas.microsoft.com/office/drawing/2014/main" id="{00000000-0008-0000-1100-00000F000000}"/>
                </a:ext>
              </a:extLst>
            </xdr:cNvPr>
            <xdr:cNvSpPr txBox="1"/>
          </xdr:nvSpPr>
          <xdr:spPr>
            <a:xfrm>
              <a:off x="9313794" y="18623858"/>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oMath>
                </m:oMathPara>
              </a14:m>
              <a:endParaRPr lang="es-CO" sz="1100" b="1"/>
            </a:p>
          </xdr:txBody>
        </xdr:sp>
      </mc:Choice>
      <mc:Fallback xmlns="">
        <xdr:sp macro="" textlink="">
          <xdr:nvSpPr>
            <xdr:cNvPr id="15" name="CuadroTexto 14">
              <a:extLst>
                <a:ext uri="{FF2B5EF4-FFF2-40B4-BE49-F238E27FC236}">
                  <a16:creationId xmlns="" xmlns:a16="http://schemas.microsoft.com/office/drawing/2014/main" xmlns:a14="http://schemas.microsoft.com/office/drawing/2010/main" id="{00000000-0008-0000-1000-00000F000000}"/>
                </a:ext>
              </a:extLst>
            </xdr:cNvPr>
            <xdr:cNvSpPr txBox="1"/>
          </xdr:nvSpPr>
          <xdr:spPr>
            <a:xfrm>
              <a:off x="9313794" y="18623858"/>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4</xdr:col>
      <xdr:colOff>155713</xdr:colOff>
      <xdr:row>39</xdr:row>
      <xdr:rowOff>106017</xdr:rowOff>
    </xdr:from>
    <xdr:ext cx="65" cy="172227"/>
    <xdr:sp macro="" textlink="">
      <xdr:nvSpPr>
        <xdr:cNvPr id="16" name="CuadroTexto 15">
          <a:extLst>
            <a:ext uri="{FF2B5EF4-FFF2-40B4-BE49-F238E27FC236}">
              <a16:creationId xmlns:a16="http://schemas.microsoft.com/office/drawing/2014/main" id="{00000000-0008-0000-1100-000010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17" name="CuadroTexto 16">
              <a:extLst>
                <a:ext uri="{FF2B5EF4-FFF2-40B4-BE49-F238E27FC236}">
                  <a16:creationId xmlns:a16="http://schemas.microsoft.com/office/drawing/2014/main" id="{00000000-0008-0000-1100-000011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7" name="CuadroTexto 16">
              <a:extLst>
                <a:ext uri="{FF2B5EF4-FFF2-40B4-BE49-F238E27FC236}">
                  <a16:creationId xmlns="" xmlns:a16="http://schemas.microsoft.com/office/drawing/2014/main" xmlns:a14="http://schemas.microsoft.com/office/drawing/2010/main" id="{00000000-0008-0000-1000-000011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18" name="CuadroTexto 17">
              <a:extLst>
                <a:ext uri="{FF2B5EF4-FFF2-40B4-BE49-F238E27FC236}">
                  <a16:creationId xmlns:a16="http://schemas.microsoft.com/office/drawing/2014/main" id="{00000000-0008-0000-1100-000012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18" name="CuadroTexto 17">
              <a:extLst>
                <a:ext uri="{FF2B5EF4-FFF2-40B4-BE49-F238E27FC236}">
                  <a16:creationId xmlns="" xmlns:a16="http://schemas.microsoft.com/office/drawing/2014/main" xmlns:a14="http://schemas.microsoft.com/office/drawing/2010/main" id="{00000000-0008-0000-1000-000012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19" name="CuadroTexto 18">
              <a:extLst>
                <a:ext uri="{FF2B5EF4-FFF2-40B4-BE49-F238E27FC236}">
                  <a16:creationId xmlns:a16="http://schemas.microsoft.com/office/drawing/2014/main" id="{00000000-0008-0000-1100-000013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9" name="CuadroTexto 18">
              <a:extLst>
                <a:ext uri="{FF2B5EF4-FFF2-40B4-BE49-F238E27FC236}">
                  <a16:creationId xmlns="" xmlns:a16="http://schemas.microsoft.com/office/drawing/2014/main" xmlns:a14="http://schemas.microsoft.com/office/drawing/2010/main" id="{00000000-0008-0000-1000-000013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0" name="CuadroTexto 19">
              <a:extLst>
                <a:ext uri="{FF2B5EF4-FFF2-40B4-BE49-F238E27FC236}">
                  <a16:creationId xmlns:a16="http://schemas.microsoft.com/office/drawing/2014/main" id="{00000000-0008-0000-1100-000014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0" name="CuadroTexto 19">
              <a:extLst>
                <a:ext uri="{FF2B5EF4-FFF2-40B4-BE49-F238E27FC236}">
                  <a16:creationId xmlns="" xmlns:a16="http://schemas.microsoft.com/office/drawing/2014/main" xmlns:a14="http://schemas.microsoft.com/office/drawing/2010/main" id="{00000000-0008-0000-1000-000014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1" name="CuadroTexto 20">
          <a:extLst>
            <a:ext uri="{FF2B5EF4-FFF2-40B4-BE49-F238E27FC236}">
              <a16:creationId xmlns:a16="http://schemas.microsoft.com/office/drawing/2014/main" id="{00000000-0008-0000-1100-000015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3</xdr:col>
      <xdr:colOff>236456</xdr:colOff>
      <xdr:row>73</xdr:row>
      <xdr:rowOff>141002</xdr:rowOff>
    </xdr:from>
    <xdr:ext cx="730521" cy="219163"/>
    <mc:AlternateContent xmlns:mc="http://schemas.openxmlformats.org/markup-compatibility/2006" xmlns:a14="http://schemas.microsoft.com/office/drawing/2010/main">
      <mc:Choice Requires="a14">
        <xdr:sp macro="" textlink="">
          <xdr:nvSpPr>
            <xdr:cNvPr id="22" name="CuadroTexto 21">
              <a:extLst>
                <a:ext uri="{FF2B5EF4-FFF2-40B4-BE49-F238E27FC236}">
                  <a16:creationId xmlns:a16="http://schemas.microsoft.com/office/drawing/2014/main" id="{00000000-0008-0000-1100-000016000000}"/>
                </a:ext>
              </a:extLst>
            </xdr:cNvPr>
            <xdr:cNvSpPr txBox="1"/>
          </xdr:nvSpPr>
          <xdr:spPr>
            <a:xfrm>
              <a:off x="2922506" y="30059027"/>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m:t>
                  </m:r>
                  <m:sSub>
                    <m:sSubPr>
                      <m:ctrlPr>
                        <a:rPr lang="es-CO" sz="1400" b="1" i="1">
                          <a:latin typeface="Cambria Math" panose="02040503050406030204" pitchFamily="18" charset="0"/>
                          <a:ea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𝒎</m:t>
                      </m:r>
                    </m:e>
                    <m:sub>
                      <m:r>
                        <a:rPr lang="es-CO" sz="1400" b="1" i="1">
                          <a:latin typeface="Cambria Math" panose="02040503050406030204" pitchFamily="18" charset="0"/>
                          <a:ea typeface="Cambria Math" panose="02040503050406030204" pitchFamily="18" charset="0"/>
                        </a:rPr>
                        <m:t>𝒄</m:t>
                      </m:r>
                    </m:sub>
                  </m:sSub>
                </m:oMath>
              </a14:m>
              <a:r>
                <a:rPr lang="es-CO" sz="1400" b="1" i="1"/>
                <a:t> (mg</a:t>
              </a:r>
              <a:r>
                <a:rPr lang="es-CO" sz="1200" b="1" i="0"/>
                <a:t>)</a:t>
              </a:r>
            </a:p>
          </xdr:txBody>
        </xdr:sp>
      </mc:Choice>
      <mc:Fallback xmlns="">
        <xdr:sp macro="" textlink="">
          <xdr:nvSpPr>
            <xdr:cNvPr id="22" name="CuadroTexto 21">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2922506" y="30059027"/>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400" b="1" i="0">
                  <a:latin typeface="Cambria Math" panose="02040503050406030204" pitchFamily="18" charset="0"/>
                  <a:ea typeface="Cambria Math" panose="02040503050406030204" pitchFamily="18" charset="0"/>
                </a:rPr>
                <a:t>∆𝒎_𝒄</a:t>
              </a:r>
              <a:r>
                <a:rPr lang="es-CO" sz="1400" b="1" i="1"/>
                <a:t> (mg</a:t>
              </a:r>
              <a:r>
                <a:rPr lang="es-CO" sz="1200" b="1" i="0"/>
                <a:t>)</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23" name="CuadroTexto 22">
              <a:extLst>
                <a:ext uri="{FF2B5EF4-FFF2-40B4-BE49-F238E27FC236}">
                  <a16:creationId xmlns:a16="http://schemas.microsoft.com/office/drawing/2014/main" id="{00000000-0008-0000-1100-000017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23" name="CuadroTexto 22">
              <a:extLst>
                <a:ext uri="{FF2B5EF4-FFF2-40B4-BE49-F238E27FC236}">
                  <a16:creationId xmlns="" xmlns:a16="http://schemas.microsoft.com/office/drawing/2014/main" xmlns:a14="http://schemas.microsoft.com/office/drawing/2010/main" id="{00000000-0008-0000-1000-000023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24" name="CuadroTexto 23">
          <a:extLst>
            <a:ext uri="{FF2B5EF4-FFF2-40B4-BE49-F238E27FC236}">
              <a16:creationId xmlns:a16="http://schemas.microsoft.com/office/drawing/2014/main" id="{00000000-0008-0000-1100-000018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25" name="CuadroTexto 24">
              <a:extLst>
                <a:ext uri="{FF2B5EF4-FFF2-40B4-BE49-F238E27FC236}">
                  <a16:creationId xmlns:a16="http://schemas.microsoft.com/office/drawing/2014/main" id="{00000000-0008-0000-1100-000019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5" name="CuadroTexto 24">
              <a:extLst>
                <a:ext uri="{FF2B5EF4-FFF2-40B4-BE49-F238E27FC236}">
                  <a16:creationId xmlns="" xmlns:a16="http://schemas.microsoft.com/office/drawing/2014/main" xmlns:a14="http://schemas.microsoft.com/office/drawing/2010/main" id="{00000000-0008-0000-1000-000026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26" name="CuadroTexto 25">
              <a:extLst>
                <a:ext uri="{FF2B5EF4-FFF2-40B4-BE49-F238E27FC236}">
                  <a16:creationId xmlns:a16="http://schemas.microsoft.com/office/drawing/2014/main" id="{00000000-0008-0000-1100-00001A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6" name="CuadroTexto 25">
              <a:extLst>
                <a:ext uri="{FF2B5EF4-FFF2-40B4-BE49-F238E27FC236}">
                  <a16:creationId xmlns="" xmlns:a16="http://schemas.microsoft.com/office/drawing/2014/main" xmlns:a14="http://schemas.microsoft.com/office/drawing/2010/main" id="{00000000-0008-0000-1000-000027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27" name="CuadroTexto 26">
              <a:extLst>
                <a:ext uri="{FF2B5EF4-FFF2-40B4-BE49-F238E27FC236}">
                  <a16:creationId xmlns:a16="http://schemas.microsoft.com/office/drawing/2014/main" id="{00000000-0008-0000-1100-00001B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7" name="CuadroTexto 26">
              <a:extLst>
                <a:ext uri="{FF2B5EF4-FFF2-40B4-BE49-F238E27FC236}">
                  <a16:creationId xmlns="" xmlns:a16="http://schemas.microsoft.com/office/drawing/2014/main" xmlns:a14="http://schemas.microsoft.com/office/drawing/2010/main" id="{00000000-0008-0000-1000-000028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8" name="CuadroTexto 27">
              <a:extLst>
                <a:ext uri="{FF2B5EF4-FFF2-40B4-BE49-F238E27FC236}">
                  <a16:creationId xmlns:a16="http://schemas.microsoft.com/office/drawing/2014/main" id="{00000000-0008-0000-1100-00001C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8" name="CuadroTexto 27">
              <a:extLst>
                <a:ext uri="{FF2B5EF4-FFF2-40B4-BE49-F238E27FC236}">
                  <a16:creationId xmlns="" xmlns:a16="http://schemas.microsoft.com/office/drawing/2014/main" xmlns:a14="http://schemas.microsoft.com/office/drawing/2010/main" id="{00000000-0008-0000-1000-000029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9" name="CuadroTexto 28">
          <a:extLst>
            <a:ext uri="{FF2B5EF4-FFF2-40B4-BE49-F238E27FC236}">
              <a16:creationId xmlns:a16="http://schemas.microsoft.com/office/drawing/2014/main" id="{00000000-0008-0000-1100-00001D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30" name="CuadroTexto 29">
              <a:extLst>
                <a:ext uri="{FF2B5EF4-FFF2-40B4-BE49-F238E27FC236}">
                  <a16:creationId xmlns:a16="http://schemas.microsoft.com/office/drawing/2014/main" id="{00000000-0008-0000-1100-00001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30" name="CuadroTexto 29">
              <a:extLst>
                <a:ext uri="{FF2B5EF4-FFF2-40B4-BE49-F238E27FC236}">
                  <a16:creationId xmlns="" xmlns:a16="http://schemas.microsoft.com/office/drawing/2014/main" xmlns:a14="http://schemas.microsoft.com/office/drawing/2010/main" id="{00000000-0008-0000-1000-000038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31" name="CuadroTexto 30">
          <a:extLst>
            <a:ext uri="{FF2B5EF4-FFF2-40B4-BE49-F238E27FC236}">
              <a16:creationId xmlns:a16="http://schemas.microsoft.com/office/drawing/2014/main" id="{00000000-0008-0000-1100-00001F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32" name="CuadroTexto 31">
              <a:extLst>
                <a:ext uri="{FF2B5EF4-FFF2-40B4-BE49-F238E27FC236}">
                  <a16:creationId xmlns:a16="http://schemas.microsoft.com/office/drawing/2014/main" id="{00000000-0008-0000-1100-000020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2" name="CuadroTexto 31">
              <a:extLst>
                <a:ext uri="{FF2B5EF4-FFF2-40B4-BE49-F238E27FC236}">
                  <a16:creationId xmlns="" xmlns:a16="http://schemas.microsoft.com/office/drawing/2014/main" xmlns:a14="http://schemas.microsoft.com/office/drawing/2010/main" id="{00000000-0008-0000-1000-00003B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33" name="CuadroTexto 32">
              <a:extLst>
                <a:ext uri="{FF2B5EF4-FFF2-40B4-BE49-F238E27FC236}">
                  <a16:creationId xmlns:a16="http://schemas.microsoft.com/office/drawing/2014/main" id="{00000000-0008-0000-1100-000021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3" name="CuadroTexto 32">
              <a:extLst>
                <a:ext uri="{FF2B5EF4-FFF2-40B4-BE49-F238E27FC236}">
                  <a16:creationId xmlns="" xmlns:a16="http://schemas.microsoft.com/office/drawing/2014/main" xmlns:a14="http://schemas.microsoft.com/office/drawing/2010/main" id="{00000000-0008-0000-1000-00003C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34" name="CuadroTexto 33">
              <a:extLst>
                <a:ext uri="{FF2B5EF4-FFF2-40B4-BE49-F238E27FC236}">
                  <a16:creationId xmlns:a16="http://schemas.microsoft.com/office/drawing/2014/main" id="{00000000-0008-0000-1100-000022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4" name="CuadroTexto 33">
              <a:extLst>
                <a:ext uri="{FF2B5EF4-FFF2-40B4-BE49-F238E27FC236}">
                  <a16:creationId xmlns="" xmlns:a16="http://schemas.microsoft.com/office/drawing/2014/main" xmlns:a14="http://schemas.microsoft.com/office/drawing/2010/main" id="{00000000-0008-0000-1000-00003D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35" name="CuadroTexto 34">
              <a:extLst>
                <a:ext uri="{FF2B5EF4-FFF2-40B4-BE49-F238E27FC236}">
                  <a16:creationId xmlns:a16="http://schemas.microsoft.com/office/drawing/2014/main" id="{00000000-0008-0000-1100-000023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5" name="CuadroTexto 34">
              <a:extLst>
                <a:ext uri="{FF2B5EF4-FFF2-40B4-BE49-F238E27FC236}">
                  <a16:creationId xmlns="" xmlns:a16="http://schemas.microsoft.com/office/drawing/2014/main" xmlns:a14="http://schemas.microsoft.com/office/drawing/2010/main" id="{00000000-0008-0000-1000-00003E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36" name="CuadroTexto 35">
          <a:extLst>
            <a:ext uri="{FF2B5EF4-FFF2-40B4-BE49-F238E27FC236}">
              <a16:creationId xmlns:a16="http://schemas.microsoft.com/office/drawing/2014/main" id="{00000000-0008-0000-1100-000024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11</xdr:col>
      <xdr:colOff>628650</xdr:colOff>
      <xdr:row>61</xdr:row>
      <xdr:rowOff>0</xdr:rowOff>
    </xdr:from>
    <xdr:ext cx="65" cy="172227"/>
    <xdr:sp macro="" textlink="">
      <xdr:nvSpPr>
        <xdr:cNvPr id="38" name="CuadroTexto 37">
          <a:extLst>
            <a:ext uri="{FF2B5EF4-FFF2-40B4-BE49-F238E27FC236}">
              <a16:creationId xmlns:a16="http://schemas.microsoft.com/office/drawing/2014/main" id="{00000000-0008-0000-1100-000026000000}"/>
            </a:ext>
          </a:extLst>
        </xdr:cNvPr>
        <xdr:cNvSpPr txBox="1"/>
      </xdr:nvSpPr>
      <xdr:spPr>
        <a:xfrm>
          <a:off x="12001500" y="2272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5</xdr:col>
      <xdr:colOff>539750</xdr:colOff>
      <xdr:row>73</xdr:row>
      <xdr:rowOff>158749</xdr:rowOff>
    </xdr:from>
    <xdr:ext cx="984250" cy="210507"/>
    <mc:AlternateContent xmlns:mc="http://schemas.openxmlformats.org/markup-compatibility/2006" xmlns:a14="http://schemas.microsoft.com/office/drawing/2010/main">
      <mc:Choice Requires="a14">
        <xdr:sp macro="" textlink="">
          <xdr:nvSpPr>
            <xdr:cNvPr id="39" name="CuadroTexto 38">
              <a:extLst>
                <a:ext uri="{FF2B5EF4-FFF2-40B4-BE49-F238E27FC236}">
                  <a16:creationId xmlns:a16="http://schemas.microsoft.com/office/drawing/2014/main" id="{00000000-0008-0000-1100-000027000000}"/>
                </a:ext>
              </a:extLst>
            </xdr:cNvPr>
            <xdr:cNvSpPr txBox="1"/>
          </xdr:nvSpPr>
          <xdr:spPr>
            <a:xfrm>
              <a:off x="5397500" y="30076774"/>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𝒆</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39" name="CuadroTexto 38">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5397500" y="30076774"/>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𝒆 𝒄𝒕</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4</xdr:col>
      <xdr:colOff>52917</xdr:colOff>
      <xdr:row>73</xdr:row>
      <xdr:rowOff>148167</xdr:rowOff>
    </xdr:from>
    <xdr:ext cx="984250" cy="210507"/>
    <mc:AlternateContent xmlns:mc="http://schemas.openxmlformats.org/markup-compatibility/2006" xmlns:a14="http://schemas.microsoft.com/office/drawing/2010/main">
      <mc:Choice Requires="a14">
        <xdr:sp macro="" textlink="">
          <xdr:nvSpPr>
            <xdr:cNvPr id="40" name="CuadroTexto 39">
              <a:extLst>
                <a:ext uri="{FF2B5EF4-FFF2-40B4-BE49-F238E27FC236}">
                  <a16:creationId xmlns:a16="http://schemas.microsoft.com/office/drawing/2014/main" id="{00000000-0008-0000-1100-000028000000}"/>
                </a:ext>
              </a:extLst>
            </xdr:cNvPr>
            <xdr:cNvSpPr txBox="1"/>
          </xdr:nvSpPr>
          <xdr:spPr>
            <a:xfrm>
              <a:off x="3872442" y="30066192"/>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0" name="CuadroTexto 39">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3872442" y="30066192"/>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𝒄𝒕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1</xdr:col>
      <xdr:colOff>35718</xdr:colOff>
      <xdr:row>73</xdr:row>
      <xdr:rowOff>95250</xdr:rowOff>
    </xdr:from>
    <xdr:ext cx="713052" cy="210507"/>
    <mc:AlternateContent xmlns:mc="http://schemas.openxmlformats.org/markup-compatibility/2006" xmlns:a14="http://schemas.microsoft.com/office/drawing/2010/main">
      <mc:Choice Requires="a14">
        <xdr:sp macro="" textlink="">
          <xdr:nvSpPr>
            <xdr:cNvPr id="42" name="CuadroTexto 41">
              <a:extLst>
                <a:ext uri="{FF2B5EF4-FFF2-40B4-BE49-F238E27FC236}">
                  <a16:creationId xmlns:a16="http://schemas.microsoft.com/office/drawing/2014/main" id="{00000000-0008-0000-1100-00002A000000}"/>
                </a:ext>
              </a:extLst>
            </xdr:cNvPr>
            <xdr:cNvSpPr txBox="1"/>
          </xdr:nvSpPr>
          <xdr:spPr>
            <a:xfrm>
              <a:off x="1012031" y="30206156"/>
              <a:ext cx="713052"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𝑵𝒓</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2" name="CuadroTexto 41">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1012031" y="30206156"/>
              <a:ext cx="713052"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𝑵𝒓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8</xdr:col>
      <xdr:colOff>624417</xdr:colOff>
      <xdr:row>73</xdr:row>
      <xdr:rowOff>285751</xdr:rowOff>
    </xdr:from>
    <xdr:ext cx="1524000" cy="210507"/>
    <mc:AlternateContent xmlns:mc="http://schemas.openxmlformats.org/markup-compatibility/2006" xmlns:a14="http://schemas.microsoft.com/office/drawing/2010/main">
      <mc:Choice Requires="a14">
        <xdr:sp macro="" textlink="">
          <xdr:nvSpPr>
            <xdr:cNvPr id="43" name="CuadroTexto 42">
              <a:extLst>
                <a:ext uri="{FF2B5EF4-FFF2-40B4-BE49-F238E27FC236}">
                  <a16:creationId xmlns:a16="http://schemas.microsoft.com/office/drawing/2014/main" id="{00000000-0008-0000-1100-00002B000000}"/>
                </a:ext>
              </a:extLst>
            </xdr:cNvPr>
            <xdr:cNvSpPr txBox="1"/>
          </xdr:nvSpPr>
          <xdr:spPr>
            <a:xfrm>
              <a:off x="9396942" y="30203776"/>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𝑼</m:t>
                  </m:r>
                  <m:r>
                    <a:rPr lang="es-CO" sz="1400" b="1" i="1">
                      <a:latin typeface="Cambria Math" panose="02040503050406030204" pitchFamily="18" charset="0"/>
                      <a:ea typeface="Cambria Math" panose="02040503050406030204" pitchFamily="18" charset="0"/>
                    </a:rPr>
                    <m:t> </m:t>
                  </m:r>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 </m:t>
                  </m:r>
                  <m:r>
                    <a:rPr lang="es-CO" sz="1400" b="1" i="1">
                      <a:latin typeface="Cambria Math" panose="02040503050406030204" pitchFamily="18" charset="0"/>
                      <a:ea typeface="Cambria Math" panose="02040503050406030204" pitchFamily="18" charset="0"/>
                    </a:rPr>
                    <m:t>𝒌</m:t>
                  </m:r>
                  <m:r>
                    <a:rPr lang="es-CO" sz="1400" b="1" i="1">
                      <a:latin typeface="Cambria Math" panose="02040503050406030204" pitchFamily="18" charset="0"/>
                      <a:ea typeface="Cambria Math" panose="02040503050406030204" pitchFamily="18" charset="0"/>
                    </a:rPr>
                    <m:t>=</m:t>
                  </m:r>
                  <m:r>
                    <a:rPr lang="es-CO" sz="1400" b="1" i="1">
                      <a:latin typeface="Cambria Math" panose="02040503050406030204" pitchFamily="18" charset="0"/>
                      <a:ea typeface="Cambria Math" panose="02040503050406030204" pitchFamily="18" charset="0"/>
                    </a:rPr>
                    <m:t>𝟐</m:t>
                  </m:r>
                </m:oMath>
              </a14:m>
              <a:r>
                <a:rPr lang="es-CO" sz="1400" b="1" i="1">
                  <a:latin typeface="Arial" panose="020B0604020202020204" pitchFamily="34" charset="0"/>
                  <a:cs typeface="Arial" panose="020B0604020202020204" pitchFamily="34" charset="0"/>
                </a:rPr>
                <a:t>)</a:t>
              </a:r>
            </a:p>
          </xdr:txBody>
        </xdr:sp>
      </mc:Choice>
      <mc:Fallback xmlns="">
        <xdr:sp macro="" textlink="">
          <xdr:nvSpPr>
            <xdr:cNvPr id="43" name="CuadroTexto 42">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9396942" y="30203776"/>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0">
                  <a:latin typeface="Cambria Math" panose="02040503050406030204" pitchFamily="18" charset="0"/>
                  <a:ea typeface="Cambria Math" panose="02040503050406030204" pitchFamily="18" charset="0"/>
                </a:rPr>
                <a:t>𝑼 </a:t>
              </a:r>
              <a:r>
                <a:rPr lang="es-CO" sz="1400" b="1" i="0">
                  <a:latin typeface="Cambria Math"/>
                  <a:ea typeface="Cambria Math" panose="02040503050406030204" pitchFamily="18" charset="0"/>
                </a:rPr>
                <a:t>(</a:t>
              </a:r>
              <a:r>
                <a:rPr lang="es-CO" sz="1400" b="1" i="0">
                  <a:latin typeface="Cambria Math" panose="02040503050406030204" pitchFamily="18" charset="0"/>
                  <a:ea typeface="Cambria Math" panose="02040503050406030204" pitchFamily="18" charset="0"/>
                </a:rPr>
                <a:t> 𝒎 𝒄𝒕 </a:t>
              </a:r>
              <a:r>
                <a:rPr lang="es-CO" sz="1400" b="1" i="0">
                  <a:latin typeface="Cambria Math"/>
                  <a:ea typeface="Cambria Math" panose="02040503050406030204" pitchFamily="18" charset="0"/>
                </a:rPr>
                <a:t>)</a:t>
              </a:r>
              <a:r>
                <a:rPr lang="es-CO" sz="1400" b="1" i="0">
                  <a:latin typeface="Cambria Math" panose="02040503050406030204" pitchFamily="18" charset="0"/>
                  <a:ea typeface="Cambria Math" panose="02040503050406030204" pitchFamily="18" charset="0"/>
                </a:rPr>
                <a:t>  ( 𝒌=𝟐</a:t>
              </a:r>
              <a:r>
                <a:rPr lang="es-CO" sz="1400" b="1" i="1">
                  <a:latin typeface="Arial" panose="020B0604020202020204" pitchFamily="34" charset="0"/>
                  <a:cs typeface="Arial" panose="020B0604020202020204" pitchFamily="34" charset="0"/>
                </a:rPr>
                <a:t>)</a:t>
              </a:r>
            </a:p>
          </xdr:txBody>
        </xdr:sp>
      </mc:Fallback>
    </mc:AlternateContent>
    <xdr:clientData/>
  </xdr:oneCellAnchor>
  <xdr:oneCellAnchor>
    <xdr:from>
      <xdr:col>9</xdr:col>
      <xdr:colOff>603252</xdr:colOff>
      <xdr:row>74</xdr:row>
      <xdr:rowOff>84667</xdr:rowOff>
    </xdr:from>
    <xdr:ext cx="465666" cy="219163"/>
    <xdr:sp macro="" textlink="">
      <xdr:nvSpPr>
        <xdr:cNvPr id="44" name="CuadroTexto 43">
          <a:extLst>
            <a:ext uri="{FF2B5EF4-FFF2-40B4-BE49-F238E27FC236}">
              <a16:creationId xmlns:a16="http://schemas.microsoft.com/office/drawing/2014/main" id="{00000000-0008-0000-1100-00002C000000}"/>
            </a:ext>
          </a:extLst>
        </xdr:cNvPr>
        <xdr:cNvSpPr txBox="1"/>
      </xdr:nvSpPr>
      <xdr:spPr>
        <a:xfrm>
          <a:off x="10299702" y="30517042"/>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9</xdr:col>
      <xdr:colOff>571499</xdr:colOff>
      <xdr:row>75</xdr:row>
      <xdr:rowOff>116416</xdr:rowOff>
    </xdr:from>
    <xdr:ext cx="359835" cy="219163"/>
    <xdr:sp macro="" textlink="">
      <xdr:nvSpPr>
        <xdr:cNvPr id="45" name="CuadroTexto 44">
          <a:extLst>
            <a:ext uri="{FF2B5EF4-FFF2-40B4-BE49-F238E27FC236}">
              <a16:creationId xmlns:a16="http://schemas.microsoft.com/office/drawing/2014/main" id="{00000000-0008-0000-1100-00002D000000}"/>
            </a:ext>
          </a:extLst>
        </xdr:cNvPr>
        <xdr:cNvSpPr txBox="1"/>
      </xdr:nvSpPr>
      <xdr:spPr>
        <a:xfrm>
          <a:off x="10267949" y="30986941"/>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6</xdr:col>
      <xdr:colOff>275167</xdr:colOff>
      <xdr:row>74</xdr:row>
      <xdr:rowOff>148166</xdr:rowOff>
    </xdr:from>
    <xdr:ext cx="465666" cy="219163"/>
    <xdr:sp macro="" textlink="">
      <xdr:nvSpPr>
        <xdr:cNvPr id="46" name="CuadroTexto 45">
          <a:extLst>
            <a:ext uri="{FF2B5EF4-FFF2-40B4-BE49-F238E27FC236}">
              <a16:creationId xmlns:a16="http://schemas.microsoft.com/office/drawing/2014/main" id="{00000000-0008-0000-1100-00002E000000}"/>
            </a:ext>
          </a:extLst>
        </xdr:cNvPr>
        <xdr:cNvSpPr txBox="1"/>
      </xdr:nvSpPr>
      <xdr:spPr>
        <a:xfrm>
          <a:off x="6371167" y="30580541"/>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6</xdr:col>
      <xdr:colOff>328083</xdr:colOff>
      <xdr:row>75</xdr:row>
      <xdr:rowOff>84667</xdr:rowOff>
    </xdr:from>
    <xdr:ext cx="359835" cy="219163"/>
    <xdr:sp macro="" textlink="">
      <xdr:nvSpPr>
        <xdr:cNvPr id="47" name="CuadroTexto 46">
          <a:extLst>
            <a:ext uri="{FF2B5EF4-FFF2-40B4-BE49-F238E27FC236}">
              <a16:creationId xmlns:a16="http://schemas.microsoft.com/office/drawing/2014/main" id="{00000000-0008-0000-1100-00002F000000}"/>
            </a:ext>
          </a:extLst>
        </xdr:cNvPr>
        <xdr:cNvSpPr txBox="1"/>
      </xdr:nvSpPr>
      <xdr:spPr>
        <a:xfrm>
          <a:off x="6424083" y="30955192"/>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3</xdr:col>
      <xdr:colOff>560916</xdr:colOff>
      <xdr:row>72</xdr:row>
      <xdr:rowOff>74084</xdr:rowOff>
    </xdr:from>
    <xdr:ext cx="1524000" cy="210507"/>
    <mc:AlternateContent xmlns:mc="http://schemas.openxmlformats.org/markup-compatibility/2006" xmlns:a14="http://schemas.microsoft.com/office/drawing/2010/main">
      <mc:Choice Requires="a14">
        <xdr:sp macro="" textlink="">
          <xdr:nvSpPr>
            <xdr:cNvPr id="48" name="CuadroTexto 47">
              <a:extLst>
                <a:ext uri="{FF2B5EF4-FFF2-40B4-BE49-F238E27FC236}">
                  <a16:creationId xmlns:a16="http://schemas.microsoft.com/office/drawing/2014/main" id="{00000000-0008-0000-1100-000030000000}"/>
                </a:ext>
              </a:extLst>
            </xdr:cNvPr>
            <xdr:cNvSpPr txBox="1"/>
          </xdr:nvSpPr>
          <xdr:spPr>
            <a:xfrm>
              <a:off x="3246966" y="29553959"/>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m:t>
                    </m:r>
                  </m:oMath>
                </m:oMathPara>
              </a14:m>
              <a:endParaRPr lang="es-CO" sz="1400" b="1" i="1">
                <a:latin typeface="Arial" panose="020B0604020202020204" pitchFamily="34" charset="0"/>
                <a:cs typeface="Arial" panose="020B0604020202020204" pitchFamily="34" charset="0"/>
              </a:endParaRPr>
            </a:p>
          </xdr:txBody>
        </xdr:sp>
      </mc:Choice>
      <mc:Fallback xmlns="">
        <xdr:sp macro="" textlink="">
          <xdr:nvSpPr>
            <xdr:cNvPr id="48" name="CuadroTexto 47">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3246966" y="29553959"/>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 𝒎 𝒄𝒕 )   </a:t>
              </a:r>
              <a:endParaRPr lang="es-CO" sz="1400" b="1" i="1">
                <a:latin typeface="Arial" panose="020B0604020202020204" pitchFamily="34" charset="0"/>
                <a:cs typeface="Arial" panose="020B0604020202020204" pitchFamily="34" charset="0"/>
              </a:endParaRPr>
            </a:p>
          </xdr:txBody>
        </xdr:sp>
      </mc:Fallback>
    </mc:AlternateContent>
    <xdr:clientData/>
  </xdr:oneCellAnchor>
  <xdr:oneCellAnchor>
    <xdr:from>
      <xdr:col>7</xdr:col>
      <xdr:colOff>411956</xdr:colOff>
      <xdr:row>71</xdr:row>
      <xdr:rowOff>406003</xdr:rowOff>
    </xdr:from>
    <xdr:ext cx="65" cy="172227"/>
    <xdr:sp macro="" textlink="">
      <xdr:nvSpPr>
        <xdr:cNvPr id="49" name="CuadroTexto 48">
          <a:extLst>
            <a:ext uri="{FF2B5EF4-FFF2-40B4-BE49-F238E27FC236}">
              <a16:creationId xmlns:a16="http://schemas.microsoft.com/office/drawing/2014/main" id="{00000000-0008-0000-1100-000031000000}"/>
            </a:ext>
          </a:extLst>
        </xdr:cNvPr>
        <xdr:cNvSpPr txBox="1"/>
      </xdr:nvSpPr>
      <xdr:spPr>
        <a:xfrm>
          <a:off x="7555706" y="29457253"/>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50" name="CuadroTexto 49">
              <a:extLst>
                <a:ext uri="{FF2B5EF4-FFF2-40B4-BE49-F238E27FC236}">
                  <a16:creationId xmlns:a16="http://schemas.microsoft.com/office/drawing/2014/main" id="{00000000-0008-0000-1100-000032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50" name="CuadroTexto 49">
              <a:extLst>
                <a:ext uri="{FF2B5EF4-FFF2-40B4-BE49-F238E27FC236}">
                  <a16:creationId xmlns:a16="http://schemas.microsoft.com/office/drawing/2014/main" id="{B5D7ABCB-A982-47A9-A819-FECF66D88462}"/>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52" name="CuadroTexto 51">
              <a:extLst>
                <a:ext uri="{FF2B5EF4-FFF2-40B4-BE49-F238E27FC236}">
                  <a16:creationId xmlns:a16="http://schemas.microsoft.com/office/drawing/2014/main" id="{00000000-0008-0000-1100-000034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52" name="CuadroTexto 51">
              <a:extLst>
                <a:ext uri="{FF2B5EF4-FFF2-40B4-BE49-F238E27FC236}">
                  <a16:creationId xmlns:a16="http://schemas.microsoft.com/office/drawing/2014/main" id="{CD6017D2-C690-4345-9412-2FC7D44222F6}"/>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twoCellAnchor>
    <xdr:from>
      <xdr:col>7</xdr:col>
      <xdr:colOff>817563</xdr:colOff>
      <xdr:row>62</xdr:row>
      <xdr:rowOff>285750</xdr:rowOff>
    </xdr:from>
    <xdr:to>
      <xdr:col>11</xdr:col>
      <xdr:colOff>754062</xdr:colOff>
      <xdr:row>64</xdr:row>
      <xdr:rowOff>555625</xdr:rowOff>
    </xdr:to>
    <xdr:graphicFrame macro="">
      <xdr:nvGraphicFramePr>
        <xdr:cNvPr id="53" name="Gráfico 52">
          <a:extLst>
            <a:ext uri="{FF2B5EF4-FFF2-40B4-BE49-F238E27FC236}">
              <a16:creationId xmlns:a16="http://schemas.microsoft.com/office/drawing/2014/main" id="{00000000-0008-0000-1100-00003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180878</xdr:colOff>
      <xdr:row>0</xdr:row>
      <xdr:rowOff>47626</xdr:rowOff>
    </xdr:from>
    <xdr:to>
      <xdr:col>1</xdr:col>
      <xdr:colOff>580151</xdr:colOff>
      <xdr:row>0</xdr:row>
      <xdr:rowOff>690563</xdr:rowOff>
    </xdr:to>
    <xdr:pic>
      <xdr:nvPicPr>
        <xdr:cNvPr id="37" name="36 Imagen">
          <a:extLst>
            <a:ext uri="{FF2B5EF4-FFF2-40B4-BE49-F238E27FC236}">
              <a16:creationId xmlns:a16="http://schemas.microsoft.com/office/drawing/2014/main" id="{00000000-0008-0000-1100-000025000000}"/>
            </a:ext>
          </a:extLst>
        </xdr:cNvPr>
        <xdr:cNvPicPr>
          <a:picLocks noChangeAspect="1"/>
        </xdr:cNvPicPr>
      </xdr:nvPicPr>
      <xdr:blipFill>
        <a:blip xmlns:r="http://schemas.openxmlformats.org/officeDocument/2006/relationships" r:embed="rId2"/>
        <a:stretch>
          <a:fillRect/>
        </a:stretch>
      </xdr:blipFill>
      <xdr:spPr>
        <a:xfrm>
          <a:off x="180878" y="47626"/>
          <a:ext cx="1375586" cy="642937"/>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oneCellAnchor>
    <xdr:from>
      <xdr:col>1</xdr:col>
      <xdr:colOff>285935</xdr:colOff>
      <xdr:row>42</xdr:row>
      <xdr:rowOff>169517</xdr:rowOff>
    </xdr:from>
    <xdr:ext cx="177356" cy="176202"/>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00000000-0008-0000-1200-000003000000}"/>
                </a:ext>
              </a:extLst>
            </xdr:cNvPr>
            <xdr:cNvSpPr txBox="1"/>
          </xdr:nvSpPr>
          <xdr:spPr>
            <a:xfrm>
              <a:off x="1124135" y="14980892"/>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bg1"/>
                            </a:solidFill>
                            <a:latin typeface="Cambria Math" panose="02040503050406030204" pitchFamily="18" charset="0"/>
                          </a:rPr>
                        </m:ctrlPr>
                      </m:accPr>
                      <m:e>
                        <m:r>
                          <a:rPr lang="es-CO" sz="1100" b="1" i="1">
                            <a:solidFill>
                              <a:schemeClr val="bg1"/>
                            </a:solidFill>
                            <a:latin typeface="Cambria Math" panose="02040503050406030204" pitchFamily="18" charset="0"/>
                            <a:ea typeface="Cambria Math" panose="02040503050406030204" pitchFamily="18" charset="0"/>
                          </a:rPr>
                          <m:t>∆</m:t>
                        </m:r>
                        <m:r>
                          <a:rPr lang="es-CO" sz="1100" b="1" i="1">
                            <a:solidFill>
                              <a:schemeClr val="bg1"/>
                            </a:solidFill>
                            <a:latin typeface="Cambria Math" panose="02040503050406030204" pitchFamily="18" charset="0"/>
                            <a:ea typeface="Cambria Math" panose="02040503050406030204" pitchFamily="18" charset="0"/>
                          </a:rPr>
                          <m:t>𝑰</m:t>
                        </m:r>
                      </m:e>
                    </m:acc>
                  </m:oMath>
                </m:oMathPara>
              </a14:m>
              <a:endParaRPr lang="es-CO" sz="1100" b="1">
                <a:solidFill>
                  <a:schemeClr val="bg1"/>
                </a:solidFill>
              </a:endParaRPr>
            </a:p>
          </xdr:txBody>
        </xdr:sp>
      </mc:Choice>
      <mc:Fallback xmlns="">
        <xdr:sp macro="" textlink="">
          <xdr:nvSpPr>
            <xdr:cNvPr id="3" name="CuadroTexto 2">
              <a:extLst>
                <a:ext uri="{FF2B5EF4-FFF2-40B4-BE49-F238E27FC236}">
                  <a16:creationId xmlns="" xmlns:a16="http://schemas.microsoft.com/office/drawing/2014/main" xmlns:a14="http://schemas.microsoft.com/office/drawing/2010/main" id="{00000000-0008-0000-1000-000003000000}"/>
                </a:ext>
              </a:extLst>
            </xdr:cNvPr>
            <xdr:cNvSpPr txBox="1"/>
          </xdr:nvSpPr>
          <xdr:spPr>
            <a:xfrm>
              <a:off x="1124135" y="14980892"/>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bg1"/>
                  </a:solidFill>
                  <a:latin typeface="Cambria Math" panose="02040503050406030204" pitchFamily="18" charset="0"/>
                </a:rPr>
                <a:t>(</a:t>
              </a:r>
              <a:r>
                <a:rPr lang="es-CO" sz="1100" b="1" i="0">
                  <a:solidFill>
                    <a:schemeClr val="bg1"/>
                  </a:solidFill>
                  <a:latin typeface="Cambria Math" panose="02040503050406030204" pitchFamily="18" charset="0"/>
                  <a:ea typeface="Cambria Math" panose="02040503050406030204" pitchFamily="18" charset="0"/>
                </a:rPr>
                <a:t>∆𝑰) ̅</a:t>
              </a:r>
              <a:endParaRPr lang="es-CO" sz="1100" b="1">
                <a:solidFill>
                  <a:schemeClr val="bg1"/>
                </a:solidFill>
              </a:endParaRPr>
            </a:p>
          </xdr:txBody>
        </xdr:sp>
      </mc:Fallback>
    </mc:AlternateContent>
    <xdr:clientData/>
  </xdr:oneCellAnchor>
  <xdr:oneCellAnchor>
    <xdr:from>
      <xdr:col>1</xdr:col>
      <xdr:colOff>136732</xdr:colOff>
      <xdr:row>58</xdr:row>
      <xdr:rowOff>253032</xdr:rowOff>
    </xdr:from>
    <xdr:ext cx="599716" cy="172227"/>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id="{00000000-0008-0000-1200-000004000000}"/>
                </a:ext>
              </a:extLst>
            </xdr:cNvPr>
            <xdr:cNvSpPr txBox="1"/>
          </xdr:nvSpPr>
          <xdr:spPr>
            <a:xfrm>
              <a:off x="974932" y="20779407"/>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𝒘</m:t>
                        </m:r>
                      </m:sub>
                    </m:sSub>
                    <m:r>
                      <a:rPr lang="es-CO" sz="1100" b="1" i="1">
                        <a:latin typeface="Cambria Math" panose="02040503050406030204" pitchFamily="18" charset="0"/>
                      </a:rPr>
                      <m:t>(</m:t>
                    </m:r>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4" name="CuadroTexto 3">
              <a:extLst>
                <a:ext uri="{FF2B5EF4-FFF2-40B4-BE49-F238E27FC236}">
                  <a16:creationId xmlns="" xmlns:a16="http://schemas.microsoft.com/office/drawing/2014/main" xmlns:a14="http://schemas.microsoft.com/office/drawing/2010/main" id="{00000000-0008-0000-1000-000004000000}"/>
                </a:ext>
              </a:extLst>
            </xdr:cNvPr>
            <xdr:cNvSpPr txBox="1"/>
          </xdr:nvSpPr>
          <xdr:spPr>
            <a:xfrm>
              <a:off x="974932" y="20779407"/>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𝒖_𝒘 (</a:t>
              </a: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1</xdr:col>
      <xdr:colOff>202651</xdr:colOff>
      <xdr:row>61</xdr:row>
      <xdr:rowOff>265287</xdr:rowOff>
    </xdr:from>
    <xdr:ext cx="483915" cy="172227"/>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id="{00000000-0008-0000-1200-000005000000}"/>
                </a:ext>
              </a:extLst>
            </xdr:cNvPr>
            <xdr:cNvSpPr txBox="1"/>
          </xdr:nvSpPr>
          <xdr:spPr>
            <a:xfrm>
              <a:off x="1040851" y="2299193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5" name="CuadroTexto 4">
              <a:extLst>
                <a:ext uri="{FF2B5EF4-FFF2-40B4-BE49-F238E27FC236}">
                  <a16:creationId xmlns="" xmlns:a16="http://schemas.microsoft.com/office/drawing/2014/main" xmlns:a14="http://schemas.microsoft.com/office/drawing/2010/main" id="{00000000-0008-0000-1000-000005000000}"/>
                </a:ext>
              </a:extLst>
            </xdr:cNvPr>
            <xdr:cNvSpPr txBox="1"/>
          </xdr:nvSpPr>
          <xdr:spPr>
            <a:xfrm>
              <a:off x="1040851" y="2299193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𝒖(𝒎_𝒄𝒓)</a:t>
              </a:r>
              <a:endParaRPr lang="es-CO" sz="1100" b="1"/>
            </a:p>
          </xdr:txBody>
        </xdr:sp>
      </mc:Fallback>
    </mc:AlternateContent>
    <xdr:clientData/>
  </xdr:oneCellAnchor>
  <xdr:oneCellAnchor>
    <xdr:from>
      <xdr:col>1</xdr:col>
      <xdr:colOff>34166</xdr:colOff>
      <xdr:row>60</xdr:row>
      <xdr:rowOff>250203</xdr:rowOff>
    </xdr:from>
    <xdr:ext cx="689483" cy="172227"/>
    <mc:AlternateContent xmlns:mc="http://schemas.openxmlformats.org/markup-compatibility/2006" xmlns:a14="http://schemas.microsoft.com/office/drawing/2010/main">
      <mc:Choice Requires="a14">
        <xdr:sp macro="" textlink="">
          <xdr:nvSpPr>
            <xdr:cNvPr id="6" name="CuadroTexto 5">
              <a:extLst>
                <a:ext uri="{FF2B5EF4-FFF2-40B4-BE49-F238E27FC236}">
                  <a16:creationId xmlns:a16="http://schemas.microsoft.com/office/drawing/2014/main" id="{00000000-0008-0000-1200-000006000000}"/>
                </a:ext>
              </a:extLst>
            </xdr:cNvPr>
            <xdr:cNvSpPr txBox="1"/>
          </xdr:nvSpPr>
          <xdr:spPr>
            <a:xfrm>
              <a:off x="872366" y="22243428"/>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𝒊𝒏𝒔𝒕</m:t>
                        </m:r>
                      </m:sub>
                    </m:sSub>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0" i="1">
                        <a:latin typeface="Cambria Math" panose="02040503050406030204" pitchFamily="18" charset="0"/>
                      </a:rPr>
                      <m:t>)</m:t>
                    </m:r>
                  </m:oMath>
                </m:oMathPara>
              </a14:m>
              <a:endParaRPr lang="es-CO" sz="1100"/>
            </a:p>
          </xdr:txBody>
        </xdr:sp>
      </mc:Choice>
      <mc:Fallback xmlns="">
        <xdr:sp macro="" textlink="">
          <xdr:nvSpPr>
            <xdr:cNvPr id="6" name="CuadroTexto 5">
              <a:extLst>
                <a:ext uri="{FF2B5EF4-FFF2-40B4-BE49-F238E27FC236}">
                  <a16:creationId xmlns="" xmlns:a16="http://schemas.microsoft.com/office/drawing/2014/main" xmlns:a14="http://schemas.microsoft.com/office/drawing/2010/main" id="{00000000-0008-0000-1000-000006000000}"/>
                </a:ext>
              </a:extLst>
            </xdr:cNvPr>
            <xdr:cNvSpPr txBox="1"/>
          </xdr:nvSpPr>
          <xdr:spPr>
            <a:xfrm>
              <a:off x="872366" y="22243428"/>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𝒖_𝒊𝒏𝒔𝒕 (𝒎_𝒄𝒓</a:t>
              </a:r>
              <a:r>
                <a:rPr lang="es-CO" sz="1100" b="0" i="0">
                  <a:latin typeface="Cambria Math" panose="02040503050406030204" pitchFamily="18" charset="0"/>
                </a:rPr>
                <a:t>)</a:t>
              </a:r>
              <a:endParaRPr lang="es-CO" sz="1100"/>
            </a:p>
          </xdr:txBody>
        </xdr:sp>
      </mc:Fallback>
    </mc:AlternateContent>
    <xdr:clientData/>
  </xdr:oneCellAnchor>
  <xdr:oneCellAnchor>
    <xdr:from>
      <xdr:col>1</xdr:col>
      <xdr:colOff>183870</xdr:colOff>
      <xdr:row>62</xdr:row>
      <xdr:rowOff>264645</xdr:rowOff>
    </xdr:from>
    <xdr:ext cx="397353" cy="172227"/>
    <mc:AlternateContent xmlns:mc="http://schemas.openxmlformats.org/markup-compatibility/2006" xmlns:a14="http://schemas.microsoft.com/office/drawing/2010/main">
      <mc:Choice Requires="a14">
        <xdr:sp macro="" textlink="">
          <xdr:nvSpPr>
            <xdr:cNvPr id="7" name="CuadroTexto 6">
              <a:extLst>
                <a:ext uri="{FF2B5EF4-FFF2-40B4-BE49-F238E27FC236}">
                  <a16:creationId xmlns:a16="http://schemas.microsoft.com/office/drawing/2014/main" id="{00000000-0008-0000-1200-000007000000}"/>
                </a:ext>
              </a:extLst>
            </xdr:cNvPr>
            <xdr:cNvSpPr txBox="1"/>
          </xdr:nvSpPr>
          <xdr:spPr>
            <a:xfrm>
              <a:off x="1022070" y="23724720"/>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𝒂</m:t>
                        </m:r>
                      </m:sub>
                    </m:sSub>
                    <m:r>
                      <a:rPr lang="es-CO" sz="1100" b="1" i="1">
                        <a:latin typeface="Cambria Math" panose="02040503050406030204" pitchFamily="18" charset="0"/>
                      </a:rPr>
                      <m:t>)</m:t>
                    </m:r>
                  </m:oMath>
                </m:oMathPara>
              </a14:m>
              <a:endParaRPr lang="es-CO" sz="1100" b="1"/>
            </a:p>
          </xdr:txBody>
        </xdr:sp>
      </mc:Choice>
      <mc:Fallback xmlns="">
        <xdr:sp macro="" textlink="">
          <xdr:nvSpPr>
            <xdr:cNvPr id="7" name="CuadroTexto 6">
              <a:extLst>
                <a:ext uri="{FF2B5EF4-FFF2-40B4-BE49-F238E27FC236}">
                  <a16:creationId xmlns="" xmlns:a16="http://schemas.microsoft.com/office/drawing/2014/main" xmlns:a14="http://schemas.microsoft.com/office/drawing/2010/main" id="{00000000-0008-0000-1000-000007000000}"/>
                </a:ext>
              </a:extLst>
            </xdr:cNvPr>
            <xdr:cNvSpPr txBox="1"/>
          </xdr:nvSpPr>
          <xdr:spPr>
            <a:xfrm>
              <a:off x="1022070" y="23724720"/>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𝒂)</a:t>
              </a:r>
              <a:endParaRPr lang="es-CO" sz="1100" b="1"/>
            </a:p>
          </xdr:txBody>
        </xdr:sp>
      </mc:Fallback>
    </mc:AlternateContent>
    <xdr:clientData/>
  </xdr:oneCellAnchor>
  <xdr:oneCellAnchor>
    <xdr:from>
      <xdr:col>1</xdr:col>
      <xdr:colOff>186298</xdr:colOff>
      <xdr:row>63</xdr:row>
      <xdr:rowOff>266606</xdr:rowOff>
    </xdr:from>
    <xdr:ext cx="376642" cy="172227"/>
    <mc:AlternateContent xmlns:mc="http://schemas.openxmlformats.org/markup-compatibility/2006" xmlns:a14="http://schemas.microsoft.com/office/drawing/2010/main">
      <mc:Choice Requires="a14">
        <xdr:sp macro="" textlink="">
          <xdr:nvSpPr>
            <xdr:cNvPr id="8" name="CuadroTexto 7">
              <a:extLst>
                <a:ext uri="{FF2B5EF4-FFF2-40B4-BE49-F238E27FC236}">
                  <a16:creationId xmlns:a16="http://schemas.microsoft.com/office/drawing/2014/main" id="{00000000-0008-0000-1200-000008000000}"/>
                </a:ext>
              </a:extLst>
            </xdr:cNvPr>
            <xdr:cNvSpPr txBox="1"/>
          </xdr:nvSpPr>
          <xdr:spPr>
            <a:xfrm>
              <a:off x="1024498" y="244601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𝒕</m:t>
                        </m:r>
                      </m:sub>
                    </m:sSub>
                    <m:r>
                      <a:rPr lang="es-CO" sz="1100" b="1" i="1">
                        <a:latin typeface="Cambria Math" panose="02040503050406030204" pitchFamily="18" charset="0"/>
                      </a:rPr>
                      <m:t>)</m:t>
                    </m:r>
                  </m:oMath>
                </m:oMathPara>
              </a14:m>
              <a:endParaRPr lang="es-CO" sz="1100" b="1"/>
            </a:p>
          </xdr:txBody>
        </xdr:sp>
      </mc:Choice>
      <mc:Fallback xmlns="">
        <xdr:sp macro="" textlink="">
          <xdr:nvSpPr>
            <xdr:cNvPr id="8" name="CuadroTexto 7">
              <a:extLst>
                <a:ext uri="{FF2B5EF4-FFF2-40B4-BE49-F238E27FC236}">
                  <a16:creationId xmlns="" xmlns:a16="http://schemas.microsoft.com/office/drawing/2014/main" xmlns:a14="http://schemas.microsoft.com/office/drawing/2010/main" id="{00000000-0008-0000-1000-000008000000}"/>
                </a:ext>
              </a:extLst>
            </xdr:cNvPr>
            <xdr:cNvSpPr txBox="1"/>
          </xdr:nvSpPr>
          <xdr:spPr>
            <a:xfrm>
              <a:off x="1024498" y="244601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𝒕)</a:t>
              </a:r>
              <a:endParaRPr lang="es-CO" sz="1100" b="1"/>
            </a:p>
          </xdr:txBody>
        </xdr:sp>
      </mc:Fallback>
    </mc:AlternateContent>
    <xdr:clientData/>
  </xdr:oneCellAnchor>
  <xdr:oneCellAnchor>
    <xdr:from>
      <xdr:col>1</xdr:col>
      <xdr:colOff>186298</xdr:colOff>
      <xdr:row>64</xdr:row>
      <xdr:rowOff>222250</xdr:rowOff>
    </xdr:from>
    <xdr:ext cx="388696" cy="172227"/>
    <mc:AlternateContent xmlns:mc="http://schemas.openxmlformats.org/markup-compatibility/2006" xmlns:a14="http://schemas.microsoft.com/office/drawing/2010/main">
      <mc:Choice Requires="a14">
        <xdr:sp macro="" textlink="">
          <xdr:nvSpPr>
            <xdr:cNvPr id="9" name="CuadroTexto 8">
              <a:extLst>
                <a:ext uri="{FF2B5EF4-FFF2-40B4-BE49-F238E27FC236}">
                  <a16:creationId xmlns:a16="http://schemas.microsoft.com/office/drawing/2014/main" id="{00000000-0008-0000-1200-000009000000}"/>
                </a:ext>
              </a:extLst>
            </xdr:cNvPr>
            <xdr:cNvSpPr txBox="1"/>
          </xdr:nvSpPr>
          <xdr:spPr>
            <a:xfrm>
              <a:off x="1024498" y="25149175"/>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9" name="CuadroTexto 8">
              <a:extLst>
                <a:ext uri="{FF2B5EF4-FFF2-40B4-BE49-F238E27FC236}">
                  <a16:creationId xmlns="" xmlns:a16="http://schemas.microsoft.com/office/drawing/2014/main" xmlns:a14="http://schemas.microsoft.com/office/drawing/2010/main" id="{00000000-0008-0000-1000-000009000000}"/>
                </a:ext>
              </a:extLst>
            </xdr:cNvPr>
            <xdr:cNvSpPr txBox="1"/>
          </xdr:nvSpPr>
          <xdr:spPr>
            <a:xfrm>
              <a:off x="1024498" y="25149175"/>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𝒓)</a:t>
              </a:r>
              <a:endParaRPr lang="es-CO" sz="1100" b="1"/>
            </a:p>
          </xdr:txBody>
        </xdr:sp>
      </mc:Fallback>
    </mc:AlternateContent>
    <xdr:clientData/>
  </xdr:oneCellAnchor>
  <xdr:oneCellAnchor>
    <xdr:from>
      <xdr:col>1</xdr:col>
      <xdr:colOff>265579</xdr:colOff>
      <xdr:row>65</xdr:row>
      <xdr:rowOff>288458</xdr:rowOff>
    </xdr:from>
    <xdr:ext cx="191271" cy="172227"/>
    <mc:AlternateContent xmlns:mc="http://schemas.openxmlformats.org/markup-compatibility/2006" xmlns:a14="http://schemas.microsoft.com/office/drawing/2010/main">
      <mc:Choice Requires="a14">
        <xdr:sp macro="" textlink="">
          <xdr:nvSpPr>
            <xdr:cNvPr id="10" name="CuadroTexto 9">
              <a:extLst>
                <a:ext uri="{FF2B5EF4-FFF2-40B4-BE49-F238E27FC236}">
                  <a16:creationId xmlns:a16="http://schemas.microsoft.com/office/drawing/2014/main" id="{00000000-0008-0000-1200-00000A000000}"/>
                </a:ext>
              </a:extLst>
            </xdr:cNvPr>
            <xdr:cNvSpPr txBox="1"/>
          </xdr:nvSpPr>
          <xdr:spPr>
            <a:xfrm>
              <a:off x="1103779" y="2594880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𝒃</m:t>
                        </m:r>
                      </m:sub>
                    </m:sSub>
                  </m:oMath>
                </m:oMathPara>
              </a14:m>
              <a:endParaRPr lang="es-CO" sz="1100" b="1"/>
            </a:p>
          </xdr:txBody>
        </xdr:sp>
      </mc:Choice>
      <mc:Fallback xmlns="">
        <xdr:sp macro="" textlink="">
          <xdr:nvSpPr>
            <xdr:cNvPr id="10" name="CuadroTexto 9">
              <a:extLst>
                <a:ext uri="{FF2B5EF4-FFF2-40B4-BE49-F238E27FC236}">
                  <a16:creationId xmlns="" xmlns:a16="http://schemas.microsoft.com/office/drawing/2014/main" xmlns:a14="http://schemas.microsoft.com/office/drawing/2010/main" id="{00000000-0008-0000-1000-00000A000000}"/>
                </a:ext>
              </a:extLst>
            </xdr:cNvPr>
            <xdr:cNvSpPr txBox="1"/>
          </xdr:nvSpPr>
          <xdr:spPr>
            <a:xfrm>
              <a:off x="1103779" y="2594880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𝒖_𝒃</a:t>
              </a:r>
              <a:endParaRPr lang="es-CO" sz="1100" b="1"/>
            </a:p>
          </xdr:txBody>
        </xdr:sp>
      </mc:Fallback>
    </mc:AlternateContent>
    <xdr:clientData/>
  </xdr:oneCellAnchor>
  <xdr:oneCellAnchor>
    <xdr:from>
      <xdr:col>1</xdr:col>
      <xdr:colOff>261391</xdr:colOff>
      <xdr:row>66</xdr:row>
      <xdr:rowOff>294234</xdr:rowOff>
    </xdr:from>
    <xdr:ext cx="195053" cy="172227"/>
    <mc:AlternateContent xmlns:mc="http://schemas.openxmlformats.org/markup-compatibility/2006" xmlns:a14="http://schemas.microsoft.com/office/drawing/2010/main">
      <mc:Choice Requires="a14">
        <xdr:sp macro="" textlink="">
          <xdr:nvSpPr>
            <xdr:cNvPr id="11" name="CuadroTexto 10">
              <a:extLst>
                <a:ext uri="{FF2B5EF4-FFF2-40B4-BE49-F238E27FC236}">
                  <a16:creationId xmlns:a16="http://schemas.microsoft.com/office/drawing/2014/main" id="{00000000-0008-0000-1200-00000B000000}"/>
                </a:ext>
              </a:extLst>
            </xdr:cNvPr>
            <xdr:cNvSpPr txBox="1"/>
          </xdr:nvSpPr>
          <xdr:spPr>
            <a:xfrm>
              <a:off x="1099591" y="26688009"/>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𝒅</m:t>
                        </m:r>
                      </m:sub>
                    </m:sSub>
                  </m:oMath>
                </m:oMathPara>
              </a14:m>
              <a:endParaRPr lang="es-CO" sz="1100" b="1"/>
            </a:p>
          </xdr:txBody>
        </xdr:sp>
      </mc:Choice>
      <mc:Fallback xmlns="">
        <xdr:sp macro="" textlink="">
          <xdr:nvSpPr>
            <xdr:cNvPr id="11" name="CuadroTexto 10">
              <a:extLst>
                <a:ext uri="{FF2B5EF4-FFF2-40B4-BE49-F238E27FC236}">
                  <a16:creationId xmlns="" xmlns:a16="http://schemas.microsoft.com/office/drawing/2014/main" xmlns:a14="http://schemas.microsoft.com/office/drawing/2010/main" id="{00000000-0008-0000-1000-00000B000000}"/>
                </a:ext>
              </a:extLst>
            </xdr:cNvPr>
            <xdr:cNvSpPr txBox="1"/>
          </xdr:nvSpPr>
          <xdr:spPr>
            <a:xfrm>
              <a:off x="1099591" y="26688009"/>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𝒖_𝒅</a:t>
              </a:r>
              <a:endParaRPr lang="es-CO" sz="1100" b="1"/>
            </a:p>
          </xdr:txBody>
        </xdr:sp>
      </mc:Fallback>
    </mc:AlternateContent>
    <xdr:clientData/>
  </xdr:oneCellAnchor>
  <xdr:oneCellAnchor>
    <xdr:from>
      <xdr:col>5</xdr:col>
      <xdr:colOff>393571</xdr:colOff>
      <xdr:row>69</xdr:row>
      <xdr:rowOff>265119</xdr:rowOff>
    </xdr:from>
    <xdr:ext cx="529697" cy="172227"/>
    <mc:AlternateContent xmlns:mc="http://schemas.openxmlformats.org/markup-compatibility/2006" xmlns:a14="http://schemas.microsoft.com/office/drawing/2010/main">
      <mc:Choice Requires="a14">
        <xdr:sp macro="" textlink="">
          <xdr:nvSpPr>
            <xdr:cNvPr id="12" name="CuadroTexto 11">
              <a:extLst>
                <a:ext uri="{FF2B5EF4-FFF2-40B4-BE49-F238E27FC236}">
                  <a16:creationId xmlns:a16="http://schemas.microsoft.com/office/drawing/2014/main" id="{00000000-0008-0000-1200-00000C000000}"/>
                </a:ext>
              </a:extLst>
            </xdr:cNvPr>
            <xdr:cNvSpPr txBox="1"/>
          </xdr:nvSpPr>
          <xdr:spPr>
            <a:xfrm>
              <a:off x="5251321" y="28220994"/>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𝒄</m:t>
                        </m:r>
                      </m:sub>
                    </m:sSub>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12" name="CuadroTexto 11">
              <a:extLst>
                <a:ext uri="{FF2B5EF4-FFF2-40B4-BE49-F238E27FC236}">
                  <a16:creationId xmlns="" xmlns:a16="http://schemas.microsoft.com/office/drawing/2014/main" xmlns:a14="http://schemas.microsoft.com/office/drawing/2010/main" id="{00000000-0008-0000-1000-00000C000000}"/>
                </a:ext>
              </a:extLst>
            </xdr:cNvPr>
            <xdr:cNvSpPr txBox="1"/>
          </xdr:nvSpPr>
          <xdr:spPr>
            <a:xfrm>
              <a:off x="5251321" y="28220994"/>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𝒖_𝒄 (</a:t>
              </a:r>
              <a:r>
                <a:rPr lang="es-CO" sz="1100" b="1" i="0">
                  <a:latin typeface="Cambria Math" panose="02040503050406030204" pitchFamily="18" charset="0"/>
                  <a:ea typeface="Cambria Math" panose="02040503050406030204" pitchFamily="18" charset="0"/>
                </a:rPr>
                <a:t>𝒎_𝒄𝒕)</a:t>
              </a:r>
              <a:endParaRPr lang="es-CO" sz="1100" b="1"/>
            </a:p>
          </xdr:txBody>
        </xdr:sp>
      </mc:Fallback>
    </mc:AlternateContent>
    <xdr:clientData/>
  </xdr:oneCellAnchor>
  <xdr:oneCellAnchor>
    <xdr:from>
      <xdr:col>5</xdr:col>
      <xdr:colOff>243965</xdr:colOff>
      <xdr:row>70</xdr:row>
      <xdr:rowOff>130277</xdr:rowOff>
    </xdr:from>
    <xdr:ext cx="780598" cy="172227"/>
    <mc:AlternateContent xmlns:mc="http://schemas.openxmlformats.org/markup-compatibility/2006" xmlns:a14="http://schemas.microsoft.com/office/drawing/2010/main">
      <mc:Choice Requires="a14">
        <xdr:sp macro="" textlink="">
          <xdr:nvSpPr>
            <xdr:cNvPr id="13" name="CuadroTexto 12">
              <a:extLst>
                <a:ext uri="{FF2B5EF4-FFF2-40B4-BE49-F238E27FC236}">
                  <a16:creationId xmlns:a16="http://schemas.microsoft.com/office/drawing/2014/main" id="{00000000-0008-0000-1200-00000D000000}"/>
                </a:ext>
              </a:extLst>
            </xdr:cNvPr>
            <xdr:cNvSpPr txBox="1"/>
          </xdr:nvSpPr>
          <xdr:spPr>
            <a:xfrm>
              <a:off x="5101715" y="2874337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100" b="1" i="1">
                      <a:latin typeface="Cambria Math" panose="02040503050406030204" pitchFamily="18" charset="0"/>
                    </a:rPr>
                    <m:t>𝑼</m:t>
                  </m:r>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a14:m>
              <a:r>
                <a:rPr lang="es-CO" sz="1100" b="1"/>
                <a:t> (k=2)</a:t>
              </a:r>
            </a:p>
          </xdr:txBody>
        </xdr:sp>
      </mc:Choice>
      <mc:Fallback xmlns="">
        <xdr:sp macro="" textlink="">
          <xdr:nvSpPr>
            <xdr:cNvPr id="13" name="CuadroTexto 12">
              <a:extLst>
                <a:ext uri="{FF2B5EF4-FFF2-40B4-BE49-F238E27FC236}">
                  <a16:creationId xmlns="" xmlns:a16="http://schemas.microsoft.com/office/drawing/2014/main" xmlns:a14="http://schemas.microsoft.com/office/drawing/2010/main" id="{00000000-0008-0000-1000-00000D000000}"/>
                </a:ext>
              </a:extLst>
            </xdr:cNvPr>
            <xdr:cNvSpPr txBox="1"/>
          </xdr:nvSpPr>
          <xdr:spPr>
            <a:xfrm>
              <a:off x="5101715" y="2874337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100" b="1" i="0">
                  <a:latin typeface="Cambria Math" panose="02040503050406030204" pitchFamily="18" charset="0"/>
                </a:rPr>
                <a:t>𝑼(</a:t>
              </a:r>
              <a:r>
                <a:rPr lang="es-CO" sz="1100" b="1" i="0">
                  <a:latin typeface="Cambria Math" panose="02040503050406030204" pitchFamily="18" charset="0"/>
                  <a:ea typeface="Cambria Math" panose="02040503050406030204" pitchFamily="18" charset="0"/>
                </a:rPr>
                <a:t>𝒎_𝒄𝒕)</a:t>
              </a:r>
              <a:r>
                <a:rPr lang="es-CO" sz="1100" b="1"/>
                <a:t> (k=2)</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14" name="CuadroTexto 13">
              <a:extLst>
                <a:ext uri="{FF2B5EF4-FFF2-40B4-BE49-F238E27FC236}">
                  <a16:creationId xmlns:a16="http://schemas.microsoft.com/office/drawing/2014/main" id="{00000000-0008-0000-1200-00000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14" name="CuadroTexto 13">
              <a:extLst>
                <a:ext uri="{FF2B5EF4-FFF2-40B4-BE49-F238E27FC236}">
                  <a16:creationId xmlns="" xmlns:a16="http://schemas.microsoft.com/office/drawing/2014/main" xmlns:a14="http://schemas.microsoft.com/office/drawing/2010/main" id="{00000000-0008-0000-1000-00000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8</xdr:col>
      <xdr:colOff>541269</xdr:colOff>
      <xdr:row>52</xdr:row>
      <xdr:rowOff>78683</xdr:rowOff>
    </xdr:from>
    <xdr:ext cx="304571" cy="172227"/>
    <mc:AlternateContent xmlns:mc="http://schemas.openxmlformats.org/markup-compatibility/2006" xmlns:a14="http://schemas.microsoft.com/office/drawing/2010/main">
      <mc:Choice Requires="a14">
        <xdr:sp macro="" textlink="">
          <xdr:nvSpPr>
            <xdr:cNvPr id="15" name="CuadroTexto 14">
              <a:extLst>
                <a:ext uri="{FF2B5EF4-FFF2-40B4-BE49-F238E27FC236}">
                  <a16:creationId xmlns:a16="http://schemas.microsoft.com/office/drawing/2014/main" id="{00000000-0008-0000-1200-00000F000000}"/>
                </a:ext>
              </a:extLst>
            </xdr:cNvPr>
            <xdr:cNvSpPr txBox="1"/>
          </xdr:nvSpPr>
          <xdr:spPr>
            <a:xfrm>
              <a:off x="9313794" y="18623858"/>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oMath>
                </m:oMathPara>
              </a14:m>
              <a:endParaRPr lang="es-CO" sz="1100" b="1"/>
            </a:p>
          </xdr:txBody>
        </xdr:sp>
      </mc:Choice>
      <mc:Fallback xmlns="">
        <xdr:sp macro="" textlink="">
          <xdr:nvSpPr>
            <xdr:cNvPr id="15" name="CuadroTexto 14">
              <a:extLst>
                <a:ext uri="{FF2B5EF4-FFF2-40B4-BE49-F238E27FC236}">
                  <a16:creationId xmlns="" xmlns:a16="http://schemas.microsoft.com/office/drawing/2014/main" xmlns:a14="http://schemas.microsoft.com/office/drawing/2010/main" id="{00000000-0008-0000-1000-00000F000000}"/>
                </a:ext>
              </a:extLst>
            </xdr:cNvPr>
            <xdr:cNvSpPr txBox="1"/>
          </xdr:nvSpPr>
          <xdr:spPr>
            <a:xfrm>
              <a:off x="9313794" y="18623858"/>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4</xdr:col>
      <xdr:colOff>155713</xdr:colOff>
      <xdr:row>39</xdr:row>
      <xdr:rowOff>106017</xdr:rowOff>
    </xdr:from>
    <xdr:ext cx="65" cy="172227"/>
    <xdr:sp macro="" textlink="">
      <xdr:nvSpPr>
        <xdr:cNvPr id="16" name="CuadroTexto 15">
          <a:extLst>
            <a:ext uri="{FF2B5EF4-FFF2-40B4-BE49-F238E27FC236}">
              <a16:creationId xmlns:a16="http://schemas.microsoft.com/office/drawing/2014/main" id="{00000000-0008-0000-1200-000010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17" name="CuadroTexto 16">
              <a:extLst>
                <a:ext uri="{FF2B5EF4-FFF2-40B4-BE49-F238E27FC236}">
                  <a16:creationId xmlns:a16="http://schemas.microsoft.com/office/drawing/2014/main" id="{00000000-0008-0000-1200-000011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7" name="CuadroTexto 16">
              <a:extLst>
                <a:ext uri="{FF2B5EF4-FFF2-40B4-BE49-F238E27FC236}">
                  <a16:creationId xmlns="" xmlns:a16="http://schemas.microsoft.com/office/drawing/2014/main" xmlns:a14="http://schemas.microsoft.com/office/drawing/2010/main" id="{00000000-0008-0000-1000-000011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18" name="CuadroTexto 17">
              <a:extLst>
                <a:ext uri="{FF2B5EF4-FFF2-40B4-BE49-F238E27FC236}">
                  <a16:creationId xmlns:a16="http://schemas.microsoft.com/office/drawing/2014/main" id="{00000000-0008-0000-1200-000012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18" name="CuadroTexto 17">
              <a:extLst>
                <a:ext uri="{FF2B5EF4-FFF2-40B4-BE49-F238E27FC236}">
                  <a16:creationId xmlns="" xmlns:a16="http://schemas.microsoft.com/office/drawing/2014/main" xmlns:a14="http://schemas.microsoft.com/office/drawing/2010/main" id="{00000000-0008-0000-1000-000012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19" name="CuadroTexto 18">
              <a:extLst>
                <a:ext uri="{FF2B5EF4-FFF2-40B4-BE49-F238E27FC236}">
                  <a16:creationId xmlns:a16="http://schemas.microsoft.com/office/drawing/2014/main" id="{00000000-0008-0000-1200-000013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9" name="CuadroTexto 18">
              <a:extLst>
                <a:ext uri="{FF2B5EF4-FFF2-40B4-BE49-F238E27FC236}">
                  <a16:creationId xmlns="" xmlns:a16="http://schemas.microsoft.com/office/drawing/2014/main" xmlns:a14="http://schemas.microsoft.com/office/drawing/2010/main" id="{00000000-0008-0000-1000-000013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0" name="CuadroTexto 19">
              <a:extLst>
                <a:ext uri="{FF2B5EF4-FFF2-40B4-BE49-F238E27FC236}">
                  <a16:creationId xmlns:a16="http://schemas.microsoft.com/office/drawing/2014/main" id="{00000000-0008-0000-1200-000014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0" name="CuadroTexto 19">
              <a:extLst>
                <a:ext uri="{FF2B5EF4-FFF2-40B4-BE49-F238E27FC236}">
                  <a16:creationId xmlns="" xmlns:a16="http://schemas.microsoft.com/office/drawing/2014/main" xmlns:a14="http://schemas.microsoft.com/office/drawing/2010/main" id="{00000000-0008-0000-1000-000014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1" name="CuadroTexto 20">
          <a:extLst>
            <a:ext uri="{FF2B5EF4-FFF2-40B4-BE49-F238E27FC236}">
              <a16:creationId xmlns:a16="http://schemas.microsoft.com/office/drawing/2014/main" id="{00000000-0008-0000-1200-000015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3</xdr:col>
      <xdr:colOff>236456</xdr:colOff>
      <xdr:row>73</xdr:row>
      <xdr:rowOff>141002</xdr:rowOff>
    </xdr:from>
    <xdr:ext cx="730521" cy="219163"/>
    <mc:AlternateContent xmlns:mc="http://schemas.openxmlformats.org/markup-compatibility/2006" xmlns:a14="http://schemas.microsoft.com/office/drawing/2010/main">
      <mc:Choice Requires="a14">
        <xdr:sp macro="" textlink="">
          <xdr:nvSpPr>
            <xdr:cNvPr id="22" name="CuadroTexto 21">
              <a:extLst>
                <a:ext uri="{FF2B5EF4-FFF2-40B4-BE49-F238E27FC236}">
                  <a16:creationId xmlns:a16="http://schemas.microsoft.com/office/drawing/2014/main" id="{00000000-0008-0000-1200-000016000000}"/>
                </a:ext>
              </a:extLst>
            </xdr:cNvPr>
            <xdr:cNvSpPr txBox="1"/>
          </xdr:nvSpPr>
          <xdr:spPr>
            <a:xfrm>
              <a:off x="2922506" y="30059027"/>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m:t>
                  </m:r>
                  <m:sSub>
                    <m:sSubPr>
                      <m:ctrlPr>
                        <a:rPr lang="es-CO" sz="1400" b="1" i="1">
                          <a:latin typeface="Cambria Math" panose="02040503050406030204" pitchFamily="18" charset="0"/>
                          <a:ea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𝒎</m:t>
                      </m:r>
                    </m:e>
                    <m:sub>
                      <m:r>
                        <a:rPr lang="es-CO" sz="1400" b="1" i="1">
                          <a:latin typeface="Cambria Math" panose="02040503050406030204" pitchFamily="18" charset="0"/>
                          <a:ea typeface="Cambria Math" panose="02040503050406030204" pitchFamily="18" charset="0"/>
                        </a:rPr>
                        <m:t>𝒄</m:t>
                      </m:r>
                    </m:sub>
                  </m:sSub>
                </m:oMath>
              </a14:m>
              <a:r>
                <a:rPr lang="es-CO" sz="1400" b="1" i="1"/>
                <a:t> (mg</a:t>
              </a:r>
              <a:r>
                <a:rPr lang="es-CO" sz="1200" b="1" i="0"/>
                <a:t>)</a:t>
              </a:r>
            </a:p>
          </xdr:txBody>
        </xdr:sp>
      </mc:Choice>
      <mc:Fallback xmlns="">
        <xdr:sp macro="" textlink="">
          <xdr:nvSpPr>
            <xdr:cNvPr id="22" name="CuadroTexto 21">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2922506" y="30059027"/>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400" b="1" i="0">
                  <a:latin typeface="Cambria Math" panose="02040503050406030204" pitchFamily="18" charset="0"/>
                  <a:ea typeface="Cambria Math" panose="02040503050406030204" pitchFamily="18" charset="0"/>
                </a:rPr>
                <a:t>∆𝒎_𝒄</a:t>
              </a:r>
              <a:r>
                <a:rPr lang="es-CO" sz="1400" b="1" i="1"/>
                <a:t> (mg</a:t>
              </a:r>
              <a:r>
                <a:rPr lang="es-CO" sz="1200" b="1" i="0"/>
                <a:t>)</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23" name="CuadroTexto 22">
              <a:extLst>
                <a:ext uri="{FF2B5EF4-FFF2-40B4-BE49-F238E27FC236}">
                  <a16:creationId xmlns:a16="http://schemas.microsoft.com/office/drawing/2014/main" id="{00000000-0008-0000-1200-000017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23" name="CuadroTexto 22">
              <a:extLst>
                <a:ext uri="{FF2B5EF4-FFF2-40B4-BE49-F238E27FC236}">
                  <a16:creationId xmlns="" xmlns:a16="http://schemas.microsoft.com/office/drawing/2014/main" xmlns:a14="http://schemas.microsoft.com/office/drawing/2010/main" id="{00000000-0008-0000-1000-000023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24" name="CuadroTexto 23">
          <a:extLst>
            <a:ext uri="{FF2B5EF4-FFF2-40B4-BE49-F238E27FC236}">
              <a16:creationId xmlns:a16="http://schemas.microsoft.com/office/drawing/2014/main" id="{00000000-0008-0000-1200-000018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25" name="CuadroTexto 24">
              <a:extLst>
                <a:ext uri="{FF2B5EF4-FFF2-40B4-BE49-F238E27FC236}">
                  <a16:creationId xmlns:a16="http://schemas.microsoft.com/office/drawing/2014/main" id="{00000000-0008-0000-1200-000019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5" name="CuadroTexto 24">
              <a:extLst>
                <a:ext uri="{FF2B5EF4-FFF2-40B4-BE49-F238E27FC236}">
                  <a16:creationId xmlns="" xmlns:a16="http://schemas.microsoft.com/office/drawing/2014/main" xmlns:a14="http://schemas.microsoft.com/office/drawing/2010/main" id="{00000000-0008-0000-1000-000026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26" name="CuadroTexto 25">
              <a:extLst>
                <a:ext uri="{FF2B5EF4-FFF2-40B4-BE49-F238E27FC236}">
                  <a16:creationId xmlns:a16="http://schemas.microsoft.com/office/drawing/2014/main" id="{00000000-0008-0000-1200-00001A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6" name="CuadroTexto 25">
              <a:extLst>
                <a:ext uri="{FF2B5EF4-FFF2-40B4-BE49-F238E27FC236}">
                  <a16:creationId xmlns="" xmlns:a16="http://schemas.microsoft.com/office/drawing/2014/main" xmlns:a14="http://schemas.microsoft.com/office/drawing/2010/main" id="{00000000-0008-0000-1000-000027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27" name="CuadroTexto 26">
              <a:extLst>
                <a:ext uri="{FF2B5EF4-FFF2-40B4-BE49-F238E27FC236}">
                  <a16:creationId xmlns:a16="http://schemas.microsoft.com/office/drawing/2014/main" id="{00000000-0008-0000-1200-00001B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7" name="CuadroTexto 26">
              <a:extLst>
                <a:ext uri="{FF2B5EF4-FFF2-40B4-BE49-F238E27FC236}">
                  <a16:creationId xmlns="" xmlns:a16="http://schemas.microsoft.com/office/drawing/2014/main" xmlns:a14="http://schemas.microsoft.com/office/drawing/2010/main" id="{00000000-0008-0000-1000-000028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8" name="CuadroTexto 27">
              <a:extLst>
                <a:ext uri="{FF2B5EF4-FFF2-40B4-BE49-F238E27FC236}">
                  <a16:creationId xmlns:a16="http://schemas.microsoft.com/office/drawing/2014/main" id="{00000000-0008-0000-1200-00001C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8" name="CuadroTexto 27">
              <a:extLst>
                <a:ext uri="{FF2B5EF4-FFF2-40B4-BE49-F238E27FC236}">
                  <a16:creationId xmlns="" xmlns:a16="http://schemas.microsoft.com/office/drawing/2014/main" xmlns:a14="http://schemas.microsoft.com/office/drawing/2010/main" id="{00000000-0008-0000-1000-000029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9" name="CuadroTexto 28">
          <a:extLst>
            <a:ext uri="{FF2B5EF4-FFF2-40B4-BE49-F238E27FC236}">
              <a16:creationId xmlns:a16="http://schemas.microsoft.com/office/drawing/2014/main" id="{00000000-0008-0000-1200-00001D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30" name="CuadroTexto 29">
              <a:extLst>
                <a:ext uri="{FF2B5EF4-FFF2-40B4-BE49-F238E27FC236}">
                  <a16:creationId xmlns:a16="http://schemas.microsoft.com/office/drawing/2014/main" id="{00000000-0008-0000-1200-00001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30" name="CuadroTexto 29">
              <a:extLst>
                <a:ext uri="{FF2B5EF4-FFF2-40B4-BE49-F238E27FC236}">
                  <a16:creationId xmlns="" xmlns:a16="http://schemas.microsoft.com/office/drawing/2014/main" xmlns:a14="http://schemas.microsoft.com/office/drawing/2010/main" id="{00000000-0008-0000-1000-000038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31" name="CuadroTexto 30">
          <a:extLst>
            <a:ext uri="{FF2B5EF4-FFF2-40B4-BE49-F238E27FC236}">
              <a16:creationId xmlns:a16="http://schemas.microsoft.com/office/drawing/2014/main" id="{00000000-0008-0000-1200-00001F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32" name="CuadroTexto 31">
              <a:extLst>
                <a:ext uri="{FF2B5EF4-FFF2-40B4-BE49-F238E27FC236}">
                  <a16:creationId xmlns:a16="http://schemas.microsoft.com/office/drawing/2014/main" id="{00000000-0008-0000-1200-000020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2" name="CuadroTexto 31">
              <a:extLst>
                <a:ext uri="{FF2B5EF4-FFF2-40B4-BE49-F238E27FC236}">
                  <a16:creationId xmlns="" xmlns:a16="http://schemas.microsoft.com/office/drawing/2014/main" xmlns:a14="http://schemas.microsoft.com/office/drawing/2010/main" id="{00000000-0008-0000-1000-00003B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33" name="CuadroTexto 32">
              <a:extLst>
                <a:ext uri="{FF2B5EF4-FFF2-40B4-BE49-F238E27FC236}">
                  <a16:creationId xmlns:a16="http://schemas.microsoft.com/office/drawing/2014/main" id="{00000000-0008-0000-1200-000021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3" name="CuadroTexto 32">
              <a:extLst>
                <a:ext uri="{FF2B5EF4-FFF2-40B4-BE49-F238E27FC236}">
                  <a16:creationId xmlns="" xmlns:a16="http://schemas.microsoft.com/office/drawing/2014/main" xmlns:a14="http://schemas.microsoft.com/office/drawing/2010/main" id="{00000000-0008-0000-1000-00003C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34" name="CuadroTexto 33">
              <a:extLst>
                <a:ext uri="{FF2B5EF4-FFF2-40B4-BE49-F238E27FC236}">
                  <a16:creationId xmlns:a16="http://schemas.microsoft.com/office/drawing/2014/main" id="{00000000-0008-0000-1200-000022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4" name="CuadroTexto 33">
              <a:extLst>
                <a:ext uri="{FF2B5EF4-FFF2-40B4-BE49-F238E27FC236}">
                  <a16:creationId xmlns="" xmlns:a16="http://schemas.microsoft.com/office/drawing/2014/main" xmlns:a14="http://schemas.microsoft.com/office/drawing/2010/main" id="{00000000-0008-0000-1000-00003D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35" name="CuadroTexto 34">
              <a:extLst>
                <a:ext uri="{FF2B5EF4-FFF2-40B4-BE49-F238E27FC236}">
                  <a16:creationId xmlns:a16="http://schemas.microsoft.com/office/drawing/2014/main" id="{00000000-0008-0000-1200-000023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5" name="CuadroTexto 34">
              <a:extLst>
                <a:ext uri="{FF2B5EF4-FFF2-40B4-BE49-F238E27FC236}">
                  <a16:creationId xmlns="" xmlns:a16="http://schemas.microsoft.com/office/drawing/2014/main" xmlns:a14="http://schemas.microsoft.com/office/drawing/2010/main" id="{00000000-0008-0000-1000-00003E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36" name="CuadroTexto 35">
          <a:extLst>
            <a:ext uri="{FF2B5EF4-FFF2-40B4-BE49-F238E27FC236}">
              <a16:creationId xmlns:a16="http://schemas.microsoft.com/office/drawing/2014/main" id="{00000000-0008-0000-1200-000024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11</xdr:col>
      <xdr:colOff>628650</xdr:colOff>
      <xdr:row>61</xdr:row>
      <xdr:rowOff>0</xdr:rowOff>
    </xdr:from>
    <xdr:ext cx="65" cy="172227"/>
    <xdr:sp macro="" textlink="">
      <xdr:nvSpPr>
        <xdr:cNvPr id="38" name="CuadroTexto 37">
          <a:extLst>
            <a:ext uri="{FF2B5EF4-FFF2-40B4-BE49-F238E27FC236}">
              <a16:creationId xmlns:a16="http://schemas.microsoft.com/office/drawing/2014/main" id="{00000000-0008-0000-1200-000026000000}"/>
            </a:ext>
          </a:extLst>
        </xdr:cNvPr>
        <xdr:cNvSpPr txBox="1"/>
      </xdr:nvSpPr>
      <xdr:spPr>
        <a:xfrm>
          <a:off x="12001500" y="2272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5</xdr:col>
      <xdr:colOff>539750</xdr:colOff>
      <xdr:row>73</xdr:row>
      <xdr:rowOff>158749</xdr:rowOff>
    </xdr:from>
    <xdr:ext cx="984250" cy="210507"/>
    <mc:AlternateContent xmlns:mc="http://schemas.openxmlformats.org/markup-compatibility/2006" xmlns:a14="http://schemas.microsoft.com/office/drawing/2010/main">
      <mc:Choice Requires="a14">
        <xdr:sp macro="" textlink="">
          <xdr:nvSpPr>
            <xdr:cNvPr id="39" name="CuadroTexto 38">
              <a:extLst>
                <a:ext uri="{FF2B5EF4-FFF2-40B4-BE49-F238E27FC236}">
                  <a16:creationId xmlns:a16="http://schemas.microsoft.com/office/drawing/2014/main" id="{00000000-0008-0000-1200-000027000000}"/>
                </a:ext>
              </a:extLst>
            </xdr:cNvPr>
            <xdr:cNvSpPr txBox="1"/>
          </xdr:nvSpPr>
          <xdr:spPr>
            <a:xfrm>
              <a:off x="5397500" y="30076774"/>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𝒆</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39" name="CuadroTexto 38">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5397500" y="30076774"/>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𝒆 𝒄𝒕</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4</xdr:col>
      <xdr:colOff>52917</xdr:colOff>
      <xdr:row>73</xdr:row>
      <xdr:rowOff>148167</xdr:rowOff>
    </xdr:from>
    <xdr:ext cx="984250" cy="210507"/>
    <mc:AlternateContent xmlns:mc="http://schemas.openxmlformats.org/markup-compatibility/2006" xmlns:a14="http://schemas.microsoft.com/office/drawing/2010/main">
      <mc:Choice Requires="a14">
        <xdr:sp macro="" textlink="">
          <xdr:nvSpPr>
            <xdr:cNvPr id="40" name="CuadroTexto 39">
              <a:extLst>
                <a:ext uri="{FF2B5EF4-FFF2-40B4-BE49-F238E27FC236}">
                  <a16:creationId xmlns:a16="http://schemas.microsoft.com/office/drawing/2014/main" id="{00000000-0008-0000-1200-000028000000}"/>
                </a:ext>
              </a:extLst>
            </xdr:cNvPr>
            <xdr:cNvSpPr txBox="1"/>
          </xdr:nvSpPr>
          <xdr:spPr>
            <a:xfrm>
              <a:off x="3872442" y="30066192"/>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0" name="CuadroTexto 39">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3872442" y="30066192"/>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𝒄𝒕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1</xdr:col>
      <xdr:colOff>35718</xdr:colOff>
      <xdr:row>73</xdr:row>
      <xdr:rowOff>95250</xdr:rowOff>
    </xdr:from>
    <xdr:ext cx="713052" cy="210507"/>
    <mc:AlternateContent xmlns:mc="http://schemas.openxmlformats.org/markup-compatibility/2006" xmlns:a14="http://schemas.microsoft.com/office/drawing/2010/main">
      <mc:Choice Requires="a14">
        <xdr:sp macro="" textlink="">
          <xdr:nvSpPr>
            <xdr:cNvPr id="42" name="CuadroTexto 41">
              <a:extLst>
                <a:ext uri="{FF2B5EF4-FFF2-40B4-BE49-F238E27FC236}">
                  <a16:creationId xmlns:a16="http://schemas.microsoft.com/office/drawing/2014/main" id="{00000000-0008-0000-1200-00002A000000}"/>
                </a:ext>
              </a:extLst>
            </xdr:cNvPr>
            <xdr:cNvSpPr txBox="1"/>
          </xdr:nvSpPr>
          <xdr:spPr>
            <a:xfrm>
              <a:off x="1012031" y="30206156"/>
              <a:ext cx="713052"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𝑵𝒓</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2" name="CuadroTexto 41">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1012031" y="30206156"/>
              <a:ext cx="713052"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𝑵𝒓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8</xdr:col>
      <xdr:colOff>624417</xdr:colOff>
      <xdr:row>73</xdr:row>
      <xdr:rowOff>285751</xdr:rowOff>
    </xdr:from>
    <xdr:ext cx="1524000" cy="210507"/>
    <mc:AlternateContent xmlns:mc="http://schemas.openxmlformats.org/markup-compatibility/2006" xmlns:a14="http://schemas.microsoft.com/office/drawing/2010/main">
      <mc:Choice Requires="a14">
        <xdr:sp macro="" textlink="">
          <xdr:nvSpPr>
            <xdr:cNvPr id="43" name="CuadroTexto 42">
              <a:extLst>
                <a:ext uri="{FF2B5EF4-FFF2-40B4-BE49-F238E27FC236}">
                  <a16:creationId xmlns:a16="http://schemas.microsoft.com/office/drawing/2014/main" id="{00000000-0008-0000-1200-00002B000000}"/>
                </a:ext>
              </a:extLst>
            </xdr:cNvPr>
            <xdr:cNvSpPr txBox="1"/>
          </xdr:nvSpPr>
          <xdr:spPr>
            <a:xfrm>
              <a:off x="9396942" y="30203776"/>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𝑼</m:t>
                  </m:r>
                  <m:r>
                    <a:rPr lang="es-CO" sz="1400" b="1" i="1">
                      <a:latin typeface="Cambria Math" panose="02040503050406030204" pitchFamily="18" charset="0"/>
                      <a:ea typeface="Cambria Math" panose="02040503050406030204" pitchFamily="18" charset="0"/>
                    </a:rPr>
                    <m:t> </m:t>
                  </m:r>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 </m:t>
                  </m:r>
                  <m:r>
                    <a:rPr lang="es-CO" sz="1400" b="1" i="1">
                      <a:latin typeface="Cambria Math" panose="02040503050406030204" pitchFamily="18" charset="0"/>
                      <a:ea typeface="Cambria Math" panose="02040503050406030204" pitchFamily="18" charset="0"/>
                    </a:rPr>
                    <m:t>𝒌</m:t>
                  </m:r>
                  <m:r>
                    <a:rPr lang="es-CO" sz="1400" b="1" i="1">
                      <a:latin typeface="Cambria Math" panose="02040503050406030204" pitchFamily="18" charset="0"/>
                      <a:ea typeface="Cambria Math" panose="02040503050406030204" pitchFamily="18" charset="0"/>
                    </a:rPr>
                    <m:t>=</m:t>
                  </m:r>
                  <m:r>
                    <a:rPr lang="es-CO" sz="1400" b="1" i="1">
                      <a:latin typeface="Cambria Math" panose="02040503050406030204" pitchFamily="18" charset="0"/>
                      <a:ea typeface="Cambria Math" panose="02040503050406030204" pitchFamily="18" charset="0"/>
                    </a:rPr>
                    <m:t>𝟐</m:t>
                  </m:r>
                </m:oMath>
              </a14:m>
              <a:r>
                <a:rPr lang="es-CO" sz="1400" b="1" i="1">
                  <a:latin typeface="Arial" panose="020B0604020202020204" pitchFamily="34" charset="0"/>
                  <a:cs typeface="Arial" panose="020B0604020202020204" pitchFamily="34" charset="0"/>
                </a:rPr>
                <a:t>)</a:t>
              </a:r>
            </a:p>
          </xdr:txBody>
        </xdr:sp>
      </mc:Choice>
      <mc:Fallback xmlns="">
        <xdr:sp macro="" textlink="">
          <xdr:nvSpPr>
            <xdr:cNvPr id="43" name="CuadroTexto 42">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9396942" y="30203776"/>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0">
                  <a:latin typeface="Cambria Math" panose="02040503050406030204" pitchFamily="18" charset="0"/>
                  <a:ea typeface="Cambria Math" panose="02040503050406030204" pitchFamily="18" charset="0"/>
                </a:rPr>
                <a:t>𝑼 </a:t>
              </a:r>
              <a:r>
                <a:rPr lang="es-CO" sz="1400" b="1" i="0">
                  <a:latin typeface="Cambria Math"/>
                  <a:ea typeface="Cambria Math" panose="02040503050406030204" pitchFamily="18" charset="0"/>
                </a:rPr>
                <a:t>(</a:t>
              </a:r>
              <a:r>
                <a:rPr lang="es-CO" sz="1400" b="1" i="0">
                  <a:latin typeface="Cambria Math" panose="02040503050406030204" pitchFamily="18" charset="0"/>
                  <a:ea typeface="Cambria Math" panose="02040503050406030204" pitchFamily="18" charset="0"/>
                </a:rPr>
                <a:t> 𝒎 𝒄𝒕 </a:t>
              </a:r>
              <a:r>
                <a:rPr lang="es-CO" sz="1400" b="1" i="0">
                  <a:latin typeface="Cambria Math"/>
                  <a:ea typeface="Cambria Math" panose="02040503050406030204" pitchFamily="18" charset="0"/>
                </a:rPr>
                <a:t>)</a:t>
              </a:r>
              <a:r>
                <a:rPr lang="es-CO" sz="1400" b="1" i="0">
                  <a:latin typeface="Cambria Math" panose="02040503050406030204" pitchFamily="18" charset="0"/>
                  <a:ea typeface="Cambria Math" panose="02040503050406030204" pitchFamily="18" charset="0"/>
                </a:rPr>
                <a:t>  ( 𝒌=𝟐</a:t>
              </a:r>
              <a:r>
                <a:rPr lang="es-CO" sz="1400" b="1" i="1">
                  <a:latin typeface="Arial" panose="020B0604020202020204" pitchFamily="34" charset="0"/>
                  <a:cs typeface="Arial" panose="020B0604020202020204" pitchFamily="34" charset="0"/>
                </a:rPr>
                <a:t>)</a:t>
              </a:r>
            </a:p>
          </xdr:txBody>
        </xdr:sp>
      </mc:Fallback>
    </mc:AlternateContent>
    <xdr:clientData/>
  </xdr:oneCellAnchor>
  <xdr:oneCellAnchor>
    <xdr:from>
      <xdr:col>9</xdr:col>
      <xdr:colOff>603252</xdr:colOff>
      <xdr:row>74</xdr:row>
      <xdr:rowOff>84667</xdr:rowOff>
    </xdr:from>
    <xdr:ext cx="465666" cy="219163"/>
    <xdr:sp macro="" textlink="">
      <xdr:nvSpPr>
        <xdr:cNvPr id="44" name="CuadroTexto 43">
          <a:extLst>
            <a:ext uri="{FF2B5EF4-FFF2-40B4-BE49-F238E27FC236}">
              <a16:creationId xmlns:a16="http://schemas.microsoft.com/office/drawing/2014/main" id="{00000000-0008-0000-1200-00002C000000}"/>
            </a:ext>
          </a:extLst>
        </xdr:cNvPr>
        <xdr:cNvSpPr txBox="1"/>
      </xdr:nvSpPr>
      <xdr:spPr>
        <a:xfrm>
          <a:off x="10299702" y="30517042"/>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9</xdr:col>
      <xdr:colOff>571499</xdr:colOff>
      <xdr:row>75</xdr:row>
      <xdr:rowOff>116416</xdr:rowOff>
    </xdr:from>
    <xdr:ext cx="359835" cy="219163"/>
    <xdr:sp macro="" textlink="">
      <xdr:nvSpPr>
        <xdr:cNvPr id="45" name="CuadroTexto 44">
          <a:extLst>
            <a:ext uri="{FF2B5EF4-FFF2-40B4-BE49-F238E27FC236}">
              <a16:creationId xmlns:a16="http://schemas.microsoft.com/office/drawing/2014/main" id="{00000000-0008-0000-1200-00002D000000}"/>
            </a:ext>
          </a:extLst>
        </xdr:cNvPr>
        <xdr:cNvSpPr txBox="1"/>
      </xdr:nvSpPr>
      <xdr:spPr>
        <a:xfrm>
          <a:off x="10267949" y="30986941"/>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6</xdr:col>
      <xdr:colOff>275167</xdr:colOff>
      <xdr:row>74</xdr:row>
      <xdr:rowOff>148166</xdr:rowOff>
    </xdr:from>
    <xdr:ext cx="465666" cy="219163"/>
    <xdr:sp macro="" textlink="">
      <xdr:nvSpPr>
        <xdr:cNvPr id="46" name="CuadroTexto 45">
          <a:extLst>
            <a:ext uri="{FF2B5EF4-FFF2-40B4-BE49-F238E27FC236}">
              <a16:creationId xmlns:a16="http://schemas.microsoft.com/office/drawing/2014/main" id="{00000000-0008-0000-1200-00002E000000}"/>
            </a:ext>
          </a:extLst>
        </xdr:cNvPr>
        <xdr:cNvSpPr txBox="1"/>
      </xdr:nvSpPr>
      <xdr:spPr>
        <a:xfrm>
          <a:off x="6371167" y="30580541"/>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6</xdr:col>
      <xdr:colOff>328083</xdr:colOff>
      <xdr:row>75</xdr:row>
      <xdr:rowOff>84667</xdr:rowOff>
    </xdr:from>
    <xdr:ext cx="359835" cy="219163"/>
    <xdr:sp macro="" textlink="">
      <xdr:nvSpPr>
        <xdr:cNvPr id="47" name="CuadroTexto 46">
          <a:extLst>
            <a:ext uri="{FF2B5EF4-FFF2-40B4-BE49-F238E27FC236}">
              <a16:creationId xmlns:a16="http://schemas.microsoft.com/office/drawing/2014/main" id="{00000000-0008-0000-1200-00002F000000}"/>
            </a:ext>
          </a:extLst>
        </xdr:cNvPr>
        <xdr:cNvSpPr txBox="1"/>
      </xdr:nvSpPr>
      <xdr:spPr>
        <a:xfrm>
          <a:off x="6424083" y="30955192"/>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3</xdr:col>
      <xdr:colOff>560916</xdr:colOff>
      <xdr:row>72</xdr:row>
      <xdr:rowOff>74084</xdr:rowOff>
    </xdr:from>
    <xdr:ext cx="1524000" cy="210507"/>
    <mc:AlternateContent xmlns:mc="http://schemas.openxmlformats.org/markup-compatibility/2006" xmlns:a14="http://schemas.microsoft.com/office/drawing/2010/main">
      <mc:Choice Requires="a14">
        <xdr:sp macro="" textlink="">
          <xdr:nvSpPr>
            <xdr:cNvPr id="48" name="CuadroTexto 47">
              <a:extLst>
                <a:ext uri="{FF2B5EF4-FFF2-40B4-BE49-F238E27FC236}">
                  <a16:creationId xmlns:a16="http://schemas.microsoft.com/office/drawing/2014/main" id="{00000000-0008-0000-1200-000030000000}"/>
                </a:ext>
              </a:extLst>
            </xdr:cNvPr>
            <xdr:cNvSpPr txBox="1"/>
          </xdr:nvSpPr>
          <xdr:spPr>
            <a:xfrm>
              <a:off x="3246966" y="29553959"/>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m:t>
                    </m:r>
                  </m:oMath>
                </m:oMathPara>
              </a14:m>
              <a:endParaRPr lang="es-CO" sz="1400" b="1" i="1">
                <a:latin typeface="Arial" panose="020B0604020202020204" pitchFamily="34" charset="0"/>
                <a:cs typeface="Arial" panose="020B0604020202020204" pitchFamily="34" charset="0"/>
              </a:endParaRPr>
            </a:p>
          </xdr:txBody>
        </xdr:sp>
      </mc:Choice>
      <mc:Fallback xmlns="">
        <xdr:sp macro="" textlink="">
          <xdr:nvSpPr>
            <xdr:cNvPr id="48" name="CuadroTexto 47">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3246966" y="29553959"/>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 𝒎 𝒄𝒕 )   </a:t>
              </a:r>
              <a:endParaRPr lang="es-CO" sz="1400" b="1" i="1">
                <a:latin typeface="Arial" panose="020B0604020202020204" pitchFamily="34" charset="0"/>
                <a:cs typeface="Arial" panose="020B0604020202020204" pitchFamily="34" charset="0"/>
              </a:endParaRPr>
            </a:p>
          </xdr:txBody>
        </xdr:sp>
      </mc:Fallback>
    </mc:AlternateContent>
    <xdr:clientData/>
  </xdr:oneCellAnchor>
  <xdr:oneCellAnchor>
    <xdr:from>
      <xdr:col>7</xdr:col>
      <xdr:colOff>411956</xdr:colOff>
      <xdr:row>71</xdr:row>
      <xdr:rowOff>406003</xdr:rowOff>
    </xdr:from>
    <xdr:ext cx="65" cy="172227"/>
    <xdr:sp macro="" textlink="">
      <xdr:nvSpPr>
        <xdr:cNvPr id="49" name="CuadroTexto 48">
          <a:extLst>
            <a:ext uri="{FF2B5EF4-FFF2-40B4-BE49-F238E27FC236}">
              <a16:creationId xmlns:a16="http://schemas.microsoft.com/office/drawing/2014/main" id="{00000000-0008-0000-1200-000031000000}"/>
            </a:ext>
          </a:extLst>
        </xdr:cNvPr>
        <xdr:cNvSpPr txBox="1"/>
      </xdr:nvSpPr>
      <xdr:spPr>
        <a:xfrm>
          <a:off x="7555706" y="29457253"/>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51" name="CuadroTexto 50">
              <a:extLst>
                <a:ext uri="{FF2B5EF4-FFF2-40B4-BE49-F238E27FC236}">
                  <a16:creationId xmlns:a16="http://schemas.microsoft.com/office/drawing/2014/main" id="{00000000-0008-0000-1200-000033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51" name="CuadroTexto 50">
              <a:extLst>
                <a:ext uri="{FF2B5EF4-FFF2-40B4-BE49-F238E27FC236}">
                  <a16:creationId xmlns:a16="http://schemas.microsoft.com/office/drawing/2014/main" id="{85D3BC00-F4EC-4874-A333-B057F8CB52D7}"/>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52" name="CuadroTexto 51">
              <a:extLst>
                <a:ext uri="{FF2B5EF4-FFF2-40B4-BE49-F238E27FC236}">
                  <a16:creationId xmlns:a16="http://schemas.microsoft.com/office/drawing/2014/main" id="{00000000-0008-0000-1200-000034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52" name="CuadroTexto 51">
              <a:extLst>
                <a:ext uri="{FF2B5EF4-FFF2-40B4-BE49-F238E27FC236}">
                  <a16:creationId xmlns:a16="http://schemas.microsoft.com/office/drawing/2014/main" id="{91EF3C3A-D9D3-42E8-98F7-10058362B131}"/>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twoCellAnchor>
    <xdr:from>
      <xdr:col>7</xdr:col>
      <xdr:colOff>841375</xdr:colOff>
      <xdr:row>62</xdr:row>
      <xdr:rowOff>206375</xdr:rowOff>
    </xdr:from>
    <xdr:to>
      <xdr:col>11</xdr:col>
      <xdr:colOff>777874</xdr:colOff>
      <xdr:row>64</xdr:row>
      <xdr:rowOff>476250</xdr:rowOff>
    </xdr:to>
    <xdr:graphicFrame macro="">
      <xdr:nvGraphicFramePr>
        <xdr:cNvPr id="53" name="Gráfico 52">
          <a:extLst>
            <a:ext uri="{FF2B5EF4-FFF2-40B4-BE49-F238E27FC236}">
              <a16:creationId xmlns:a16="http://schemas.microsoft.com/office/drawing/2014/main" id="{00000000-0008-0000-1200-00003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238125</xdr:colOff>
      <xdr:row>0</xdr:row>
      <xdr:rowOff>47625</xdr:rowOff>
    </xdr:from>
    <xdr:to>
      <xdr:col>1</xdr:col>
      <xdr:colOff>633531</xdr:colOff>
      <xdr:row>0</xdr:row>
      <xdr:rowOff>687760</xdr:rowOff>
    </xdr:to>
    <xdr:pic>
      <xdr:nvPicPr>
        <xdr:cNvPr id="37" name="36 Imagen">
          <a:extLst>
            <a:ext uri="{FF2B5EF4-FFF2-40B4-BE49-F238E27FC236}">
              <a16:creationId xmlns:a16="http://schemas.microsoft.com/office/drawing/2014/main" id="{00000000-0008-0000-1200-000025000000}"/>
            </a:ext>
          </a:extLst>
        </xdr:cNvPr>
        <xdr:cNvPicPr>
          <a:picLocks noChangeAspect="1"/>
        </xdr:cNvPicPr>
      </xdr:nvPicPr>
      <xdr:blipFill>
        <a:blip xmlns:r="http://schemas.openxmlformats.org/officeDocument/2006/relationships" r:embed="rId2"/>
        <a:stretch>
          <a:fillRect/>
        </a:stretch>
      </xdr:blipFill>
      <xdr:spPr>
        <a:xfrm>
          <a:off x="238125" y="47625"/>
          <a:ext cx="1371719" cy="64013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1</xdr:col>
      <xdr:colOff>285935</xdr:colOff>
      <xdr:row>42</xdr:row>
      <xdr:rowOff>169517</xdr:rowOff>
    </xdr:from>
    <xdr:ext cx="177356" cy="176202"/>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00000000-0008-0000-0100-000003000000}"/>
                </a:ext>
              </a:extLst>
            </xdr:cNvPr>
            <xdr:cNvSpPr txBox="1"/>
          </xdr:nvSpPr>
          <xdr:spPr>
            <a:xfrm>
              <a:off x="1314635" y="14958667"/>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bg1"/>
                            </a:solidFill>
                            <a:latin typeface="Cambria Math" panose="02040503050406030204" pitchFamily="18" charset="0"/>
                          </a:rPr>
                        </m:ctrlPr>
                      </m:accPr>
                      <m:e>
                        <m:r>
                          <a:rPr lang="es-CO" sz="1100" b="1" i="1">
                            <a:solidFill>
                              <a:schemeClr val="bg1"/>
                            </a:solidFill>
                            <a:latin typeface="Cambria Math" panose="02040503050406030204" pitchFamily="18" charset="0"/>
                            <a:ea typeface="Cambria Math" panose="02040503050406030204" pitchFamily="18" charset="0"/>
                          </a:rPr>
                          <m:t>∆</m:t>
                        </m:r>
                        <m:r>
                          <a:rPr lang="es-CO" sz="1100" b="1" i="1">
                            <a:solidFill>
                              <a:schemeClr val="bg1"/>
                            </a:solidFill>
                            <a:latin typeface="Cambria Math" panose="02040503050406030204" pitchFamily="18" charset="0"/>
                            <a:ea typeface="Cambria Math" panose="02040503050406030204" pitchFamily="18" charset="0"/>
                          </a:rPr>
                          <m:t>𝑰</m:t>
                        </m:r>
                      </m:e>
                    </m:acc>
                  </m:oMath>
                </m:oMathPara>
              </a14:m>
              <a:endParaRPr lang="es-CO" sz="1100" b="1">
                <a:solidFill>
                  <a:schemeClr val="bg1"/>
                </a:solidFill>
              </a:endParaRPr>
            </a:p>
          </xdr:txBody>
        </xdr:sp>
      </mc:Choice>
      <mc:Fallback xmlns="">
        <xdr:sp macro="" textlink="">
          <xdr:nvSpPr>
            <xdr:cNvPr id="3" name="CuadroTexto 2">
              <a:extLst>
                <a:ext uri="{FF2B5EF4-FFF2-40B4-BE49-F238E27FC236}">
                  <a16:creationId xmlns:a16="http://schemas.microsoft.com/office/drawing/2014/main" id="{0539B232-30A4-4991-B286-69BB6A539421}"/>
                </a:ext>
              </a:extLst>
            </xdr:cNvPr>
            <xdr:cNvSpPr txBox="1"/>
          </xdr:nvSpPr>
          <xdr:spPr>
            <a:xfrm>
              <a:off x="1314635" y="14958667"/>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bg1"/>
                  </a:solidFill>
                  <a:latin typeface="Cambria Math" panose="02040503050406030204" pitchFamily="18" charset="0"/>
                </a:rPr>
                <a:t>(</a:t>
              </a:r>
              <a:r>
                <a:rPr lang="es-CO" sz="1100" b="1" i="0">
                  <a:solidFill>
                    <a:schemeClr val="bg1"/>
                  </a:solidFill>
                  <a:latin typeface="Cambria Math" panose="02040503050406030204" pitchFamily="18" charset="0"/>
                  <a:ea typeface="Cambria Math" panose="02040503050406030204" pitchFamily="18" charset="0"/>
                </a:rPr>
                <a:t>∆𝑰) ̅</a:t>
              </a:r>
              <a:endParaRPr lang="es-CO" sz="1100" b="1">
                <a:solidFill>
                  <a:schemeClr val="bg1"/>
                </a:solidFill>
              </a:endParaRPr>
            </a:p>
          </xdr:txBody>
        </xdr:sp>
      </mc:Fallback>
    </mc:AlternateContent>
    <xdr:clientData/>
  </xdr:oneCellAnchor>
  <xdr:oneCellAnchor>
    <xdr:from>
      <xdr:col>1</xdr:col>
      <xdr:colOff>136732</xdr:colOff>
      <xdr:row>58</xdr:row>
      <xdr:rowOff>253032</xdr:rowOff>
    </xdr:from>
    <xdr:ext cx="599716" cy="172227"/>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id="{00000000-0008-0000-0100-000004000000}"/>
                </a:ext>
              </a:extLst>
            </xdr:cNvPr>
            <xdr:cNvSpPr txBox="1"/>
          </xdr:nvSpPr>
          <xdr:spPr>
            <a:xfrm>
              <a:off x="1165432" y="20750832"/>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𝒘</m:t>
                        </m:r>
                      </m:sub>
                    </m:sSub>
                    <m:r>
                      <a:rPr lang="es-CO" sz="1100" b="1" i="1">
                        <a:latin typeface="Cambria Math" panose="02040503050406030204" pitchFamily="18" charset="0"/>
                      </a:rPr>
                      <m:t>(</m:t>
                    </m:r>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4" name="CuadroTexto 3">
              <a:extLst>
                <a:ext uri="{FF2B5EF4-FFF2-40B4-BE49-F238E27FC236}">
                  <a16:creationId xmlns:a16="http://schemas.microsoft.com/office/drawing/2014/main" id="{C559D039-7711-4B8B-BAB0-1052E29A9D7B}"/>
                </a:ext>
              </a:extLst>
            </xdr:cNvPr>
            <xdr:cNvSpPr txBox="1"/>
          </xdr:nvSpPr>
          <xdr:spPr>
            <a:xfrm>
              <a:off x="1165432" y="20750832"/>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𝒖_𝒘 (</a:t>
              </a: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1</xdr:col>
      <xdr:colOff>202651</xdr:colOff>
      <xdr:row>61</xdr:row>
      <xdr:rowOff>265287</xdr:rowOff>
    </xdr:from>
    <xdr:ext cx="483915" cy="172227"/>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id="{00000000-0008-0000-0100-000005000000}"/>
                </a:ext>
              </a:extLst>
            </xdr:cNvPr>
            <xdr:cNvSpPr txBox="1"/>
          </xdr:nvSpPr>
          <xdr:spPr>
            <a:xfrm>
              <a:off x="1231351" y="2297288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5" name="CuadroTexto 4">
              <a:extLst>
                <a:ext uri="{FF2B5EF4-FFF2-40B4-BE49-F238E27FC236}">
                  <a16:creationId xmlns:a16="http://schemas.microsoft.com/office/drawing/2014/main" id="{D1AA3083-4E46-4AF7-B763-A63DBAF17475}"/>
                </a:ext>
              </a:extLst>
            </xdr:cNvPr>
            <xdr:cNvSpPr txBox="1"/>
          </xdr:nvSpPr>
          <xdr:spPr>
            <a:xfrm>
              <a:off x="1231351" y="2297288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𝒖(𝒎_𝒄𝒓)</a:t>
              </a:r>
              <a:endParaRPr lang="es-CO" sz="1100" b="1"/>
            </a:p>
          </xdr:txBody>
        </xdr:sp>
      </mc:Fallback>
    </mc:AlternateContent>
    <xdr:clientData/>
  </xdr:oneCellAnchor>
  <xdr:oneCellAnchor>
    <xdr:from>
      <xdr:col>1</xdr:col>
      <xdr:colOff>34166</xdr:colOff>
      <xdr:row>60</xdr:row>
      <xdr:rowOff>250203</xdr:rowOff>
    </xdr:from>
    <xdr:ext cx="689483" cy="172227"/>
    <mc:AlternateContent xmlns:mc="http://schemas.openxmlformats.org/markup-compatibility/2006" xmlns:a14="http://schemas.microsoft.com/office/drawing/2010/main">
      <mc:Choice Requires="a14">
        <xdr:sp macro="" textlink="">
          <xdr:nvSpPr>
            <xdr:cNvPr id="6" name="CuadroTexto 5">
              <a:extLst>
                <a:ext uri="{FF2B5EF4-FFF2-40B4-BE49-F238E27FC236}">
                  <a16:creationId xmlns:a16="http://schemas.microsoft.com/office/drawing/2014/main" id="{00000000-0008-0000-0100-000006000000}"/>
                </a:ext>
              </a:extLst>
            </xdr:cNvPr>
            <xdr:cNvSpPr txBox="1"/>
          </xdr:nvSpPr>
          <xdr:spPr>
            <a:xfrm>
              <a:off x="1062866" y="22221203"/>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𝒊𝒏𝒔𝒕</m:t>
                        </m:r>
                      </m:sub>
                    </m:sSub>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0" i="1">
                        <a:latin typeface="Cambria Math" panose="02040503050406030204" pitchFamily="18" charset="0"/>
                      </a:rPr>
                      <m:t>)</m:t>
                    </m:r>
                  </m:oMath>
                </m:oMathPara>
              </a14:m>
              <a:endParaRPr lang="es-CO" sz="1100"/>
            </a:p>
          </xdr:txBody>
        </xdr:sp>
      </mc:Choice>
      <mc:Fallback xmlns="">
        <xdr:sp macro="" textlink="">
          <xdr:nvSpPr>
            <xdr:cNvPr id="6" name="CuadroTexto 5">
              <a:extLst>
                <a:ext uri="{FF2B5EF4-FFF2-40B4-BE49-F238E27FC236}">
                  <a16:creationId xmlns:a16="http://schemas.microsoft.com/office/drawing/2014/main" id="{E4FA30CB-1BBF-46BF-B4D6-53CEFB207A24}"/>
                </a:ext>
              </a:extLst>
            </xdr:cNvPr>
            <xdr:cNvSpPr txBox="1"/>
          </xdr:nvSpPr>
          <xdr:spPr>
            <a:xfrm>
              <a:off x="1062866" y="22221203"/>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𝒖_𝒊𝒏𝒔𝒕 (𝒎_𝒄𝒓</a:t>
              </a:r>
              <a:r>
                <a:rPr lang="es-CO" sz="1100" b="0" i="0">
                  <a:latin typeface="Cambria Math" panose="02040503050406030204" pitchFamily="18" charset="0"/>
                </a:rPr>
                <a:t>)</a:t>
              </a:r>
              <a:endParaRPr lang="es-CO" sz="1100"/>
            </a:p>
          </xdr:txBody>
        </xdr:sp>
      </mc:Fallback>
    </mc:AlternateContent>
    <xdr:clientData/>
  </xdr:oneCellAnchor>
  <xdr:oneCellAnchor>
    <xdr:from>
      <xdr:col>1</xdr:col>
      <xdr:colOff>183870</xdr:colOff>
      <xdr:row>62</xdr:row>
      <xdr:rowOff>264645</xdr:rowOff>
    </xdr:from>
    <xdr:ext cx="397353" cy="172227"/>
    <mc:AlternateContent xmlns:mc="http://schemas.openxmlformats.org/markup-compatibility/2006" xmlns:a14="http://schemas.microsoft.com/office/drawing/2010/main">
      <mc:Choice Requires="a14">
        <xdr:sp macro="" textlink="">
          <xdr:nvSpPr>
            <xdr:cNvPr id="7" name="CuadroTexto 6">
              <a:extLst>
                <a:ext uri="{FF2B5EF4-FFF2-40B4-BE49-F238E27FC236}">
                  <a16:creationId xmlns:a16="http://schemas.microsoft.com/office/drawing/2014/main" id="{00000000-0008-0000-0100-000007000000}"/>
                </a:ext>
              </a:extLst>
            </xdr:cNvPr>
            <xdr:cNvSpPr txBox="1"/>
          </xdr:nvSpPr>
          <xdr:spPr>
            <a:xfrm>
              <a:off x="1212570" y="23708845"/>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𝒂</m:t>
                        </m:r>
                      </m:sub>
                    </m:sSub>
                    <m:r>
                      <a:rPr lang="es-CO" sz="1100" b="1" i="1">
                        <a:latin typeface="Cambria Math" panose="02040503050406030204" pitchFamily="18" charset="0"/>
                      </a:rPr>
                      <m:t>)</m:t>
                    </m:r>
                  </m:oMath>
                </m:oMathPara>
              </a14:m>
              <a:endParaRPr lang="es-CO" sz="1100" b="1"/>
            </a:p>
          </xdr:txBody>
        </xdr:sp>
      </mc:Choice>
      <mc:Fallback xmlns="">
        <xdr:sp macro="" textlink="">
          <xdr:nvSpPr>
            <xdr:cNvPr id="7" name="CuadroTexto 6">
              <a:extLst>
                <a:ext uri="{FF2B5EF4-FFF2-40B4-BE49-F238E27FC236}">
                  <a16:creationId xmlns:a16="http://schemas.microsoft.com/office/drawing/2014/main" id="{03C4D509-14C9-4680-9434-DF5319380588}"/>
                </a:ext>
              </a:extLst>
            </xdr:cNvPr>
            <xdr:cNvSpPr txBox="1"/>
          </xdr:nvSpPr>
          <xdr:spPr>
            <a:xfrm>
              <a:off x="1212570" y="23708845"/>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𝒂)</a:t>
              </a:r>
              <a:endParaRPr lang="es-CO" sz="1100" b="1"/>
            </a:p>
          </xdr:txBody>
        </xdr:sp>
      </mc:Fallback>
    </mc:AlternateContent>
    <xdr:clientData/>
  </xdr:oneCellAnchor>
  <xdr:oneCellAnchor>
    <xdr:from>
      <xdr:col>1</xdr:col>
      <xdr:colOff>186298</xdr:colOff>
      <xdr:row>63</xdr:row>
      <xdr:rowOff>266606</xdr:rowOff>
    </xdr:from>
    <xdr:ext cx="376642" cy="172227"/>
    <mc:AlternateContent xmlns:mc="http://schemas.openxmlformats.org/markup-compatibility/2006" xmlns:a14="http://schemas.microsoft.com/office/drawing/2010/main">
      <mc:Choice Requires="a14">
        <xdr:sp macro="" textlink="">
          <xdr:nvSpPr>
            <xdr:cNvPr id="8" name="CuadroTexto 7">
              <a:extLst>
                <a:ext uri="{FF2B5EF4-FFF2-40B4-BE49-F238E27FC236}">
                  <a16:creationId xmlns:a16="http://schemas.microsoft.com/office/drawing/2014/main" id="{00000000-0008-0000-0100-000008000000}"/>
                </a:ext>
              </a:extLst>
            </xdr:cNvPr>
            <xdr:cNvSpPr txBox="1"/>
          </xdr:nvSpPr>
          <xdr:spPr>
            <a:xfrm>
              <a:off x="1214998" y="244474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𝒕</m:t>
                        </m:r>
                      </m:sub>
                    </m:sSub>
                    <m:r>
                      <a:rPr lang="es-CO" sz="1100" b="1" i="1">
                        <a:latin typeface="Cambria Math" panose="02040503050406030204" pitchFamily="18" charset="0"/>
                      </a:rPr>
                      <m:t>)</m:t>
                    </m:r>
                  </m:oMath>
                </m:oMathPara>
              </a14:m>
              <a:endParaRPr lang="es-CO" sz="1100" b="1"/>
            </a:p>
          </xdr:txBody>
        </xdr:sp>
      </mc:Choice>
      <mc:Fallback xmlns="">
        <xdr:sp macro="" textlink="">
          <xdr:nvSpPr>
            <xdr:cNvPr id="8" name="CuadroTexto 7">
              <a:extLst>
                <a:ext uri="{FF2B5EF4-FFF2-40B4-BE49-F238E27FC236}">
                  <a16:creationId xmlns:a16="http://schemas.microsoft.com/office/drawing/2014/main" id="{C61713ED-D80B-4508-8C87-36AFB87EF37E}"/>
                </a:ext>
              </a:extLst>
            </xdr:cNvPr>
            <xdr:cNvSpPr txBox="1"/>
          </xdr:nvSpPr>
          <xdr:spPr>
            <a:xfrm>
              <a:off x="1214998" y="244474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𝒕)</a:t>
              </a:r>
              <a:endParaRPr lang="es-CO" sz="1100" b="1"/>
            </a:p>
          </xdr:txBody>
        </xdr:sp>
      </mc:Fallback>
    </mc:AlternateContent>
    <xdr:clientData/>
  </xdr:oneCellAnchor>
  <xdr:oneCellAnchor>
    <xdr:from>
      <xdr:col>1</xdr:col>
      <xdr:colOff>186298</xdr:colOff>
      <xdr:row>64</xdr:row>
      <xdr:rowOff>222250</xdr:rowOff>
    </xdr:from>
    <xdr:ext cx="388696" cy="172227"/>
    <mc:AlternateContent xmlns:mc="http://schemas.openxmlformats.org/markup-compatibility/2006" xmlns:a14="http://schemas.microsoft.com/office/drawing/2010/main">
      <mc:Choice Requires="a14">
        <xdr:sp macro="" textlink="">
          <xdr:nvSpPr>
            <xdr:cNvPr id="9" name="CuadroTexto 8">
              <a:extLst>
                <a:ext uri="{FF2B5EF4-FFF2-40B4-BE49-F238E27FC236}">
                  <a16:creationId xmlns:a16="http://schemas.microsoft.com/office/drawing/2014/main" id="{00000000-0008-0000-0100-000009000000}"/>
                </a:ext>
              </a:extLst>
            </xdr:cNvPr>
            <xdr:cNvSpPr txBox="1"/>
          </xdr:nvSpPr>
          <xdr:spPr>
            <a:xfrm>
              <a:off x="1214998" y="25139650"/>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9" name="CuadroTexto 8">
              <a:extLst>
                <a:ext uri="{FF2B5EF4-FFF2-40B4-BE49-F238E27FC236}">
                  <a16:creationId xmlns:a16="http://schemas.microsoft.com/office/drawing/2014/main" id="{21CEE084-DB11-441F-8A75-A905EACB0D40}"/>
                </a:ext>
              </a:extLst>
            </xdr:cNvPr>
            <xdr:cNvSpPr txBox="1"/>
          </xdr:nvSpPr>
          <xdr:spPr>
            <a:xfrm>
              <a:off x="1214998" y="25139650"/>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𝒓)</a:t>
              </a:r>
              <a:endParaRPr lang="es-CO" sz="1100" b="1"/>
            </a:p>
          </xdr:txBody>
        </xdr:sp>
      </mc:Fallback>
    </mc:AlternateContent>
    <xdr:clientData/>
  </xdr:oneCellAnchor>
  <xdr:oneCellAnchor>
    <xdr:from>
      <xdr:col>1</xdr:col>
      <xdr:colOff>265579</xdr:colOff>
      <xdr:row>65</xdr:row>
      <xdr:rowOff>288458</xdr:rowOff>
    </xdr:from>
    <xdr:ext cx="191271" cy="172227"/>
    <mc:AlternateContent xmlns:mc="http://schemas.openxmlformats.org/markup-compatibility/2006" xmlns:a14="http://schemas.microsoft.com/office/drawing/2010/main">
      <mc:Choice Requires="a14">
        <xdr:sp macro="" textlink="">
          <xdr:nvSpPr>
            <xdr:cNvPr id="10" name="CuadroTexto 9">
              <a:extLst>
                <a:ext uri="{FF2B5EF4-FFF2-40B4-BE49-F238E27FC236}">
                  <a16:creationId xmlns:a16="http://schemas.microsoft.com/office/drawing/2014/main" id="{00000000-0008-0000-0100-00000A000000}"/>
                </a:ext>
              </a:extLst>
            </xdr:cNvPr>
            <xdr:cNvSpPr txBox="1"/>
          </xdr:nvSpPr>
          <xdr:spPr>
            <a:xfrm>
              <a:off x="1294279" y="2594245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𝒃</m:t>
                        </m:r>
                      </m:sub>
                    </m:sSub>
                  </m:oMath>
                </m:oMathPara>
              </a14:m>
              <a:endParaRPr lang="es-CO" sz="1100" b="1"/>
            </a:p>
          </xdr:txBody>
        </xdr:sp>
      </mc:Choice>
      <mc:Fallback xmlns="">
        <xdr:sp macro="" textlink="">
          <xdr:nvSpPr>
            <xdr:cNvPr id="10" name="CuadroTexto 9">
              <a:extLst>
                <a:ext uri="{FF2B5EF4-FFF2-40B4-BE49-F238E27FC236}">
                  <a16:creationId xmlns:a16="http://schemas.microsoft.com/office/drawing/2014/main" id="{C8291970-7BA9-4FA5-8213-0B77FC08D67F}"/>
                </a:ext>
              </a:extLst>
            </xdr:cNvPr>
            <xdr:cNvSpPr txBox="1"/>
          </xdr:nvSpPr>
          <xdr:spPr>
            <a:xfrm>
              <a:off x="1294279" y="2594245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𝒖_𝒃</a:t>
              </a:r>
              <a:endParaRPr lang="es-CO" sz="1100" b="1"/>
            </a:p>
          </xdr:txBody>
        </xdr:sp>
      </mc:Fallback>
    </mc:AlternateContent>
    <xdr:clientData/>
  </xdr:oneCellAnchor>
  <xdr:oneCellAnchor>
    <xdr:from>
      <xdr:col>1</xdr:col>
      <xdr:colOff>261391</xdr:colOff>
      <xdr:row>66</xdr:row>
      <xdr:rowOff>294234</xdr:rowOff>
    </xdr:from>
    <xdr:ext cx="195053" cy="172227"/>
    <mc:AlternateContent xmlns:mc="http://schemas.openxmlformats.org/markup-compatibility/2006" xmlns:a14="http://schemas.microsoft.com/office/drawing/2010/main">
      <mc:Choice Requires="a14">
        <xdr:sp macro="" textlink="">
          <xdr:nvSpPr>
            <xdr:cNvPr id="11" name="CuadroTexto 10">
              <a:extLst>
                <a:ext uri="{FF2B5EF4-FFF2-40B4-BE49-F238E27FC236}">
                  <a16:creationId xmlns:a16="http://schemas.microsoft.com/office/drawing/2014/main" id="{00000000-0008-0000-0100-00000B000000}"/>
                </a:ext>
              </a:extLst>
            </xdr:cNvPr>
            <xdr:cNvSpPr txBox="1"/>
          </xdr:nvSpPr>
          <xdr:spPr>
            <a:xfrm>
              <a:off x="1290091" y="26684834"/>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𝒅</m:t>
                        </m:r>
                      </m:sub>
                    </m:sSub>
                  </m:oMath>
                </m:oMathPara>
              </a14:m>
              <a:endParaRPr lang="es-CO" sz="1100" b="1"/>
            </a:p>
          </xdr:txBody>
        </xdr:sp>
      </mc:Choice>
      <mc:Fallback xmlns="">
        <xdr:sp macro="" textlink="">
          <xdr:nvSpPr>
            <xdr:cNvPr id="11" name="CuadroTexto 10">
              <a:extLst>
                <a:ext uri="{FF2B5EF4-FFF2-40B4-BE49-F238E27FC236}">
                  <a16:creationId xmlns:a16="http://schemas.microsoft.com/office/drawing/2014/main" id="{7557D0CF-FBEE-4571-9BB8-F76737FAB47C}"/>
                </a:ext>
              </a:extLst>
            </xdr:cNvPr>
            <xdr:cNvSpPr txBox="1"/>
          </xdr:nvSpPr>
          <xdr:spPr>
            <a:xfrm>
              <a:off x="1290091" y="26684834"/>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𝒖_𝒅</a:t>
              </a:r>
              <a:endParaRPr lang="es-CO" sz="1100" b="1"/>
            </a:p>
          </xdr:txBody>
        </xdr:sp>
      </mc:Fallback>
    </mc:AlternateContent>
    <xdr:clientData/>
  </xdr:oneCellAnchor>
  <xdr:oneCellAnchor>
    <xdr:from>
      <xdr:col>5</xdr:col>
      <xdr:colOff>393571</xdr:colOff>
      <xdr:row>69</xdr:row>
      <xdr:rowOff>265119</xdr:rowOff>
    </xdr:from>
    <xdr:ext cx="529697" cy="172227"/>
    <mc:AlternateContent xmlns:mc="http://schemas.openxmlformats.org/markup-compatibility/2006" xmlns:a14="http://schemas.microsoft.com/office/drawing/2010/main">
      <mc:Choice Requires="a14">
        <xdr:sp macro="" textlink="">
          <xdr:nvSpPr>
            <xdr:cNvPr id="12" name="CuadroTexto 11">
              <a:extLst>
                <a:ext uri="{FF2B5EF4-FFF2-40B4-BE49-F238E27FC236}">
                  <a16:creationId xmlns:a16="http://schemas.microsoft.com/office/drawing/2014/main" id="{00000000-0008-0000-0100-00000C000000}"/>
                </a:ext>
              </a:extLst>
            </xdr:cNvPr>
            <xdr:cNvSpPr txBox="1"/>
          </xdr:nvSpPr>
          <xdr:spPr>
            <a:xfrm>
              <a:off x="5632321" y="28217819"/>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𝒄</m:t>
                        </m:r>
                      </m:sub>
                    </m:sSub>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12" name="CuadroTexto 11">
              <a:extLst>
                <a:ext uri="{FF2B5EF4-FFF2-40B4-BE49-F238E27FC236}">
                  <a16:creationId xmlns:a16="http://schemas.microsoft.com/office/drawing/2014/main" id="{D03DB7B1-630E-4A94-B38B-3A4F9E888308}"/>
                </a:ext>
              </a:extLst>
            </xdr:cNvPr>
            <xdr:cNvSpPr txBox="1"/>
          </xdr:nvSpPr>
          <xdr:spPr>
            <a:xfrm>
              <a:off x="5632321" y="28217819"/>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𝒖_𝒄 (</a:t>
              </a:r>
              <a:r>
                <a:rPr lang="es-CO" sz="1100" b="1" i="0">
                  <a:latin typeface="Cambria Math" panose="02040503050406030204" pitchFamily="18" charset="0"/>
                  <a:ea typeface="Cambria Math" panose="02040503050406030204" pitchFamily="18" charset="0"/>
                </a:rPr>
                <a:t>𝒎_𝒄𝒕)</a:t>
              </a:r>
              <a:endParaRPr lang="es-CO" sz="1100" b="1"/>
            </a:p>
          </xdr:txBody>
        </xdr:sp>
      </mc:Fallback>
    </mc:AlternateContent>
    <xdr:clientData/>
  </xdr:oneCellAnchor>
  <xdr:oneCellAnchor>
    <xdr:from>
      <xdr:col>5</xdr:col>
      <xdr:colOff>243965</xdr:colOff>
      <xdr:row>70</xdr:row>
      <xdr:rowOff>130277</xdr:rowOff>
    </xdr:from>
    <xdr:ext cx="780598" cy="172227"/>
    <mc:AlternateContent xmlns:mc="http://schemas.openxmlformats.org/markup-compatibility/2006" xmlns:a14="http://schemas.microsoft.com/office/drawing/2010/main">
      <mc:Choice Requires="a14">
        <xdr:sp macro="" textlink="">
          <xdr:nvSpPr>
            <xdr:cNvPr id="13" name="CuadroTexto 12">
              <a:extLst>
                <a:ext uri="{FF2B5EF4-FFF2-40B4-BE49-F238E27FC236}">
                  <a16:creationId xmlns:a16="http://schemas.microsoft.com/office/drawing/2014/main" id="{00000000-0008-0000-0100-00000D000000}"/>
                </a:ext>
              </a:extLst>
            </xdr:cNvPr>
            <xdr:cNvSpPr txBox="1"/>
          </xdr:nvSpPr>
          <xdr:spPr>
            <a:xfrm>
              <a:off x="5482715" y="2873702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100" b="1" i="1">
                      <a:latin typeface="Cambria Math" panose="02040503050406030204" pitchFamily="18" charset="0"/>
                    </a:rPr>
                    <m:t>𝑼</m:t>
                  </m:r>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a14:m>
              <a:r>
                <a:rPr lang="es-CO" sz="1100" b="1"/>
                <a:t> (k=2)</a:t>
              </a:r>
            </a:p>
          </xdr:txBody>
        </xdr:sp>
      </mc:Choice>
      <mc:Fallback xmlns="">
        <xdr:sp macro="" textlink="">
          <xdr:nvSpPr>
            <xdr:cNvPr id="13" name="CuadroTexto 12">
              <a:extLst>
                <a:ext uri="{FF2B5EF4-FFF2-40B4-BE49-F238E27FC236}">
                  <a16:creationId xmlns:a16="http://schemas.microsoft.com/office/drawing/2014/main" id="{576597EF-1D88-48A8-8703-38690F7A7DEA}"/>
                </a:ext>
              </a:extLst>
            </xdr:cNvPr>
            <xdr:cNvSpPr txBox="1"/>
          </xdr:nvSpPr>
          <xdr:spPr>
            <a:xfrm>
              <a:off x="5482715" y="2873702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100" b="1" i="0">
                  <a:latin typeface="Cambria Math" panose="02040503050406030204" pitchFamily="18" charset="0"/>
                </a:rPr>
                <a:t>𝑼(</a:t>
              </a:r>
              <a:r>
                <a:rPr lang="es-CO" sz="1100" b="1" i="0">
                  <a:latin typeface="Cambria Math" panose="02040503050406030204" pitchFamily="18" charset="0"/>
                  <a:ea typeface="Cambria Math" panose="02040503050406030204" pitchFamily="18" charset="0"/>
                </a:rPr>
                <a:t>𝒎_𝒄𝒕)</a:t>
              </a:r>
              <a:r>
                <a:rPr lang="es-CO" sz="1100" b="1"/>
                <a:t> (k=2)</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14" name="CuadroTexto 13">
              <a:extLst>
                <a:ext uri="{FF2B5EF4-FFF2-40B4-BE49-F238E27FC236}">
                  <a16:creationId xmlns:a16="http://schemas.microsoft.com/office/drawing/2014/main" id="{00000000-0008-0000-0100-00000E000000}"/>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14" name="CuadroTexto 13">
              <a:extLst>
                <a:ext uri="{FF2B5EF4-FFF2-40B4-BE49-F238E27FC236}">
                  <a16:creationId xmlns:a16="http://schemas.microsoft.com/office/drawing/2014/main" id="{2D84580E-E4BC-4629-A903-0AF1F37EC8FD}"/>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8</xdr:col>
      <xdr:colOff>541269</xdr:colOff>
      <xdr:row>52</xdr:row>
      <xdr:rowOff>78683</xdr:rowOff>
    </xdr:from>
    <xdr:ext cx="304571" cy="172227"/>
    <mc:AlternateContent xmlns:mc="http://schemas.openxmlformats.org/markup-compatibility/2006" xmlns:a14="http://schemas.microsoft.com/office/drawing/2010/main">
      <mc:Choice Requires="a14">
        <xdr:sp macro="" textlink="">
          <xdr:nvSpPr>
            <xdr:cNvPr id="15" name="CuadroTexto 14">
              <a:extLst>
                <a:ext uri="{FF2B5EF4-FFF2-40B4-BE49-F238E27FC236}">
                  <a16:creationId xmlns:a16="http://schemas.microsoft.com/office/drawing/2014/main" id="{00000000-0008-0000-0100-00000F000000}"/>
                </a:ext>
              </a:extLst>
            </xdr:cNvPr>
            <xdr:cNvSpPr txBox="1"/>
          </xdr:nvSpPr>
          <xdr:spPr>
            <a:xfrm>
              <a:off x="9882119" y="18595283"/>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oMath>
                </m:oMathPara>
              </a14:m>
              <a:endParaRPr lang="es-CO" sz="1100" b="1"/>
            </a:p>
          </xdr:txBody>
        </xdr:sp>
      </mc:Choice>
      <mc:Fallback xmlns="">
        <xdr:sp macro="" textlink="">
          <xdr:nvSpPr>
            <xdr:cNvPr id="15" name="CuadroTexto 14">
              <a:extLst>
                <a:ext uri="{FF2B5EF4-FFF2-40B4-BE49-F238E27FC236}">
                  <a16:creationId xmlns:a16="http://schemas.microsoft.com/office/drawing/2014/main" id="{4BB77957-F86B-416E-8EBC-5691B5E96563}"/>
                </a:ext>
              </a:extLst>
            </xdr:cNvPr>
            <xdr:cNvSpPr txBox="1"/>
          </xdr:nvSpPr>
          <xdr:spPr>
            <a:xfrm>
              <a:off x="9882119" y="18595283"/>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4</xdr:col>
      <xdr:colOff>155713</xdr:colOff>
      <xdr:row>39</xdr:row>
      <xdr:rowOff>106017</xdr:rowOff>
    </xdr:from>
    <xdr:ext cx="65" cy="172227"/>
    <xdr:sp macro="" textlink="">
      <xdr:nvSpPr>
        <xdr:cNvPr id="16" name="CuadroTexto 15">
          <a:extLst>
            <a:ext uri="{FF2B5EF4-FFF2-40B4-BE49-F238E27FC236}">
              <a16:creationId xmlns:a16="http://schemas.microsoft.com/office/drawing/2014/main" id="{00000000-0008-0000-0100-000010000000}"/>
            </a:ext>
          </a:extLst>
        </xdr:cNvPr>
        <xdr:cNvSpPr txBox="1"/>
      </xdr:nvSpPr>
      <xdr:spPr>
        <a:xfrm>
          <a:off x="4308613" y="1369501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17" name="CuadroTexto 16">
              <a:extLst>
                <a:ext uri="{FF2B5EF4-FFF2-40B4-BE49-F238E27FC236}">
                  <a16:creationId xmlns:a16="http://schemas.microsoft.com/office/drawing/2014/main" id="{00000000-0008-0000-0100-000011000000}"/>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7" name="CuadroTexto 16">
              <a:extLst>
                <a:ext uri="{FF2B5EF4-FFF2-40B4-BE49-F238E27FC236}">
                  <a16:creationId xmlns:a16="http://schemas.microsoft.com/office/drawing/2014/main" id="{12380EAD-33BA-4E1F-910D-D8BD8E59CE17}"/>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18" name="CuadroTexto 17">
              <a:extLst>
                <a:ext uri="{FF2B5EF4-FFF2-40B4-BE49-F238E27FC236}">
                  <a16:creationId xmlns:a16="http://schemas.microsoft.com/office/drawing/2014/main" id="{00000000-0008-0000-0100-000012000000}"/>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18" name="CuadroTexto 17">
              <a:extLst>
                <a:ext uri="{FF2B5EF4-FFF2-40B4-BE49-F238E27FC236}">
                  <a16:creationId xmlns:a16="http://schemas.microsoft.com/office/drawing/2014/main" id="{DB55788C-8FC2-44E8-B44A-59C8C3543F92}"/>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19" name="CuadroTexto 18">
              <a:extLst>
                <a:ext uri="{FF2B5EF4-FFF2-40B4-BE49-F238E27FC236}">
                  <a16:creationId xmlns:a16="http://schemas.microsoft.com/office/drawing/2014/main" id="{00000000-0008-0000-0100-000013000000}"/>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9" name="CuadroTexto 18">
              <a:extLst>
                <a:ext uri="{FF2B5EF4-FFF2-40B4-BE49-F238E27FC236}">
                  <a16:creationId xmlns:a16="http://schemas.microsoft.com/office/drawing/2014/main" id="{F49EEE3A-512C-44EC-A8D7-93083797E50D}"/>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0" name="CuadroTexto 19">
              <a:extLst>
                <a:ext uri="{FF2B5EF4-FFF2-40B4-BE49-F238E27FC236}">
                  <a16:creationId xmlns:a16="http://schemas.microsoft.com/office/drawing/2014/main" id="{00000000-0008-0000-0100-000014000000}"/>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0" name="CuadroTexto 19">
              <a:extLst>
                <a:ext uri="{FF2B5EF4-FFF2-40B4-BE49-F238E27FC236}">
                  <a16:creationId xmlns:a16="http://schemas.microsoft.com/office/drawing/2014/main" id="{DE555BF3-2436-4DF4-9D19-BB0C6C2337FF}"/>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1" name="CuadroTexto 20">
          <a:extLst>
            <a:ext uri="{FF2B5EF4-FFF2-40B4-BE49-F238E27FC236}">
              <a16:creationId xmlns:a16="http://schemas.microsoft.com/office/drawing/2014/main" id="{00000000-0008-0000-0100-000015000000}"/>
            </a:ext>
          </a:extLst>
        </xdr:cNvPr>
        <xdr:cNvSpPr txBox="1"/>
      </xdr:nvSpPr>
      <xdr:spPr>
        <a:xfrm>
          <a:off x="1376572" y="14521621"/>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3</xdr:col>
      <xdr:colOff>236456</xdr:colOff>
      <xdr:row>73</xdr:row>
      <xdr:rowOff>141002</xdr:rowOff>
    </xdr:from>
    <xdr:ext cx="730521" cy="219163"/>
    <mc:AlternateContent xmlns:mc="http://schemas.openxmlformats.org/markup-compatibility/2006" xmlns:a14="http://schemas.microsoft.com/office/drawing/2010/main">
      <mc:Choice Requires="a14">
        <xdr:sp macro="" textlink="">
          <xdr:nvSpPr>
            <xdr:cNvPr id="22" name="CuadroTexto 21">
              <a:extLst>
                <a:ext uri="{FF2B5EF4-FFF2-40B4-BE49-F238E27FC236}">
                  <a16:creationId xmlns:a16="http://schemas.microsoft.com/office/drawing/2014/main" id="{00000000-0008-0000-0100-000016000000}"/>
                </a:ext>
              </a:extLst>
            </xdr:cNvPr>
            <xdr:cNvSpPr txBox="1"/>
          </xdr:nvSpPr>
          <xdr:spPr>
            <a:xfrm>
              <a:off x="3201906" y="30062202"/>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m:t>
                  </m:r>
                  <m:sSub>
                    <m:sSubPr>
                      <m:ctrlPr>
                        <a:rPr lang="es-CO" sz="1400" b="1" i="1">
                          <a:latin typeface="Cambria Math" panose="02040503050406030204" pitchFamily="18" charset="0"/>
                          <a:ea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𝒎</m:t>
                      </m:r>
                    </m:e>
                    <m:sub>
                      <m:r>
                        <a:rPr lang="es-CO" sz="1400" b="1" i="1">
                          <a:latin typeface="Cambria Math" panose="02040503050406030204" pitchFamily="18" charset="0"/>
                          <a:ea typeface="Cambria Math" panose="02040503050406030204" pitchFamily="18" charset="0"/>
                        </a:rPr>
                        <m:t>𝒄</m:t>
                      </m:r>
                    </m:sub>
                  </m:sSub>
                </m:oMath>
              </a14:m>
              <a:r>
                <a:rPr lang="es-CO" sz="1400" b="1" i="1"/>
                <a:t> (mg</a:t>
              </a:r>
              <a:r>
                <a:rPr lang="es-CO" sz="1200" b="1" i="0"/>
                <a:t>)</a:t>
              </a:r>
            </a:p>
          </xdr:txBody>
        </xdr:sp>
      </mc:Choice>
      <mc:Fallback xmlns="">
        <xdr:sp macro="" textlink="">
          <xdr:nvSpPr>
            <xdr:cNvPr id="22" name="CuadroTexto 21">
              <a:extLst>
                <a:ext uri="{FF2B5EF4-FFF2-40B4-BE49-F238E27FC236}">
                  <a16:creationId xmlns:a16="http://schemas.microsoft.com/office/drawing/2014/main" id="{D45CEF39-52D5-41D6-95E2-F9803AD495D0}"/>
                </a:ext>
              </a:extLst>
            </xdr:cNvPr>
            <xdr:cNvSpPr txBox="1"/>
          </xdr:nvSpPr>
          <xdr:spPr>
            <a:xfrm>
              <a:off x="3201906" y="30062202"/>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400" b="1" i="0">
                  <a:latin typeface="Cambria Math" panose="02040503050406030204" pitchFamily="18" charset="0"/>
                  <a:ea typeface="Cambria Math" panose="02040503050406030204" pitchFamily="18" charset="0"/>
                </a:rPr>
                <a:t>∆𝒎_𝒄</a:t>
              </a:r>
              <a:r>
                <a:rPr lang="es-CO" sz="1400" b="1" i="1"/>
                <a:t> (mg</a:t>
              </a:r>
              <a:r>
                <a:rPr lang="es-CO" sz="1200" b="1" i="0"/>
                <a:t>)</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23" name="CuadroTexto 22">
              <a:extLst>
                <a:ext uri="{FF2B5EF4-FFF2-40B4-BE49-F238E27FC236}">
                  <a16:creationId xmlns:a16="http://schemas.microsoft.com/office/drawing/2014/main" id="{00000000-0008-0000-0100-000017000000}"/>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23" name="CuadroTexto 22">
              <a:extLst>
                <a:ext uri="{FF2B5EF4-FFF2-40B4-BE49-F238E27FC236}">
                  <a16:creationId xmlns:a16="http://schemas.microsoft.com/office/drawing/2014/main" id="{B10DF296-AF04-4D9A-B9FC-2811894D16FA}"/>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24" name="CuadroTexto 23">
          <a:extLst>
            <a:ext uri="{FF2B5EF4-FFF2-40B4-BE49-F238E27FC236}">
              <a16:creationId xmlns:a16="http://schemas.microsoft.com/office/drawing/2014/main" id="{00000000-0008-0000-0100-000018000000}"/>
            </a:ext>
          </a:extLst>
        </xdr:cNvPr>
        <xdr:cNvSpPr txBox="1"/>
      </xdr:nvSpPr>
      <xdr:spPr>
        <a:xfrm>
          <a:off x="4308613" y="1369501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25" name="CuadroTexto 24">
              <a:extLst>
                <a:ext uri="{FF2B5EF4-FFF2-40B4-BE49-F238E27FC236}">
                  <a16:creationId xmlns:a16="http://schemas.microsoft.com/office/drawing/2014/main" id="{00000000-0008-0000-0100-000019000000}"/>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5" name="CuadroTexto 24">
              <a:extLst>
                <a:ext uri="{FF2B5EF4-FFF2-40B4-BE49-F238E27FC236}">
                  <a16:creationId xmlns:a16="http://schemas.microsoft.com/office/drawing/2014/main" id="{B274290B-E7CE-4348-8E5D-F40D4710CE3C}"/>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26" name="CuadroTexto 25">
              <a:extLst>
                <a:ext uri="{FF2B5EF4-FFF2-40B4-BE49-F238E27FC236}">
                  <a16:creationId xmlns:a16="http://schemas.microsoft.com/office/drawing/2014/main" id="{00000000-0008-0000-0100-00001A000000}"/>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6" name="CuadroTexto 25">
              <a:extLst>
                <a:ext uri="{FF2B5EF4-FFF2-40B4-BE49-F238E27FC236}">
                  <a16:creationId xmlns:a16="http://schemas.microsoft.com/office/drawing/2014/main" id="{12B75BF6-E7AE-4EA4-AE9C-885D7E9ECC97}"/>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27" name="CuadroTexto 26">
              <a:extLst>
                <a:ext uri="{FF2B5EF4-FFF2-40B4-BE49-F238E27FC236}">
                  <a16:creationId xmlns:a16="http://schemas.microsoft.com/office/drawing/2014/main" id="{00000000-0008-0000-0100-00001B000000}"/>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7" name="CuadroTexto 26">
              <a:extLst>
                <a:ext uri="{FF2B5EF4-FFF2-40B4-BE49-F238E27FC236}">
                  <a16:creationId xmlns:a16="http://schemas.microsoft.com/office/drawing/2014/main" id="{814CB5C2-CBCA-45C0-B82E-20EA6CA712A4}"/>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8" name="CuadroTexto 27">
              <a:extLst>
                <a:ext uri="{FF2B5EF4-FFF2-40B4-BE49-F238E27FC236}">
                  <a16:creationId xmlns:a16="http://schemas.microsoft.com/office/drawing/2014/main" id="{00000000-0008-0000-0100-00001C000000}"/>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8" name="CuadroTexto 27">
              <a:extLst>
                <a:ext uri="{FF2B5EF4-FFF2-40B4-BE49-F238E27FC236}">
                  <a16:creationId xmlns:a16="http://schemas.microsoft.com/office/drawing/2014/main" id="{7F97EEE2-7FEB-4DF7-83D3-F18F67B24242}"/>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9" name="CuadroTexto 28">
          <a:extLst>
            <a:ext uri="{FF2B5EF4-FFF2-40B4-BE49-F238E27FC236}">
              <a16:creationId xmlns:a16="http://schemas.microsoft.com/office/drawing/2014/main" id="{00000000-0008-0000-0100-00001D000000}"/>
            </a:ext>
          </a:extLst>
        </xdr:cNvPr>
        <xdr:cNvSpPr txBox="1"/>
      </xdr:nvSpPr>
      <xdr:spPr>
        <a:xfrm>
          <a:off x="1376572" y="14521621"/>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30" name="CuadroTexto 29">
              <a:extLst>
                <a:ext uri="{FF2B5EF4-FFF2-40B4-BE49-F238E27FC236}">
                  <a16:creationId xmlns:a16="http://schemas.microsoft.com/office/drawing/2014/main" id="{00000000-0008-0000-0100-00001E000000}"/>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30" name="CuadroTexto 29">
              <a:extLst>
                <a:ext uri="{FF2B5EF4-FFF2-40B4-BE49-F238E27FC236}">
                  <a16:creationId xmlns:a16="http://schemas.microsoft.com/office/drawing/2014/main" id="{13A5FCA8-0211-42C4-ABDB-D4B9077F2A57}"/>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31" name="CuadroTexto 30">
          <a:extLst>
            <a:ext uri="{FF2B5EF4-FFF2-40B4-BE49-F238E27FC236}">
              <a16:creationId xmlns:a16="http://schemas.microsoft.com/office/drawing/2014/main" id="{00000000-0008-0000-0100-00001F000000}"/>
            </a:ext>
          </a:extLst>
        </xdr:cNvPr>
        <xdr:cNvSpPr txBox="1"/>
      </xdr:nvSpPr>
      <xdr:spPr>
        <a:xfrm>
          <a:off x="4308613" y="1369501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32" name="CuadroTexto 31">
              <a:extLst>
                <a:ext uri="{FF2B5EF4-FFF2-40B4-BE49-F238E27FC236}">
                  <a16:creationId xmlns:a16="http://schemas.microsoft.com/office/drawing/2014/main" id="{00000000-0008-0000-0100-000020000000}"/>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2" name="CuadroTexto 31">
              <a:extLst>
                <a:ext uri="{FF2B5EF4-FFF2-40B4-BE49-F238E27FC236}">
                  <a16:creationId xmlns:a16="http://schemas.microsoft.com/office/drawing/2014/main" id="{15FC6BA9-77B0-45ED-BBAF-2FF2755DF62C}"/>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33" name="CuadroTexto 32">
              <a:extLst>
                <a:ext uri="{FF2B5EF4-FFF2-40B4-BE49-F238E27FC236}">
                  <a16:creationId xmlns:a16="http://schemas.microsoft.com/office/drawing/2014/main" id="{00000000-0008-0000-0100-000021000000}"/>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3" name="CuadroTexto 32">
              <a:extLst>
                <a:ext uri="{FF2B5EF4-FFF2-40B4-BE49-F238E27FC236}">
                  <a16:creationId xmlns:a16="http://schemas.microsoft.com/office/drawing/2014/main" id="{34725349-CAF3-404F-BD48-7DB75DB79F01}"/>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34" name="CuadroTexto 33">
              <a:extLst>
                <a:ext uri="{FF2B5EF4-FFF2-40B4-BE49-F238E27FC236}">
                  <a16:creationId xmlns:a16="http://schemas.microsoft.com/office/drawing/2014/main" id="{00000000-0008-0000-0100-000022000000}"/>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4" name="CuadroTexto 33">
              <a:extLst>
                <a:ext uri="{FF2B5EF4-FFF2-40B4-BE49-F238E27FC236}">
                  <a16:creationId xmlns:a16="http://schemas.microsoft.com/office/drawing/2014/main" id="{77FD290F-37C5-4B6A-AA29-C0C1711CCA39}"/>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35" name="CuadroTexto 34">
              <a:extLst>
                <a:ext uri="{FF2B5EF4-FFF2-40B4-BE49-F238E27FC236}">
                  <a16:creationId xmlns:a16="http://schemas.microsoft.com/office/drawing/2014/main" id="{00000000-0008-0000-0100-000023000000}"/>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5" name="CuadroTexto 34">
              <a:extLst>
                <a:ext uri="{FF2B5EF4-FFF2-40B4-BE49-F238E27FC236}">
                  <a16:creationId xmlns:a16="http://schemas.microsoft.com/office/drawing/2014/main" id="{A9FBCC09-43C9-4D29-A88E-1916F00287C9}"/>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36" name="CuadroTexto 35">
          <a:extLst>
            <a:ext uri="{FF2B5EF4-FFF2-40B4-BE49-F238E27FC236}">
              <a16:creationId xmlns:a16="http://schemas.microsoft.com/office/drawing/2014/main" id="{00000000-0008-0000-0100-000024000000}"/>
            </a:ext>
          </a:extLst>
        </xdr:cNvPr>
        <xdr:cNvSpPr txBox="1"/>
      </xdr:nvSpPr>
      <xdr:spPr>
        <a:xfrm>
          <a:off x="1376572" y="14521621"/>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11</xdr:col>
      <xdr:colOff>628650</xdr:colOff>
      <xdr:row>61</xdr:row>
      <xdr:rowOff>0</xdr:rowOff>
    </xdr:from>
    <xdr:ext cx="65" cy="172227"/>
    <xdr:sp macro="" textlink="">
      <xdr:nvSpPr>
        <xdr:cNvPr id="37" name="CuadroTexto 36">
          <a:extLst>
            <a:ext uri="{FF2B5EF4-FFF2-40B4-BE49-F238E27FC236}">
              <a16:creationId xmlns:a16="http://schemas.microsoft.com/office/drawing/2014/main" id="{00000000-0008-0000-0100-000025000000}"/>
            </a:ext>
          </a:extLst>
        </xdr:cNvPr>
        <xdr:cNvSpPr txBox="1"/>
      </xdr:nvSpPr>
      <xdr:spPr>
        <a:xfrm>
          <a:off x="12693650" y="22707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5</xdr:col>
      <xdr:colOff>539750</xdr:colOff>
      <xdr:row>73</xdr:row>
      <xdr:rowOff>158749</xdr:rowOff>
    </xdr:from>
    <xdr:ext cx="984250" cy="210507"/>
    <mc:AlternateContent xmlns:mc="http://schemas.openxmlformats.org/markup-compatibility/2006" xmlns:a14="http://schemas.microsoft.com/office/drawing/2010/main">
      <mc:Choice Requires="a14">
        <xdr:sp macro="" textlink="">
          <xdr:nvSpPr>
            <xdr:cNvPr id="38" name="CuadroTexto 37">
              <a:extLst>
                <a:ext uri="{FF2B5EF4-FFF2-40B4-BE49-F238E27FC236}">
                  <a16:creationId xmlns:a16="http://schemas.microsoft.com/office/drawing/2014/main" id="{00000000-0008-0000-0100-000026000000}"/>
                </a:ext>
              </a:extLst>
            </xdr:cNvPr>
            <xdr:cNvSpPr txBox="1"/>
          </xdr:nvSpPr>
          <xdr:spPr>
            <a:xfrm>
              <a:off x="5778500" y="30079949"/>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𝒆</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38" name="CuadroTexto 37">
              <a:extLst>
                <a:ext uri="{FF2B5EF4-FFF2-40B4-BE49-F238E27FC236}">
                  <a16:creationId xmlns:a16="http://schemas.microsoft.com/office/drawing/2014/main" id="{1BAFD0F6-AF3D-4637-A3E6-0764ECFB969C}"/>
                </a:ext>
              </a:extLst>
            </xdr:cNvPr>
            <xdr:cNvSpPr txBox="1"/>
          </xdr:nvSpPr>
          <xdr:spPr>
            <a:xfrm>
              <a:off x="5778500" y="30079949"/>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𝒆 𝒄𝒕</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4</xdr:col>
      <xdr:colOff>52917</xdr:colOff>
      <xdr:row>73</xdr:row>
      <xdr:rowOff>148167</xdr:rowOff>
    </xdr:from>
    <xdr:ext cx="984250" cy="210507"/>
    <mc:AlternateContent xmlns:mc="http://schemas.openxmlformats.org/markup-compatibility/2006" xmlns:a14="http://schemas.microsoft.com/office/drawing/2010/main">
      <mc:Choice Requires="a14">
        <xdr:sp macro="" textlink="">
          <xdr:nvSpPr>
            <xdr:cNvPr id="39" name="CuadroTexto 38">
              <a:extLst>
                <a:ext uri="{FF2B5EF4-FFF2-40B4-BE49-F238E27FC236}">
                  <a16:creationId xmlns:a16="http://schemas.microsoft.com/office/drawing/2014/main" id="{00000000-0008-0000-0100-000027000000}"/>
                </a:ext>
              </a:extLst>
            </xdr:cNvPr>
            <xdr:cNvSpPr txBox="1"/>
          </xdr:nvSpPr>
          <xdr:spPr>
            <a:xfrm>
              <a:off x="4205817" y="30069367"/>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39" name="CuadroTexto 38">
              <a:extLst>
                <a:ext uri="{FF2B5EF4-FFF2-40B4-BE49-F238E27FC236}">
                  <a16:creationId xmlns:a16="http://schemas.microsoft.com/office/drawing/2014/main" xmlns:a14="http://schemas.microsoft.com/office/drawing/2010/main" xmlns="" id="{733184D5-C083-499E-9BF1-D6A9ABBD8ED2}"/>
                </a:ext>
              </a:extLst>
            </xdr:cNvPr>
            <xdr:cNvSpPr txBox="1"/>
          </xdr:nvSpPr>
          <xdr:spPr>
            <a:xfrm>
              <a:off x="4205817" y="30069367"/>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𝒄𝒕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1</xdr:col>
      <xdr:colOff>19843</xdr:colOff>
      <xdr:row>73</xdr:row>
      <xdr:rowOff>158750</xdr:rowOff>
    </xdr:from>
    <xdr:ext cx="924720" cy="210507"/>
    <mc:AlternateContent xmlns:mc="http://schemas.openxmlformats.org/markup-compatibility/2006" xmlns:a14="http://schemas.microsoft.com/office/drawing/2010/main">
      <mc:Choice Requires="a14">
        <xdr:sp macro="" textlink="">
          <xdr:nvSpPr>
            <xdr:cNvPr id="40" name="CuadroTexto 39">
              <a:extLst>
                <a:ext uri="{FF2B5EF4-FFF2-40B4-BE49-F238E27FC236}">
                  <a16:creationId xmlns:a16="http://schemas.microsoft.com/office/drawing/2014/main" id="{00000000-0008-0000-0100-000028000000}"/>
                </a:ext>
              </a:extLst>
            </xdr:cNvPr>
            <xdr:cNvSpPr txBox="1"/>
          </xdr:nvSpPr>
          <xdr:spPr>
            <a:xfrm>
              <a:off x="1051718" y="29972000"/>
              <a:ext cx="92472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𝑵𝒓</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0" name="CuadroTexto 39">
              <a:extLst>
                <a:ext uri="{FF2B5EF4-FFF2-40B4-BE49-F238E27FC236}">
                  <a16:creationId xmlns:a16="http://schemas.microsoft.com/office/drawing/2014/main" xmlns:a14="http://schemas.microsoft.com/office/drawing/2010/main" xmlns="" id="{F0176FFF-CBCE-474F-B0F2-1A3C08721004}"/>
                </a:ext>
              </a:extLst>
            </xdr:cNvPr>
            <xdr:cNvSpPr txBox="1"/>
          </xdr:nvSpPr>
          <xdr:spPr>
            <a:xfrm>
              <a:off x="1051718" y="29972000"/>
              <a:ext cx="92472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𝑵𝒓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8</xdr:col>
      <xdr:colOff>624417</xdr:colOff>
      <xdr:row>73</xdr:row>
      <xdr:rowOff>285751</xdr:rowOff>
    </xdr:from>
    <xdr:ext cx="1524000" cy="210507"/>
    <mc:AlternateContent xmlns:mc="http://schemas.openxmlformats.org/markup-compatibility/2006" xmlns:a14="http://schemas.microsoft.com/office/drawing/2010/main">
      <mc:Choice Requires="a14">
        <xdr:sp macro="" textlink="">
          <xdr:nvSpPr>
            <xdr:cNvPr id="41" name="CuadroTexto 40">
              <a:extLst>
                <a:ext uri="{FF2B5EF4-FFF2-40B4-BE49-F238E27FC236}">
                  <a16:creationId xmlns:a16="http://schemas.microsoft.com/office/drawing/2014/main" id="{00000000-0008-0000-0100-000029000000}"/>
                </a:ext>
              </a:extLst>
            </xdr:cNvPr>
            <xdr:cNvSpPr txBox="1"/>
          </xdr:nvSpPr>
          <xdr:spPr>
            <a:xfrm>
              <a:off x="9965267" y="30206951"/>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𝑼</m:t>
                  </m:r>
                  <m:r>
                    <a:rPr lang="es-CO" sz="1400" b="1" i="1">
                      <a:latin typeface="Cambria Math" panose="02040503050406030204" pitchFamily="18" charset="0"/>
                      <a:ea typeface="Cambria Math" panose="02040503050406030204" pitchFamily="18" charset="0"/>
                    </a:rPr>
                    <m:t> </m:t>
                  </m:r>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 </m:t>
                  </m:r>
                  <m:r>
                    <a:rPr lang="es-CO" sz="1400" b="1" i="1">
                      <a:latin typeface="Cambria Math" panose="02040503050406030204" pitchFamily="18" charset="0"/>
                      <a:ea typeface="Cambria Math" panose="02040503050406030204" pitchFamily="18" charset="0"/>
                    </a:rPr>
                    <m:t>𝒌</m:t>
                  </m:r>
                  <m:r>
                    <a:rPr lang="es-CO" sz="1400" b="1" i="1">
                      <a:latin typeface="Cambria Math" panose="02040503050406030204" pitchFamily="18" charset="0"/>
                      <a:ea typeface="Cambria Math" panose="02040503050406030204" pitchFamily="18" charset="0"/>
                    </a:rPr>
                    <m:t>=</m:t>
                  </m:r>
                  <m:r>
                    <a:rPr lang="es-CO" sz="1400" b="1" i="1">
                      <a:latin typeface="Cambria Math" panose="02040503050406030204" pitchFamily="18" charset="0"/>
                      <a:ea typeface="Cambria Math" panose="02040503050406030204" pitchFamily="18" charset="0"/>
                    </a:rPr>
                    <m:t>𝟐</m:t>
                  </m:r>
                </m:oMath>
              </a14:m>
              <a:r>
                <a:rPr lang="es-CO" sz="1400" b="1" i="1">
                  <a:latin typeface="Arial" panose="020B0604020202020204" pitchFamily="34" charset="0"/>
                  <a:cs typeface="Arial" panose="020B0604020202020204" pitchFamily="34" charset="0"/>
                </a:rPr>
                <a:t>)</a:t>
              </a:r>
            </a:p>
          </xdr:txBody>
        </xdr:sp>
      </mc:Choice>
      <mc:Fallback xmlns="">
        <xdr:sp macro="" textlink="">
          <xdr:nvSpPr>
            <xdr:cNvPr id="41" name="CuadroTexto 40">
              <a:extLst>
                <a:ext uri="{FF2B5EF4-FFF2-40B4-BE49-F238E27FC236}">
                  <a16:creationId xmlns:a16="http://schemas.microsoft.com/office/drawing/2014/main" id="{417C2BF3-AAE6-49F9-A1B7-02D4635FBDCD}"/>
                </a:ext>
              </a:extLst>
            </xdr:cNvPr>
            <xdr:cNvSpPr txBox="1"/>
          </xdr:nvSpPr>
          <xdr:spPr>
            <a:xfrm>
              <a:off x="9965267" y="30206951"/>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0">
                  <a:latin typeface="Cambria Math" panose="02040503050406030204" pitchFamily="18" charset="0"/>
                  <a:ea typeface="Cambria Math" panose="02040503050406030204" pitchFamily="18" charset="0"/>
                </a:rPr>
                <a:t>𝑼 ( 𝒎 𝒄𝒕 )  ( 𝒌=𝟐</a:t>
              </a:r>
              <a:r>
                <a:rPr lang="es-CO" sz="1400" b="1" i="1">
                  <a:latin typeface="Arial" panose="020B0604020202020204" pitchFamily="34" charset="0"/>
                  <a:cs typeface="Arial" panose="020B0604020202020204" pitchFamily="34" charset="0"/>
                </a:rPr>
                <a:t>)</a:t>
              </a:r>
            </a:p>
          </xdr:txBody>
        </xdr:sp>
      </mc:Fallback>
    </mc:AlternateContent>
    <xdr:clientData/>
  </xdr:oneCellAnchor>
  <xdr:oneCellAnchor>
    <xdr:from>
      <xdr:col>9</xdr:col>
      <xdr:colOff>603252</xdr:colOff>
      <xdr:row>74</xdr:row>
      <xdr:rowOff>84667</xdr:rowOff>
    </xdr:from>
    <xdr:ext cx="465666" cy="219163"/>
    <xdr:sp macro="" textlink="">
      <xdr:nvSpPr>
        <xdr:cNvPr id="42" name="CuadroTexto 41">
          <a:extLst>
            <a:ext uri="{FF2B5EF4-FFF2-40B4-BE49-F238E27FC236}">
              <a16:creationId xmlns:a16="http://schemas.microsoft.com/office/drawing/2014/main" id="{00000000-0008-0000-0100-00002A000000}"/>
            </a:ext>
          </a:extLst>
        </xdr:cNvPr>
        <xdr:cNvSpPr txBox="1"/>
      </xdr:nvSpPr>
      <xdr:spPr>
        <a:xfrm>
          <a:off x="10909302" y="30520217"/>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9</xdr:col>
      <xdr:colOff>571499</xdr:colOff>
      <xdr:row>75</xdr:row>
      <xdr:rowOff>116416</xdr:rowOff>
    </xdr:from>
    <xdr:ext cx="359835" cy="219163"/>
    <xdr:sp macro="" textlink="">
      <xdr:nvSpPr>
        <xdr:cNvPr id="43" name="CuadroTexto 42">
          <a:extLst>
            <a:ext uri="{FF2B5EF4-FFF2-40B4-BE49-F238E27FC236}">
              <a16:creationId xmlns:a16="http://schemas.microsoft.com/office/drawing/2014/main" id="{00000000-0008-0000-0100-00002B000000}"/>
            </a:ext>
          </a:extLst>
        </xdr:cNvPr>
        <xdr:cNvSpPr txBox="1"/>
      </xdr:nvSpPr>
      <xdr:spPr>
        <a:xfrm>
          <a:off x="10877549" y="30996466"/>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6</xdr:col>
      <xdr:colOff>275167</xdr:colOff>
      <xdr:row>74</xdr:row>
      <xdr:rowOff>148166</xdr:rowOff>
    </xdr:from>
    <xdr:ext cx="465666" cy="219163"/>
    <xdr:sp macro="" textlink="">
      <xdr:nvSpPr>
        <xdr:cNvPr id="44" name="CuadroTexto 43">
          <a:extLst>
            <a:ext uri="{FF2B5EF4-FFF2-40B4-BE49-F238E27FC236}">
              <a16:creationId xmlns:a16="http://schemas.microsoft.com/office/drawing/2014/main" id="{00000000-0008-0000-0100-00002C000000}"/>
            </a:ext>
          </a:extLst>
        </xdr:cNvPr>
        <xdr:cNvSpPr txBox="1"/>
      </xdr:nvSpPr>
      <xdr:spPr>
        <a:xfrm>
          <a:off x="6809317" y="30583716"/>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6</xdr:col>
      <xdr:colOff>328083</xdr:colOff>
      <xdr:row>75</xdr:row>
      <xdr:rowOff>84667</xdr:rowOff>
    </xdr:from>
    <xdr:ext cx="359835" cy="219163"/>
    <xdr:sp macro="" textlink="">
      <xdr:nvSpPr>
        <xdr:cNvPr id="45" name="CuadroTexto 44">
          <a:extLst>
            <a:ext uri="{FF2B5EF4-FFF2-40B4-BE49-F238E27FC236}">
              <a16:creationId xmlns:a16="http://schemas.microsoft.com/office/drawing/2014/main" id="{00000000-0008-0000-0100-00002D000000}"/>
            </a:ext>
          </a:extLst>
        </xdr:cNvPr>
        <xdr:cNvSpPr txBox="1"/>
      </xdr:nvSpPr>
      <xdr:spPr>
        <a:xfrm>
          <a:off x="6862233" y="30964717"/>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3</xdr:col>
      <xdr:colOff>560916</xdr:colOff>
      <xdr:row>72</xdr:row>
      <xdr:rowOff>74084</xdr:rowOff>
    </xdr:from>
    <xdr:ext cx="1524000" cy="210507"/>
    <mc:AlternateContent xmlns:mc="http://schemas.openxmlformats.org/markup-compatibility/2006" xmlns:a14="http://schemas.microsoft.com/office/drawing/2010/main">
      <mc:Choice Requires="a14">
        <xdr:sp macro="" textlink="">
          <xdr:nvSpPr>
            <xdr:cNvPr id="46" name="CuadroTexto 45">
              <a:extLst>
                <a:ext uri="{FF2B5EF4-FFF2-40B4-BE49-F238E27FC236}">
                  <a16:creationId xmlns:a16="http://schemas.microsoft.com/office/drawing/2014/main" id="{00000000-0008-0000-0100-00002E000000}"/>
                </a:ext>
              </a:extLst>
            </xdr:cNvPr>
            <xdr:cNvSpPr txBox="1"/>
          </xdr:nvSpPr>
          <xdr:spPr>
            <a:xfrm>
              <a:off x="3526366" y="29550784"/>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m:t>
                    </m:r>
                  </m:oMath>
                </m:oMathPara>
              </a14:m>
              <a:endParaRPr lang="es-CO" sz="1400" b="1" i="1">
                <a:latin typeface="Arial" panose="020B0604020202020204" pitchFamily="34" charset="0"/>
                <a:cs typeface="Arial" panose="020B0604020202020204" pitchFamily="34" charset="0"/>
              </a:endParaRPr>
            </a:p>
          </xdr:txBody>
        </xdr:sp>
      </mc:Choice>
      <mc:Fallback xmlns="">
        <xdr:sp macro="" textlink="">
          <xdr:nvSpPr>
            <xdr:cNvPr id="46" name="CuadroTexto 45">
              <a:extLst>
                <a:ext uri="{FF2B5EF4-FFF2-40B4-BE49-F238E27FC236}">
                  <a16:creationId xmlns:a16="http://schemas.microsoft.com/office/drawing/2014/main" id="{AFC42AA1-17DC-4F81-89C3-87090071FDAC}"/>
                </a:ext>
              </a:extLst>
            </xdr:cNvPr>
            <xdr:cNvSpPr txBox="1"/>
          </xdr:nvSpPr>
          <xdr:spPr>
            <a:xfrm>
              <a:off x="3526366" y="29550784"/>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 𝒎 𝒄𝒕 )   </a:t>
              </a:r>
              <a:endParaRPr lang="es-CO" sz="1400" b="1" i="1">
                <a:latin typeface="Arial" panose="020B0604020202020204" pitchFamily="34" charset="0"/>
                <a:cs typeface="Arial" panose="020B0604020202020204" pitchFamily="34" charset="0"/>
              </a:endParaRPr>
            </a:p>
          </xdr:txBody>
        </xdr:sp>
      </mc:Fallback>
    </mc:AlternateContent>
    <xdr:clientData/>
  </xdr:oneCellAnchor>
  <xdr:oneCellAnchor>
    <xdr:from>
      <xdr:col>7</xdr:col>
      <xdr:colOff>411956</xdr:colOff>
      <xdr:row>71</xdr:row>
      <xdr:rowOff>406003</xdr:rowOff>
    </xdr:from>
    <xdr:ext cx="65" cy="172227"/>
    <xdr:sp macro="" textlink="">
      <xdr:nvSpPr>
        <xdr:cNvPr id="47" name="CuadroTexto 46">
          <a:extLst>
            <a:ext uri="{FF2B5EF4-FFF2-40B4-BE49-F238E27FC236}">
              <a16:creationId xmlns:a16="http://schemas.microsoft.com/office/drawing/2014/main" id="{00000000-0008-0000-0100-00002F000000}"/>
            </a:ext>
          </a:extLst>
        </xdr:cNvPr>
        <xdr:cNvSpPr txBox="1"/>
      </xdr:nvSpPr>
      <xdr:spPr>
        <a:xfrm>
          <a:off x="8044656" y="29457253"/>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49" name="CuadroTexto 48">
              <a:extLst>
                <a:ext uri="{FF2B5EF4-FFF2-40B4-BE49-F238E27FC236}">
                  <a16:creationId xmlns:a16="http://schemas.microsoft.com/office/drawing/2014/main" id="{00000000-0008-0000-0100-000031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49" name="CuadroTexto 48">
              <a:extLst>
                <a:ext uri="{FF2B5EF4-FFF2-40B4-BE49-F238E27FC236}">
                  <a16:creationId xmlns:a16="http://schemas.microsoft.com/office/drawing/2014/main" id="{9F78240F-4EA3-439B-AAFB-ED2716D075BB}"/>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50" name="CuadroTexto 49">
              <a:extLst>
                <a:ext uri="{FF2B5EF4-FFF2-40B4-BE49-F238E27FC236}">
                  <a16:creationId xmlns:a16="http://schemas.microsoft.com/office/drawing/2014/main" id="{00000000-0008-0000-0100-000032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50" name="CuadroTexto 49">
              <a:extLst>
                <a:ext uri="{FF2B5EF4-FFF2-40B4-BE49-F238E27FC236}">
                  <a16:creationId xmlns:a16="http://schemas.microsoft.com/office/drawing/2014/main" id="{44EF212A-3708-43B7-8840-3E21CBAD29C7}"/>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twoCellAnchor>
    <xdr:from>
      <xdr:col>7</xdr:col>
      <xdr:colOff>738188</xdr:colOff>
      <xdr:row>62</xdr:row>
      <xdr:rowOff>301625</xdr:rowOff>
    </xdr:from>
    <xdr:to>
      <xdr:col>11</xdr:col>
      <xdr:colOff>674688</xdr:colOff>
      <xdr:row>64</xdr:row>
      <xdr:rowOff>571500</xdr:rowOff>
    </xdr:to>
    <xdr:graphicFrame macro="">
      <xdr:nvGraphicFramePr>
        <xdr:cNvPr id="51" name="Gráfico 50">
          <a:extLst>
            <a:ext uri="{FF2B5EF4-FFF2-40B4-BE49-F238E27FC236}">
              <a16:creationId xmlns:a16="http://schemas.microsoft.com/office/drawing/2014/main" id="{00000000-0008-0000-0100-00003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250031</xdr:colOff>
      <xdr:row>0</xdr:row>
      <xdr:rowOff>47625</xdr:rowOff>
    </xdr:from>
    <xdr:to>
      <xdr:col>1</xdr:col>
      <xdr:colOff>590568</xdr:colOff>
      <xdr:row>0</xdr:row>
      <xdr:rowOff>663374</xdr:rowOff>
    </xdr:to>
    <xdr:pic>
      <xdr:nvPicPr>
        <xdr:cNvPr id="52" name="51 Imagen">
          <a:extLst>
            <a:ext uri="{FF2B5EF4-FFF2-40B4-BE49-F238E27FC236}">
              <a16:creationId xmlns:a16="http://schemas.microsoft.com/office/drawing/2014/main" id="{00000000-0008-0000-0100-000034000000}"/>
            </a:ext>
          </a:extLst>
        </xdr:cNvPr>
        <xdr:cNvPicPr>
          <a:picLocks noChangeAspect="1"/>
        </xdr:cNvPicPr>
      </xdr:nvPicPr>
      <xdr:blipFill>
        <a:blip xmlns:r="http://schemas.openxmlformats.org/officeDocument/2006/relationships" r:embed="rId2"/>
        <a:stretch>
          <a:fillRect/>
        </a:stretch>
      </xdr:blipFill>
      <xdr:spPr>
        <a:xfrm>
          <a:off x="250031" y="47625"/>
          <a:ext cx="1316850" cy="615749"/>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oneCellAnchor>
    <xdr:from>
      <xdr:col>1</xdr:col>
      <xdr:colOff>285935</xdr:colOff>
      <xdr:row>42</xdr:row>
      <xdr:rowOff>169517</xdr:rowOff>
    </xdr:from>
    <xdr:ext cx="177356" cy="176202"/>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00000000-0008-0000-1300-000003000000}"/>
                </a:ext>
              </a:extLst>
            </xdr:cNvPr>
            <xdr:cNvSpPr txBox="1"/>
          </xdr:nvSpPr>
          <xdr:spPr>
            <a:xfrm>
              <a:off x="1124135" y="14980892"/>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bg1"/>
                            </a:solidFill>
                            <a:latin typeface="Cambria Math" panose="02040503050406030204" pitchFamily="18" charset="0"/>
                          </a:rPr>
                        </m:ctrlPr>
                      </m:accPr>
                      <m:e>
                        <m:r>
                          <a:rPr lang="es-CO" sz="1100" b="1" i="1">
                            <a:solidFill>
                              <a:schemeClr val="bg1"/>
                            </a:solidFill>
                            <a:latin typeface="Cambria Math" panose="02040503050406030204" pitchFamily="18" charset="0"/>
                            <a:ea typeface="Cambria Math" panose="02040503050406030204" pitchFamily="18" charset="0"/>
                          </a:rPr>
                          <m:t>∆</m:t>
                        </m:r>
                        <m:r>
                          <a:rPr lang="es-CO" sz="1100" b="1" i="1">
                            <a:solidFill>
                              <a:schemeClr val="bg1"/>
                            </a:solidFill>
                            <a:latin typeface="Cambria Math" panose="02040503050406030204" pitchFamily="18" charset="0"/>
                            <a:ea typeface="Cambria Math" panose="02040503050406030204" pitchFamily="18" charset="0"/>
                          </a:rPr>
                          <m:t>𝑰</m:t>
                        </m:r>
                      </m:e>
                    </m:acc>
                  </m:oMath>
                </m:oMathPara>
              </a14:m>
              <a:endParaRPr lang="es-CO" sz="1100" b="1">
                <a:solidFill>
                  <a:schemeClr val="bg1"/>
                </a:solidFill>
              </a:endParaRPr>
            </a:p>
          </xdr:txBody>
        </xdr:sp>
      </mc:Choice>
      <mc:Fallback xmlns="">
        <xdr:sp macro="" textlink="">
          <xdr:nvSpPr>
            <xdr:cNvPr id="3" name="CuadroTexto 2">
              <a:extLst>
                <a:ext uri="{FF2B5EF4-FFF2-40B4-BE49-F238E27FC236}">
                  <a16:creationId xmlns="" xmlns:a16="http://schemas.microsoft.com/office/drawing/2014/main" xmlns:a14="http://schemas.microsoft.com/office/drawing/2010/main" id="{00000000-0008-0000-1000-000003000000}"/>
                </a:ext>
              </a:extLst>
            </xdr:cNvPr>
            <xdr:cNvSpPr txBox="1"/>
          </xdr:nvSpPr>
          <xdr:spPr>
            <a:xfrm>
              <a:off x="1124135" y="14980892"/>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bg1"/>
                  </a:solidFill>
                  <a:latin typeface="Cambria Math" panose="02040503050406030204" pitchFamily="18" charset="0"/>
                </a:rPr>
                <a:t>(</a:t>
              </a:r>
              <a:r>
                <a:rPr lang="es-CO" sz="1100" b="1" i="0">
                  <a:solidFill>
                    <a:schemeClr val="bg1"/>
                  </a:solidFill>
                  <a:latin typeface="Cambria Math" panose="02040503050406030204" pitchFamily="18" charset="0"/>
                  <a:ea typeface="Cambria Math" panose="02040503050406030204" pitchFamily="18" charset="0"/>
                </a:rPr>
                <a:t>∆𝑰) ̅</a:t>
              </a:r>
              <a:endParaRPr lang="es-CO" sz="1100" b="1">
                <a:solidFill>
                  <a:schemeClr val="bg1"/>
                </a:solidFill>
              </a:endParaRPr>
            </a:p>
          </xdr:txBody>
        </xdr:sp>
      </mc:Fallback>
    </mc:AlternateContent>
    <xdr:clientData/>
  </xdr:oneCellAnchor>
  <xdr:oneCellAnchor>
    <xdr:from>
      <xdr:col>1</xdr:col>
      <xdr:colOff>136732</xdr:colOff>
      <xdr:row>58</xdr:row>
      <xdr:rowOff>253032</xdr:rowOff>
    </xdr:from>
    <xdr:ext cx="599716" cy="172227"/>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id="{00000000-0008-0000-1300-000004000000}"/>
                </a:ext>
              </a:extLst>
            </xdr:cNvPr>
            <xdr:cNvSpPr txBox="1"/>
          </xdr:nvSpPr>
          <xdr:spPr>
            <a:xfrm>
              <a:off x="974932" y="20779407"/>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𝒘</m:t>
                        </m:r>
                      </m:sub>
                    </m:sSub>
                    <m:r>
                      <a:rPr lang="es-CO" sz="1100" b="1" i="1">
                        <a:latin typeface="Cambria Math" panose="02040503050406030204" pitchFamily="18" charset="0"/>
                      </a:rPr>
                      <m:t>(</m:t>
                    </m:r>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4" name="CuadroTexto 3">
              <a:extLst>
                <a:ext uri="{FF2B5EF4-FFF2-40B4-BE49-F238E27FC236}">
                  <a16:creationId xmlns="" xmlns:a16="http://schemas.microsoft.com/office/drawing/2014/main" xmlns:a14="http://schemas.microsoft.com/office/drawing/2010/main" id="{00000000-0008-0000-1000-000004000000}"/>
                </a:ext>
              </a:extLst>
            </xdr:cNvPr>
            <xdr:cNvSpPr txBox="1"/>
          </xdr:nvSpPr>
          <xdr:spPr>
            <a:xfrm>
              <a:off x="974932" y="20779407"/>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𝒖_𝒘 (</a:t>
              </a: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1</xdr:col>
      <xdr:colOff>202651</xdr:colOff>
      <xdr:row>61</xdr:row>
      <xdr:rowOff>265287</xdr:rowOff>
    </xdr:from>
    <xdr:ext cx="483915" cy="172227"/>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id="{00000000-0008-0000-1300-000005000000}"/>
                </a:ext>
              </a:extLst>
            </xdr:cNvPr>
            <xdr:cNvSpPr txBox="1"/>
          </xdr:nvSpPr>
          <xdr:spPr>
            <a:xfrm>
              <a:off x="1040851" y="2299193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5" name="CuadroTexto 4">
              <a:extLst>
                <a:ext uri="{FF2B5EF4-FFF2-40B4-BE49-F238E27FC236}">
                  <a16:creationId xmlns="" xmlns:a16="http://schemas.microsoft.com/office/drawing/2014/main" xmlns:a14="http://schemas.microsoft.com/office/drawing/2010/main" id="{00000000-0008-0000-1000-000005000000}"/>
                </a:ext>
              </a:extLst>
            </xdr:cNvPr>
            <xdr:cNvSpPr txBox="1"/>
          </xdr:nvSpPr>
          <xdr:spPr>
            <a:xfrm>
              <a:off x="1040851" y="2299193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𝒖(𝒎_𝒄𝒓)</a:t>
              </a:r>
              <a:endParaRPr lang="es-CO" sz="1100" b="1"/>
            </a:p>
          </xdr:txBody>
        </xdr:sp>
      </mc:Fallback>
    </mc:AlternateContent>
    <xdr:clientData/>
  </xdr:oneCellAnchor>
  <xdr:oneCellAnchor>
    <xdr:from>
      <xdr:col>1</xdr:col>
      <xdr:colOff>34166</xdr:colOff>
      <xdr:row>60</xdr:row>
      <xdr:rowOff>250203</xdr:rowOff>
    </xdr:from>
    <xdr:ext cx="689483" cy="172227"/>
    <mc:AlternateContent xmlns:mc="http://schemas.openxmlformats.org/markup-compatibility/2006" xmlns:a14="http://schemas.microsoft.com/office/drawing/2010/main">
      <mc:Choice Requires="a14">
        <xdr:sp macro="" textlink="">
          <xdr:nvSpPr>
            <xdr:cNvPr id="6" name="CuadroTexto 5">
              <a:extLst>
                <a:ext uri="{FF2B5EF4-FFF2-40B4-BE49-F238E27FC236}">
                  <a16:creationId xmlns:a16="http://schemas.microsoft.com/office/drawing/2014/main" id="{00000000-0008-0000-1300-000006000000}"/>
                </a:ext>
              </a:extLst>
            </xdr:cNvPr>
            <xdr:cNvSpPr txBox="1"/>
          </xdr:nvSpPr>
          <xdr:spPr>
            <a:xfrm>
              <a:off x="872366" y="22243428"/>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𝒊𝒏𝒔𝒕</m:t>
                        </m:r>
                      </m:sub>
                    </m:sSub>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0" i="1">
                        <a:latin typeface="Cambria Math" panose="02040503050406030204" pitchFamily="18" charset="0"/>
                      </a:rPr>
                      <m:t>)</m:t>
                    </m:r>
                  </m:oMath>
                </m:oMathPara>
              </a14:m>
              <a:endParaRPr lang="es-CO" sz="1100"/>
            </a:p>
          </xdr:txBody>
        </xdr:sp>
      </mc:Choice>
      <mc:Fallback xmlns="">
        <xdr:sp macro="" textlink="">
          <xdr:nvSpPr>
            <xdr:cNvPr id="6" name="CuadroTexto 5">
              <a:extLst>
                <a:ext uri="{FF2B5EF4-FFF2-40B4-BE49-F238E27FC236}">
                  <a16:creationId xmlns="" xmlns:a16="http://schemas.microsoft.com/office/drawing/2014/main" xmlns:a14="http://schemas.microsoft.com/office/drawing/2010/main" id="{00000000-0008-0000-1000-000006000000}"/>
                </a:ext>
              </a:extLst>
            </xdr:cNvPr>
            <xdr:cNvSpPr txBox="1"/>
          </xdr:nvSpPr>
          <xdr:spPr>
            <a:xfrm>
              <a:off x="872366" y="22243428"/>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𝒖_𝒊𝒏𝒔𝒕 (𝒎_𝒄𝒓</a:t>
              </a:r>
              <a:r>
                <a:rPr lang="es-CO" sz="1100" b="0" i="0">
                  <a:latin typeface="Cambria Math" panose="02040503050406030204" pitchFamily="18" charset="0"/>
                </a:rPr>
                <a:t>)</a:t>
              </a:r>
              <a:endParaRPr lang="es-CO" sz="1100"/>
            </a:p>
          </xdr:txBody>
        </xdr:sp>
      </mc:Fallback>
    </mc:AlternateContent>
    <xdr:clientData/>
  </xdr:oneCellAnchor>
  <xdr:oneCellAnchor>
    <xdr:from>
      <xdr:col>1</xdr:col>
      <xdr:colOff>183870</xdr:colOff>
      <xdr:row>62</xdr:row>
      <xdr:rowOff>264645</xdr:rowOff>
    </xdr:from>
    <xdr:ext cx="397353" cy="172227"/>
    <mc:AlternateContent xmlns:mc="http://schemas.openxmlformats.org/markup-compatibility/2006" xmlns:a14="http://schemas.microsoft.com/office/drawing/2010/main">
      <mc:Choice Requires="a14">
        <xdr:sp macro="" textlink="">
          <xdr:nvSpPr>
            <xdr:cNvPr id="7" name="CuadroTexto 6">
              <a:extLst>
                <a:ext uri="{FF2B5EF4-FFF2-40B4-BE49-F238E27FC236}">
                  <a16:creationId xmlns:a16="http://schemas.microsoft.com/office/drawing/2014/main" id="{00000000-0008-0000-1300-000007000000}"/>
                </a:ext>
              </a:extLst>
            </xdr:cNvPr>
            <xdr:cNvSpPr txBox="1"/>
          </xdr:nvSpPr>
          <xdr:spPr>
            <a:xfrm>
              <a:off x="1022070" y="23724720"/>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𝒂</m:t>
                        </m:r>
                      </m:sub>
                    </m:sSub>
                    <m:r>
                      <a:rPr lang="es-CO" sz="1100" b="1" i="1">
                        <a:latin typeface="Cambria Math" panose="02040503050406030204" pitchFamily="18" charset="0"/>
                      </a:rPr>
                      <m:t>)</m:t>
                    </m:r>
                  </m:oMath>
                </m:oMathPara>
              </a14:m>
              <a:endParaRPr lang="es-CO" sz="1100" b="1"/>
            </a:p>
          </xdr:txBody>
        </xdr:sp>
      </mc:Choice>
      <mc:Fallback xmlns="">
        <xdr:sp macro="" textlink="">
          <xdr:nvSpPr>
            <xdr:cNvPr id="7" name="CuadroTexto 6">
              <a:extLst>
                <a:ext uri="{FF2B5EF4-FFF2-40B4-BE49-F238E27FC236}">
                  <a16:creationId xmlns="" xmlns:a16="http://schemas.microsoft.com/office/drawing/2014/main" xmlns:a14="http://schemas.microsoft.com/office/drawing/2010/main" id="{00000000-0008-0000-1000-000007000000}"/>
                </a:ext>
              </a:extLst>
            </xdr:cNvPr>
            <xdr:cNvSpPr txBox="1"/>
          </xdr:nvSpPr>
          <xdr:spPr>
            <a:xfrm>
              <a:off x="1022070" y="23724720"/>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𝒂)</a:t>
              </a:r>
              <a:endParaRPr lang="es-CO" sz="1100" b="1"/>
            </a:p>
          </xdr:txBody>
        </xdr:sp>
      </mc:Fallback>
    </mc:AlternateContent>
    <xdr:clientData/>
  </xdr:oneCellAnchor>
  <xdr:oneCellAnchor>
    <xdr:from>
      <xdr:col>1</xdr:col>
      <xdr:colOff>186298</xdr:colOff>
      <xdr:row>63</xdr:row>
      <xdr:rowOff>266606</xdr:rowOff>
    </xdr:from>
    <xdr:ext cx="376642" cy="172227"/>
    <mc:AlternateContent xmlns:mc="http://schemas.openxmlformats.org/markup-compatibility/2006" xmlns:a14="http://schemas.microsoft.com/office/drawing/2010/main">
      <mc:Choice Requires="a14">
        <xdr:sp macro="" textlink="">
          <xdr:nvSpPr>
            <xdr:cNvPr id="8" name="CuadroTexto 7">
              <a:extLst>
                <a:ext uri="{FF2B5EF4-FFF2-40B4-BE49-F238E27FC236}">
                  <a16:creationId xmlns:a16="http://schemas.microsoft.com/office/drawing/2014/main" id="{00000000-0008-0000-1300-000008000000}"/>
                </a:ext>
              </a:extLst>
            </xdr:cNvPr>
            <xdr:cNvSpPr txBox="1"/>
          </xdr:nvSpPr>
          <xdr:spPr>
            <a:xfrm>
              <a:off x="1024498" y="244601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𝒕</m:t>
                        </m:r>
                      </m:sub>
                    </m:sSub>
                    <m:r>
                      <a:rPr lang="es-CO" sz="1100" b="1" i="1">
                        <a:latin typeface="Cambria Math" panose="02040503050406030204" pitchFamily="18" charset="0"/>
                      </a:rPr>
                      <m:t>)</m:t>
                    </m:r>
                  </m:oMath>
                </m:oMathPara>
              </a14:m>
              <a:endParaRPr lang="es-CO" sz="1100" b="1"/>
            </a:p>
          </xdr:txBody>
        </xdr:sp>
      </mc:Choice>
      <mc:Fallback xmlns="">
        <xdr:sp macro="" textlink="">
          <xdr:nvSpPr>
            <xdr:cNvPr id="8" name="CuadroTexto 7">
              <a:extLst>
                <a:ext uri="{FF2B5EF4-FFF2-40B4-BE49-F238E27FC236}">
                  <a16:creationId xmlns="" xmlns:a16="http://schemas.microsoft.com/office/drawing/2014/main" xmlns:a14="http://schemas.microsoft.com/office/drawing/2010/main" id="{00000000-0008-0000-1000-000008000000}"/>
                </a:ext>
              </a:extLst>
            </xdr:cNvPr>
            <xdr:cNvSpPr txBox="1"/>
          </xdr:nvSpPr>
          <xdr:spPr>
            <a:xfrm>
              <a:off x="1024498" y="244601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𝒕)</a:t>
              </a:r>
              <a:endParaRPr lang="es-CO" sz="1100" b="1"/>
            </a:p>
          </xdr:txBody>
        </xdr:sp>
      </mc:Fallback>
    </mc:AlternateContent>
    <xdr:clientData/>
  </xdr:oneCellAnchor>
  <xdr:oneCellAnchor>
    <xdr:from>
      <xdr:col>1</xdr:col>
      <xdr:colOff>186298</xdr:colOff>
      <xdr:row>64</xdr:row>
      <xdr:rowOff>222250</xdr:rowOff>
    </xdr:from>
    <xdr:ext cx="388696" cy="172227"/>
    <mc:AlternateContent xmlns:mc="http://schemas.openxmlformats.org/markup-compatibility/2006" xmlns:a14="http://schemas.microsoft.com/office/drawing/2010/main">
      <mc:Choice Requires="a14">
        <xdr:sp macro="" textlink="">
          <xdr:nvSpPr>
            <xdr:cNvPr id="9" name="CuadroTexto 8">
              <a:extLst>
                <a:ext uri="{FF2B5EF4-FFF2-40B4-BE49-F238E27FC236}">
                  <a16:creationId xmlns:a16="http://schemas.microsoft.com/office/drawing/2014/main" id="{00000000-0008-0000-1300-000009000000}"/>
                </a:ext>
              </a:extLst>
            </xdr:cNvPr>
            <xdr:cNvSpPr txBox="1"/>
          </xdr:nvSpPr>
          <xdr:spPr>
            <a:xfrm>
              <a:off x="1024498" y="25149175"/>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9" name="CuadroTexto 8">
              <a:extLst>
                <a:ext uri="{FF2B5EF4-FFF2-40B4-BE49-F238E27FC236}">
                  <a16:creationId xmlns="" xmlns:a16="http://schemas.microsoft.com/office/drawing/2014/main" xmlns:a14="http://schemas.microsoft.com/office/drawing/2010/main" id="{00000000-0008-0000-1000-000009000000}"/>
                </a:ext>
              </a:extLst>
            </xdr:cNvPr>
            <xdr:cNvSpPr txBox="1"/>
          </xdr:nvSpPr>
          <xdr:spPr>
            <a:xfrm>
              <a:off x="1024498" y="25149175"/>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𝒓)</a:t>
              </a:r>
              <a:endParaRPr lang="es-CO" sz="1100" b="1"/>
            </a:p>
          </xdr:txBody>
        </xdr:sp>
      </mc:Fallback>
    </mc:AlternateContent>
    <xdr:clientData/>
  </xdr:oneCellAnchor>
  <xdr:oneCellAnchor>
    <xdr:from>
      <xdr:col>1</xdr:col>
      <xdr:colOff>265579</xdr:colOff>
      <xdr:row>65</xdr:row>
      <xdr:rowOff>288458</xdr:rowOff>
    </xdr:from>
    <xdr:ext cx="191271" cy="172227"/>
    <mc:AlternateContent xmlns:mc="http://schemas.openxmlformats.org/markup-compatibility/2006" xmlns:a14="http://schemas.microsoft.com/office/drawing/2010/main">
      <mc:Choice Requires="a14">
        <xdr:sp macro="" textlink="">
          <xdr:nvSpPr>
            <xdr:cNvPr id="10" name="CuadroTexto 9">
              <a:extLst>
                <a:ext uri="{FF2B5EF4-FFF2-40B4-BE49-F238E27FC236}">
                  <a16:creationId xmlns:a16="http://schemas.microsoft.com/office/drawing/2014/main" id="{00000000-0008-0000-1300-00000A000000}"/>
                </a:ext>
              </a:extLst>
            </xdr:cNvPr>
            <xdr:cNvSpPr txBox="1"/>
          </xdr:nvSpPr>
          <xdr:spPr>
            <a:xfrm>
              <a:off x="1103779" y="2594880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𝒃</m:t>
                        </m:r>
                      </m:sub>
                    </m:sSub>
                  </m:oMath>
                </m:oMathPara>
              </a14:m>
              <a:endParaRPr lang="es-CO" sz="1100" b="1"/>
            </a:p>
          </xdr:txBody>
        </xdr:sp>
      </mc:Choice>
      <mc:Fallback xmlns="">
        <xdr:sp macro="" textlink="">
          <xdr:nvSpPr>
            <xdr:cNvPr id="10" name="CuadroTexto 9">
              <a:extLst>
                <a:ext uri="{FF2B5EF4-FFF2-40B4-BE49-F238E27FC236}">
                  <a16:creationId xmlns="" xmlns:a16="http://schemas.microsoft.com/office/drawing/2014/main" xmlns:a14="http://schemas.microsoft.com/office/drawing/2010/main" id="{00000000-0008-0000-1000-00000A000000}"/>
                </a:ext>
              </a:extLst>
            </xdr:cNvPr>
            <xdr:cNvSpPr txBox="1"/>
          </xdr:nvSpPr>
          <xdr:spPr>
            <a:xfrm>
              <a:off x="1103779" y="2594880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𝒖_𝒃</a:t>
              </a:r>
              <a:endParaRPr lang="es-CO" sz="1100" b="1"/>
            </a:p>
          </xdr:txBody>
        </xdr:sp>
      </mc:Fallback>
    </mc:AlternateContent>
    <xdr:clientData/>
  </xdr:oneCellAnchor>
  <xdr:oneCellAnchor>
    <xdr:from>
      <xdr:col>1</xdr:col>
      <xdr:colOff>261391</xdr:colOff>
      <xdr:row>66</xdr:row>
      <xdr:rowOff>294234</xdr:rowOff>
    </xdr:from>
    <xdr:ext cx="195053" cy="172227"/>
    <mc:AlternateContent xmlns:mc="http://schemas.openxmlformats.org/markup-compatibility/2006" xmlns:a14="http://schemas.microsoft.com/office/drawing/2010/main">
      <mc:Choice Requires="a14">
        <xdr:sp macro="" textlink="">
          <xdr:nvSpPr>
            <xdr:cNvPr id="11" name="CuadroTexto 10">
              <a:extLst>
                <a:ext uri="{FF2B5EF4-FFF2-40B4-BE49-F238E27FC236}">
                  <a16:creationId xmlns:a16="http://schemas.microsoft.com/office/drawing/2014/main" id="{00000000-0008-0000-1300-00000B000000}"/>
                </a:ext>
              </a:extLst>
            </xdr:cNvPr>
            <xdr:cNvSpPr txBox="1"/>
          </xdr:nvSpPr>
          <xdr:spPr>
            <a:xfrm>
              <a:off x="1099591" y="26688009"/>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𝒅</m:t>
                        </m:r>
                      </m:sub>
                    </m:sSub>
                  </m:oMath>
                </m:oMathPara>
              </a14:m>
              <a:endParaRPr lang="es-CO" sz="1100" b="1"/>
            </a:p>
          </xdr:txBody>
        </xdr:sp>
      </mc:Choice>
      <mc:Fallback xmlns="">
        <xdr:sp macro="" textlink="">
          <xdr:nvSpPr>
            <xdr:cNvPr id="11" name="CuadroTexto 10">
              <a:extLst>
                <a:ext uri="{FF2B5EF4-FFF2-40B4-BE49-F238E27FC236}">
                  <a16:creationId xmlns="" xmlns:a16="http://schemas.microsoft.com/office/drawing/2014/main" xmlns:a14="http://schemas.microsoft.com/office/drawing/2010/main" id="{00000000-0008-0000-1000-00000B000000}"/>
                </a:ext>
              </a:extLst>
            </xdr:cNvPr>
            <xdr:cNvSpPr txBox="1"/>
          </xdr:nvSpPr>
          <xdr:spPr>
            <a:xfrm>
              <a:off x="1099591" y="26688009"/>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𝒖_𝒅</a:t>
              </a:r>
              <a:endParaRPr lang="es-CO" sz="1100" b="1"/>
            </a:p>
          </xdr:txBody>
        </xdr:sp>
      </mc:Fallback>
    </mc:AlternateContent>
    <xdr:clientData/>
  </xdr:oneCellAnchor>
  <xdr:oneCellAnchor>
    <xdr:from>
      <xdr:col>5</xdr:col>
      <xdr:colOff>393571</xdr:colOff>
      <xdr:row>69</xdr:row>
      <xdr:rowOff>265119</xdr:rowOff>
    </xdr:from>
    <xdr:ext cx="529697" cy="172227"/>
    <mc:AlternateContent xmlns:mc="http://schemas.openxmlformats.org/markup-compatibility/2006" xmlns:a14="http://schemas.microsoft.com/office/drawing/2010/main">
      <mc:Choice Requires="a14">
        <xdr:sp macro="" textlink="">
          <xdr:nvSpPr>
            <xdr:cNvPr id="12" name="CuadroTexto 11">
              <a:extLst>
                <a:ext uri="{FF2B5EF4-FFF2-40B4-BE49-F238E27FC236}">
                  <a16:creationId xmlns:a16="http://schemas.microsoft.com/office/drawing/2014/main" id="{00000000-0008-0000-1300-00000C000000}"/>
                </a:ext>
              </a:extLst>
            </xdr:cNvPr>
            <xdr:cNvSpPr txBox="1"/>
          </xdr:nvSpPr>
          <xdr:spPr>
            <a:xfrm>
              <a:off x="5251321" y="28220994"/>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𝒄</m:t>
                        </m:r>
                      </m:sub>
                    </m:sSub>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12" name="CuadroTexto 11">
              <a:extLst>
                <a:ext uri="{FF2B5EF4-FFF2-40B4-BE49-F238E27FC236}">
                  <a16:creationId xmlns="" xmlns:a16="http://schemas.microsoft.com/office/drawing/2014/main" xmlns:a14="http://schemas.microsoft.com/office/drawing/2010/main" id="{00000000-0008-0000-1000-00000C000000}"/>
                </a:ext>
              </a:extLst>
            </xdr:cNvPr>
            <xdr:cNvSpPr txBox="1"/>
          </xdr:nvSpPr>
          <xdr:spPr>
            <a:xfrm>
              <a:off x="5251321" y="28220994"/>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𝒖_𝒄 (</a:t>
              </a:r>
              <a:r>
                <a:rPr lang="es-CO" sz="1100" b="1" i="0">
                  <a:latin typeface="Cambria Math" panose="02040503050406030204" pitchFamily="18" charset="0"/>
                  <a:ea typeface="Cambria Math" panose="02040503050406030204" pitchFamily="18" charset="0"/>
                </a:rPr>
                <a:t>𝒎_𝒄𝒕)</a:t>
              </a:r>
              <a:endParaRPr lang="es-CO" sz="1100" b="1"/>
            </a:p>
          </xdr:txBody>
        </xdr:sp>
      </mc:Fallback>
    </mc:AlternateContent>
    <xdr:clientData/>
  </xdr:oneCellAnchor>
  <xdr:oneCellAnchor>
    <xdr:from>
      <xdr:col>5</xdr:col>
      <xdr:colOff>243965</xdr:colOff>
      <xdr:row>70</xdr:row>
      <xdr:rowOff>130277</xdr:rowOff>
    </xdr:from>
    <xdr:ext cx="780598" cy="172227"/>
    <mc:AlternateContent xmlns:mc="http://schemas.openxmlformats.org/markup-compatibility/2006" xmlns:a14="http://schemas.microsoft.com/office/drawing/2010/main">
      <mc:Choice Requires="a14">
        <xdr:sp macro="" textlink="">
          <xdr:nvSpPr>
            <xdr:cNvPr id="13" name="CuadroTexto 12">
              <a:extLst>
                <a:ext uri="{FF2B5EF4-FFF2-40B4-BE49-F238E27FC236}">
                  <a16:creationId xmlns:a16="http://schemas.microsoft.com/office/drawing/2014/main" id="{00000000-0008-0000-1300-00000D000000}"/>
                </a:ext>
              </a:extLst>
            </xdr:cNvPr>
            <xdr:cNvSpPr txBox="1"/>
          </xdr:nvSpPr>
          <xdr:spPr>
            <a:xfrm>
              <a:off x="5101715" y="2874337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100" b="1" i="1">
                      <a:latin typeface="Cambria Math" panose="02040503050406030204" pitchFamily="18" charset="0"/>
                    </a:rPr>
                    <m:t>𝑼</m:t>
                  </m:r>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a14:m>
              <a:r>
                <a:rPr lang="es-CO" sz="1100" b="1"/>
                <a:t> (k=2)</a:t>
              </a:r>
            </a:p>
          </xdr:txBody>
        </xdr:sp>
      </mc:Choice>
      <mc:Fallback xmlns="">
        <xdr:sp macro="" textlink="">
          <xdr:nvSpPr>
            <xdr:cNvPr id="13" name="CuadroTexto 12">
              <a:extLst>
                <a:ext uri="{FF2B5EF4-FFF2-40B4-BE49-F238E27FC236}">
                  <a16:creationId xmlns="" xmlns:a16="http://schemas.microsoft.com/office/drawing/2014/main" xmlns:a14="http://schemas.microsoft.com/office/drawing/2010/main" id="{00000000-0008-0000-1000-00000D000000}"/>
                </a:ext>
              </a:extLst>
            </xdr:cNvPr>
            <xdr:cNvSpPr txBox="1"/>
          </xdr:nvSpPr>
          <xdr:spPr>
            <a:xfrm>
              <a:off x="5101715" y="2874337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100" b="1" i="0">
                  <a:latin typeface="Cambria Math" panose="02040503050406030204" pitchFamily="18" charset="0"/>
                </a:rPr>
                <a:t>𝑼(</a:t>
              </a:r>
              <a:r>
                <a:rPr lang="es-CO" sz="1100" b="1" i="0">
                  <a:latin typeface="Cambria Math" panose="02040503050406030204" pitchFamily="18" charset="0"/>
                  <a:ea typeface="Cambria Math" panose="02040503050406030204" pitchFamily="18" charset="0"/>
                </a:rPr>
                <a:t>𝒎_𝒄𝒕)</a:t>
              </a:r>
              <a:r>
                <a:rPr lang="es-CO" sz="1100" b="1"/>
                <a:t> (k=2)</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14" name="CuadroTexto 13">
              <a:extLst>
                <a:ext uri="{FF2B5EF4-FFF2-40B4-BE49-F238E27FC236}">
                  <a16:creationId xmlns:a16="http://schemas.microsoft.com/office/drawing/2014/main" id="{00000000-0008-0000-1300-00000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14" name="CuadroTexto 13">
              <a:extLst>
                <a:ext uri="{FF2B5EF4-FFF2-40B4-BE49-F238E27FC236}">
                  <a16:creationId xmlns="" xmlns:a16="http://schemas.microsoft.com/office/drawing/2014/main" xmlns:a14="http://schemas.microsoft.com/office/drawing/2010/main" id="{00000000-0008-0000-1000-00000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8</xdr:col>
      <xdr:colOff>541269</xdr:colOff>
      <xdr:row>52</xdr:row>
      <xdr:rowOff>78683</xdr:rowOff>
    </xdr:from>
    <xdr:ext cx="304571" cy="172227"/>
    <mc:AlternateContent xmlns:mc="http://schemas.openxmlformats.org/markup-compatibility/2006" xmlns:a14="http://schemas.microsoft.com/office/drawing/2010/main">
      <mc:Choice Requires="a14">
        <xdr:sp macro="" textlink="">
          <xdr:nvSpPr>
            <xdr:cNvPr id="15" name="CuadroTexto 14">
              <a:extLst>
                <a:ext uri="{FF2B5EF4-FFF2-40B4-BE49-F238E27FC236}">
                  <a16:creationId xmlns:a16="http://schemas.microsoft.com/office/drawing/2014/main" id="{00000000-0008-0000-1300-00000F000000}"/>
                </a:ext>
              </a:extLst>
            </xdr:cNvPr>
            <xdr:cNvSpPr txBox="1"/>
          </xdr:nvSpPr>
          <xdr:spPr>
            <a:xfrm>
              <a:off x="9313794" y="18623858"/>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oMath>
                </m:oMathPara>
              </a14:m>
              <a:endParaRPr lang="es-CO" sz="1100" b="1"/>
            </a:p>
          </xdr:txBody>
        </xdr:sp>
      </mc:Choice>
      <mc:Fallback xmlns="">
        <xdr:sp macro="" textlink="">
          <xdr:nvSpPr>
            <xdr:cNvPr id="15" name="CuadroTexto 14">
              <a:extLst>
                <a:ext uri="{FF2B5EF4-FFF2-40B4-BE49-F238E27FC236}">
                  <a16:creationId xmlns="" xmlns:a16="http://schemas.microsoft.com/office/drawing/2014/main" xmlns:a14="http://schemas.microsoft.com/office/drawing/2010/main" id="{00000000-0008-0000-1000-00000F000000}"/>
                </a:ext>
              </a:extLst>
            </xdr:cNvPr>
            <xdr:cNvSpPr txBox="1"/>
          </xdr:nvSpPr>
          <xdr:spPr>
            <a:xfrm>
              <a:off x="9313794" y="18623858"/>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4</xdr:col>
      <xdr:colOff>155713</xdr:colOff>
      <xdr:row>39</xdr:row>
      <xdr:rowOff>106017</xdr:rowOff>
    </xdr:from>
    <xdr:ext cx="65" cy="172227"/>
    <xdr:sp macro="" textlink="">
      <xdr:nvSpPr>
        <xdr:cNvPr id="16" name="CuadroTexto 15">
          <a:extLst>
            <a:ext uri="{FF2B5EF4-FFF2-40B4-BE49-F238E27FC236}">
              <a16:creationId xmlns:a16="http://schemas.microsoft.com/office/drawing/2014/main" id="{00000000-0008-0000-1300-000010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17" name="CuadroTexto 16">
              <a:extLst>
                <a:ext uri="{FF2B5EF4-FFF2-40B4-BE49-F238E27FC236}">
                  <a16:creationId xmlns:a16="http://schemas.microsoft.com/office/drawing/2014/main" id="{00000000-0008-0000-1300-000011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7" name="CuadroTexto 16">
              <a:extLst>
                <a:ext uri="{FF2B5EF4-FFF2-40B4-BE49-F238E27FC236}">
                  <a16:creationId xmlns="" xmlns:a16="http://schemas.microsoft.com/office/drawing/2014/main" xmlns:a14="http://schemas.microsoft.com/office/drawing/2010/main" id="{00000000-0008-0000-1000-000011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18" name="CuadroTexto 17">
              <a:extLst>
                <a:ext uri="{FF2B5EF4-FFF2-40B4-BE49-F238E27FC236}">
                  <a16:creationId xmlns:a16="http://schemas.microsoft.com/office/drawing/2014/main" id="{00000000-0008-0000-1300-000012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18" name="CuadroTexto 17">
              <a:extLst>
                <a:ext uri="{FF2B5EF4-FFF2-40B4-BE49-F238E27FC236}">
                  <a16:creationId xmlns="" xmlns:a16="http://schemas.microsoft.com/office/drawing/2014/main" xmlns:a14="http://schemas.microsoft.com/office/drawing/2010/main" id="{00000000-0008-0000-1000-000012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19" name="CuadroTexto 18">
              <a:extLst>
                <a:ext uri="{FF2B5EF4-FFF2-40B4-BE49-F238E27FC236}">
                  <a16:creationId xmlns:a16="http://schemas.microsoft.com/office/drawing/2014/main" id="{00000000-0008-0000-1300-000013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9" name="CuadroTexto 18">
              <a:extLst>
                <a:ext uri="{FF2B5EF4-FFF2-40B4-BE49-F238E27FC236}">
                  <a16:creationId xmlns="" xmlns:a16="http://schemas.microsoft.com/office/drawing/2014/main" xmlns:a14="http://schemas.microsoft.com/office/drawing/2010/main" id="{00000000-0008-0000-1000-000013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0" name="CuadroTexto 19">
              <a:extLst>
                <a:ext uri="{FF2B5EF4-FFF2-40B4-BE49-F238E27FC236}">
                  <a16:creationId xmlns:a16="http://schemas.microsoft.com/office/drawing/2014/main" id="{00000000-0008-0000-1300-000014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0" name="CuadroTexto 19">
              <a:extLst>
                <a:ext uri="{FF2B5EF4-FFF2-40B4-BE49-F238E27FC236}">
                  <a16:creationId xmlns="" xmlns:a16="http://schemas.microsoft.com/office/drawing/2014/main" xmlns:a14="http://schemas.microsoft.com/office/drawing/2010/main" id="{00000000-0008-0000-1000-000014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1" name="CuadroTexto 20">
          <a:extLst>
            <a:ext uri="{FF2B5EF4-FFF2-40B4-BE49-F238E27FC236}">
              <a16:creationId xmlns:a16="http://schemas.microsoft.com/office/drawing/2014/main" id="{00000000-0008-0000-1300-000015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3</xdr:col>
      <xdr:colOff>236456</xdr:colOff>
      <xdr:row>73</xdr:row>
      <xdr:rowOff>141002</xdr:rowOff>
    </xdr:from>
    <xdr:ext cx="730521" cy="219163"/>
    <mc:AlternateContent xmlns:mc="http://schemas.openxmlformats.org/markup-compatibility/2006" xmlns:a14="http://schemas.microsoft.com/office/drawing/2010/main">
      <mc:Choice Requires="a14">
        <xdr:sp macro="" textlink="">
          <xdr:nvSpPr>
            <xdr:cNvPr id="22" name="CuadroTexto 21">
              <a:extLst>
                <a:ext uri="{FF2B5EF4-FFF2-40B4-BE49-F238E27FC236}">
                  <a16:creationId xmlns:a16="http://schemas.microsoft.com/office/drawing/2014/main" id="{00000000-0008-0000-1300-000016000000}"/>
                </a:ext>
              </a:extLst>
            </xdr:cNvPr>
            <xdr:cNvSpPr txBox="1"/>
          </xdr:nvSpPr>
          <xdr:spPr>
            <a:xfrm>
              <a:off x="2922506" y="30059027"/>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m:t>
                  </m:r>
                  <m:sSub>
                    <m:sSubPr>
                      <m:ctrlPr>
                        <a:rPr lang="es-CO" sz="1400" b="1" i="1">
                          <a:latin typeface="Cambria Math" panose="02040503050406030204" pitchFamily="18" charset="0"/>
                          <a:ea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𝒎</m:t>
                      </m:r>
                    </m:e>
                    <m:sub>
                      <m:r>
                        <a:rPr lang="es-CO" sz="1400" b="1" i="1">
                          <a:latin typeface="Cambria Math" panose="02040503050406030204" pitchFamily="18" charset="0"/>
                          <a:ea typeface="Cambria Math" panose="02040503050406030204" pitchFamily="18" charset="0"/>
                        </a:rPr>
                        <m:t>𝒄</m:t>
                      </m:r>
                    </m:sub>
                  </m:sSub>
                </m:oMath>
              </a14:m>
              <a:r>
                <a:rPr lang="es-CO" sz="1400" b="1" i="1"/>
                <a:t> (mg</a:t>
              </a:r>
              <a:r>
                <a:rPr lang="es-CO" sz="1200" b="1" i="0"/>
                <a:t>)</a:t>
              </a:r>
            </a:p>
          </xdr:txBody>
        </xdr:sp>
      </mc:Choice>
      <mc:Fallback xmlns="">
        <xdr:sp macro="" textlink="">
          <xdr:nvSpPr>
            <xdr:cNvPr id="22" name="CuadroTexto 21">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2922506" y="30059027"/>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400" b="1" i="0">
                  <a:latin typeface="Cambria Math" panose="02040503050406030204" pitchFamily="18" charset="0"/>
                  <a:ea typeface="Cambria Math" panose="02040503050406030204" pitchFamily="18" charset="0"/>
                </a:rPr>
                <a:t>∆𝒎_𝒄</a:t>
              </a:r>
              <a:r>
                <a:rPr lang="es-CO" sz="1400" b="1" i="1"/>
                <a:t> (mg</a:t>
              </a:r>
              <a:r>
                <a:rPr lang="es-CO" sz="1200" b="1" i="0"/>
                <a:t>)</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23" name="CuadroTexto 22">
              <a:extLst>
                <a:ext uri="{FF2B5EF4-FFF2-40B4-BE49-F238E27FC236}">
                  <a16:creationId xmlns:a16="http://schemas.microsoft.com/office/drawing/2014/main" id="{00000000-0008-0000-1300-000017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23" name="CuadroTexto 22">
              <a:extLst>
                <a:ext uri="{FF2B5EF4-FFF2-40B4-BE49-F238E27FC236}">
                  <a16:creationId xmlns="" xmlns:a16="http://schemas.microsoft.com/office/drawing/2014/main" xmlns:a14="http://schemas.microsoft.com/office/drawing/2010/main" id="{00000000-0008-0000-1000-000023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24" name="CuadroTexto 23">
          <a:extLst>
            <a:ext uri="{FF2B5EF4-FFF2-40B4-BE49-F238E27FC236}">
              <a16:creationId xmlns:a16="http://schemas.microsoft.com/office/drawing/2014/main" id="{00000000-0008-0000-1300-000018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25" name="CuadroTexto 24">
              <a:extLst>
                <a:ext uri="{FF2B5EF4-FFF2-40B4-BE49-F238E27FC236}">
                  <a16:creationId xmlns:a16="http://schemas.microsoft.com/office/drawing/2014/main" id="{00000000-0008-0000-1300-000019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5" name="CuadroTexto 24">
              <a:extLst>
                <a:ext uri="{FF2B5EF4-FFF2-40B4-BE49-F238E27FC236}">
                  <a16:creationId xmlns="" xmlns:a16="http://schemas.microsoft.com/office/drawing/2014/main" xmlns:a14="http://schemas.microsoft.com/office/drawing/2010/main" id="{00000000-0008-0000-1000-000026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26" name="CuadroTexto 25">
              <a:extLst>
                <a:ext uri="{FF2B5EF4-FFF2-40B4-BE49-F238E27FC236}">
                  <a16:creationId xmlns:a16="http://schemas.microsoft.com/office/drawing/2014/main" id="{00000000-0008-0000-1300-00001A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6" name="CuadroTexto 25">
              <a:extLst>
                <a:ext uri="{FF2B5EF4-FFF2-40B4-BE49-F238E27FC236}">
                  <a16:creationId xmlns="" xmlns:a16="http://schemas.microsoft.com/office/drawing/2014/main" xmlns:a14="http://schemas.microsoft.com/office/drawing/2010/main" id="{00000000-0008-0000-1000-000027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27" name="CuadroTexto 26">
              <a:extLst>
                <a:ext uri="{FF2B5EF4-FFF2-40B4-BE49-F238E27FC236}">
                  <a16:creationId xmlns:a16="http://schemas.microsoft.com/office/drawing/2014/main" id="{00000000-0008-0000-1300-00001B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7" name="CuadroTexto 26">
              <a:extLst>
                <a:ext uri="{FF2B5EF4-FFF2-40B4-BE49-F238E27FC236}">
                  <a16:creationId xmlns="" xmlns:a16="http://schemas.microsoft.com/office/drawing/2014/main" xmlns:a14="http://schemas.microsoft.com/office/drawing/2010/main" id="{00000000-0008-0000-1000-000028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8" name="CuadroTexto 27">
              <a:extLst>
                <a:ext uri="{FF2B5EF4-FFF2-40B4-BE49-F238E27FC236}">
                  <a16:creationId xmlns:a16="http://schemas.microsoft.com/office/drawing/2014/main" id="{00000000-0008-0000-1300-00001C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8" name="CuadroTexto 27">
              <a:extLst>
                <a:ext uri="{FF2B5EF4-FFF2-40B4-BE49-F238E27FC236}">
                  <a16:creationId xmlns="" xmlns:a16="http://schemas.microsoft.com/office/drawing/2014/main" xmlns:a14="http://schemas.microsoft.com/office/drawing/2010/main" id="{00000000-0008-0000-1000-000029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9" name="CuadroTexto 28">
          <a:extLst>
            <a:ext uri="{FF2B5EF4-FFF2-40B4-BE49-F238E27FC236}">
              <a16:creationId xmlns:a16="http://schemas.microsoft.com/office/drawing/2014/main" id="{00000000-0008-0000-1300-00001D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30" name="CuadroTexto 29">
              <a:extLst>
                <a:ext uri="{FF2B5EF4-FFF2-40B4-BE49-F238E27FC236}">
                  <a16:creationId xmlns:a16="http://schemas.microsoft.com/office/drawing/2014/main" id="{00000000-0008-0000-1300-00001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30" name="CuadroTexto 29">
              <a:extLst>
                <a:ext uri="{FF2B5EF4-FFF2-40B4-BE49-F238E27FC236}">
                  <a16:creationId xmlns="" xmlns:a16="http://schemas.microsoft.com/office/drawing/2014/main" xmlns:a14="http://schemas.microsoft.com/office/drawing/2010/main" id="{00000000-0008-0000-1000-000038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31" name="CuadroTexto 30">
          <a:extLst>
            <a:ext uri="{FF2B5EF4-FFF2-40B4-BE49-F238E27FC236}">
              <a16:creationId xmlns:a16="http://schemas.microsoft.com/office/drawing/2014/main" id="{00000000-0008-0000-1300-00001F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32" name="CuadroTexto 31">
              <a:extLst>
                <a:ext uri="{FF2B5EF4-FFF2-40B4-BE49-F238E27FC236}">
                  <a16:creationId xmlns:a16="http://schemas.microsoft.com/office/drawing/2014/main" id="{00000000-0008-0000-1300-000020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2" name="CuadroTexto 31">
              <a:extLst>
                <a:ext uri="{FF2B5EF4-FFF2-40B4-BE49-F238E27FC236}">
                  <a16:creationId xmlns="" xmlns:a16="http://schemas.microsoft.com/office/drawing/2014/main" xmlns:a14="http://schemas.microsoft.com/office/drawing/2010/main" id="{00000000-0008-0000-1000-00003B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33" name="CuadroTexto 32">
              <a:extLst>
                <a:ext uri="{FF2B5EF4-FFF2-40B4-BE49-F238E27FC236}">
                  <a16:creationId xmlns:a16="http://schemas.microsoft.com/office/drawing/2014/main" id="{00000000-0008-0000-1300-000021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3" name="CuadroTexto 32">
              <a:extLst>
                <a:ext uri="{FF2B5EF4-FFF2-40B4-BE49-F238E27FC236}">
                  <a16:creationId xmlns="" xmlns:a16="http://schemas.microsoft.com/office/drawing/2014/main" xmlns:a14="http://schemas.microsoft.com/office/drawing/2010/main" id="{00000000-0008-0000-1000-00003C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34" name="CuadroTexto 33">
              <a:extLst>
                <a:ext uri="{FF2B5EF4-FFF2-40B4-BE49-F238E27FC236}">
                  <a16:creationId xmlns:a16="http://schemas.microsoft.com/office/drawing/2014/main" id="{00000000-0008-0000-1300-000022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4" name="CuadroTexto 33">
              <a:extLst>
                <a:ext uri="{FF2B5EF4-FFF2-40B4-BE49-F238E27FC236}">
                  <a16:creationId xmlns="" xmlns:a16="http://schemas.microsoft.com/office/drawing/2014/main" xmlns:a14="http://schemas.microsoft.com/office/drawing/2010/main" id="{00000000-0008-0000-1000-00003D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35" name="CuadroTexto 34">
              <a:extLst>
                <a:ext uri="{FF2B5EF4-FFF2-40B4-BE49-F238E27FC236}">
                  <a16:creationId xmlns:a16="http://schemas.microsoft.com/office/drawing/2014/main" id="{00000000-0008-0000-1300-000023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5" name="CuadroTexto 34">
              <a:extLst>
                <a:ext uri="{FF2B5EF4-FFF2-40B4-BE49-F238E27FC236}">
                  <a16:creationId xmlns="" xmlns:a16="http://schemas.microsoft.com/office/drawing/2014/main" xmlns:a14="http://schemas.microsoft.com/office/drawing/2010/main" id="{00000000-0008-0000-1000-00003E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36" name="CuadroTexto 35">
          <a:extLst>
            <a:ext uri="{FF2B5EF4-FFF2-40B4-BE49-F238E27FC236}">
              <a16:creationId xmlns:a16="http://schemas.microsoft.com/office/drawing/2014/main" id="{00000000-0008-0000-1300-000024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11</xdr:col>
      <xdr:colOff>628650</xdr:colOff>
      <xdr:row>61</xdr:row>
      <xdr:rowOff>0</xdr:rowOff>
    </xdr:from>
    <xdr:ext cx="65" cy="172227"/>
    <xdr:sp macro="" textlink="">
      <xdr:nvSpPr>
        <xdr:cNvPr id="38" name="CuadroTexto 37">
          <a:extLst>
            <a:ext uri="{FF2B5EF4-FFF2-40B4-BE49-F238E27FC236}">
              <a16:creationId xmlns:a16="http://schemas.microsoft.com/office/drawing/2014/main" id="{00000000-0008-0000-1300-000026000000}"/>
            </a:ext>
          </a:extLst>
        </xdr:cNvPr>
        <xdr:cNvSpPr txBox="1"/>
      </xdr:nvSpPr>
      <xdr:spPr>
        <a:xfrm>
          <a:off x="12001500" y="2272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5</xdr:col>
      <xdr:colOff>539750</xdr:colOff>
      <xdr:row>73</xdr:row>
      <xdr:rowOff>158749</xdr:rowOff>
    </xdr:from>
    <xdr:ext cx="984250" cy="210507"/>
    <mc:AlternateContent xmlns:mc="http://schemas.openxmlformats.org/markup-compatibility/2006" xmlns:a14="http://schemas.microsoft.com/office/drawing/2010/main">
      <mc:Choice Requires="a14">
        <xdr:sp macro="" textlink="">
          <xdr:nvSpPr>
            <xdr:cNvPr id="39" name="CuadroTexto 38">
              <a:extLst>
                <a:ext uri="{FF2B5EF4-FFF2-40B4-BE49-F238E27FC236}">
                  <a16:creationId xmlns:a16="http://schemas.microsoft.com/office/drawing/2014/main" id="{00000000-0008-0000-1300-000027000000}"/>
                </a:ext>
              </a:extLst>
            </xdr:cNvPr>
            <xdr:cNvSpPr txBox="1"/>
          </xdr:nvSpPr>
          <xdr:spPr>
            <a:xfrm>
              <a:off x="5397500" y="30076774"/>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𝒆</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39" name="CuadroTexto 38">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5397500" y="30076774"/>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𝒆 𝒄𝒕</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4</xdr:col>
      <xdr:colOff>52917</xdr:colOff>
      <xdr:row>73</xdr:row>
      <xdr:rowOff>148167</xdr:rowOff>
    </xdr:from>
    <xdr:ext cx="984250" cy="210507"/>
    <mc:AlternateContent xmlns:mc="http://schemas.openxmlformats.org/markup-compatibility/2006" xmlns:a14="http://schemas.microsoft.com/office/drawing/2010/main">
      <mc:Choice Requires="a14">
        <xdr:sp macro="" textlink="">
          <xdr:nvSpPr>
            <xdr:cNvPr id="40" name="CuadroTexto 39">
              <a:extLst>
                <a:ext uri="{FF2B5EF4-FFF2-40B4-BE49-F238E27FC236}">
                  <a16:creationId xmlns:a16="http://schemas.microsoft.com/office/drawing/2014/main" id="{00000000-0008-0000-1300-000028000000}"/>
                </a:ext>
              </a:extLst>
            </xdr:cNvPr>
            <xdr:cNvSpPr txBox="1"/>
          </xdr:nvSpPr>
          <xdr:spPr>
            <a:xfrm>
              <a:off x="3872442" y="30066192"/>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0" name="CuadroTexto 39">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3872442" y="30066192"/>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𝒄𝒕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1</xdr:col>
      <xdr:colOff>59531</xdr:colOff>
      <xdr:row>73</xdr:row>
      <xdr:rowOff>95250</xdr:rowOff>
    </xdr:from>
    <xdr:ext cx="736864" cy="214313"/>
    <mc:AlternateContent xmlns:mc="http://schemas.openxmlformats.org/markup-compatibility/2006" xmlns:a14="http://schemas.microsoft.com/office/drawing/2010/main">
      <mc:Choice Requires="a14">
        <xdr:sp macro="" textlink="">
          <xdr:nvSpPr>
            <xdr:cNvPr id="42" name="CuadroTexto 41">
              <a:extLst>
                <a:ext uri="{FF2B5EF4-FFF2-40B4-BE49-F238E27FC236}">
                  <a16:creationId xmlns:a16="http://schemas.microsoft.com/office/drawing/2014/main" id="{00000000-0008-0000-1300-00002A000000}"/>
                </a:ext>
              </a:extLst>
            </xdr:cNvPr>
            <xdr:cNvSpPr txBox="1"/>
          </xdr:nvSpPr>
          <xdr:spPr>
            <a:xfrm>
              <a:off x="1035844" y="30206156"/>
              <a:ext cx="736864" cy="2143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𝑵𝒓</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2" name="CuadroTexto 41">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1035844" y="30206156"/>
              <a:ext cx="736864" cy="2143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𝑵𝒓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8</xdr:col>
      <xdr:colOff>624417</xdr:colOff>
      <xdr:row>73</xdr:row>
      <xdr:rowOff>285751</xdr:rowOff>
    </xdr:from>
    <xdr:ext cx="1524000" cy="210507"/>
    <mc:AlternateContent xmlns:mc="http://schemas.openxmlformats.org/markup-compatibility/2006" xmlns:a14="http://schemas.microsoft.com/office/drawing/2010/main">
      <mc:Choice Requires="a14">
        <xdr:sp macro="" textlink="">
          <xdr:nvSpPr>
            <xdr:cNvPr id="43" name="CuadroTexto 42">
              <a:extLst>
                <a:ext uri="{FF2B5EF4-FFF2-40B4-BE49-F238E27FC236}">
                  <a16:creationId xmlns:a16="http://schemas.microsoft.com/office/drawing/2014/main" id="{00000000-0008-0000-1300-00002B000000}"/>
                </a:ext>
              </a:extLst>
            </xdr:cNvPr>
            <xdr:cNvSpPr txBox="1"/>
          </xdr:nvSpPr>
          <xdr:spPr>
            <a:xfrm>
              <a:off x="9396942" y="30203776"/>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𝑼</m:t>
                  </m:r>
                  <m:r>
                    <a:rPr lang="es-CO" sz="1400" b="1" i="1">
                      <a:latin typeface="Cambria Math" panose="02040503050406030204" pitchFamily="18" charset="0"/>
                      <a:ea typeface="Cambria Math" panose="02040503050406030204" pitchFamily="18" charset="0"/>
                    </a:rPr>
                    <m:t> </m:t>
                  </m:r>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 </m:t>
                  </m:r>
                  <m:r>
                    <a:rPr lang="es-CO" sz="1400" b="1" i="1">
                      <a:latin typeface="Cambria Math" panose="02040503050406030204" pitchFamily="18" charset="0"/>
                      <a:ea typeface="Cambria Math" panose="02040503050406030204" pitchFamily="18" charset="0"/>
                    </a:rPr>
                    <m:t>𝒌</m:t>
                  </m:r>
                  <m:r>
                    <a:rPr lang="es-CO" sz="1400" b="1" i="1">
                      <a:latin typeface="Cambria Math" panose="02040503050406030204" pitchFamily="18" charset="0"/>
                      <a:ea typeface="Cambria Math" panose="02040503050406030204" pitchFamily="18" charset="0"/>
                    </a:rPr>
                    <m:t>=</m:t>
                  </m:r>
                  <m:r>
                    <a:rPr lang="es-CO" sz="1400" b="1" i="1">
                      <a:latin typeface="Cambria Math" panose="02040503050406030204" pitchFamily="18" charset="0"/>
                      <a:ea typeface="Cambria Math" panose="02040503050406030204" pitchFamily="18" charset="0"/>
                    </a:rPr>
                    <m:t>𝟐</m:t>
                  </m:r>
                </m:oMath>
              </a14:m>
              <a:r>
                <a:rPr lang="es-CO" sz="1400" b="1" i="1">
                  <a:latin typeface="Arial" panose="020B0604020202020204" pitchFamily="34" charset="0"/>
                  <a:cs typeface="Arial" panose="020B0604020202020204" pitchFamily="34" charset="0"/>
                </a:rPr>
                <a:t>)</a:t>
              </a:r>
            </a:p>
          </xdr:txBody>
        </xdr:sp>
      </mc:Choice>
      <mc:Fallback xmlns="">
        <xdr:sp macro="" textlink="">
          <xdr:nvSpPr>
            <xdr:cNvPr id="43" name="CuadroTexto 42">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9396942" y="30203776"/>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0">
                  <a:latin typeface="Cambria Math" panose="02040503050406030204" pitchFamily="18" charset="0"/>
                  <a:ea typeface="Cambria Math" panose="02040503050406030204" pitchFamily="18" charset="0"/>
                </a:rPr>
                <a:t>𝑼 </a:t>
              </a:r>
              <a:r>
                <a:rPr lang="es-CO" sz="1400" b="1" i="0">
                  <a:latin typeface="Cambria Math"/>
                  <a:ea typeface="Cambria Math" panose="02040503050406030204" pitchFamily="18" charset="0"/>
                </a:rPr>
                <a:t>(</a:t>
              </a:r>
              <a:r>
                <a:rPr lang="es-CO" sz="1400" b="1" i="0">
                  <a:latin typeface="Cambria Math" panose="02040503050406030204" pitchFamily="18" charset="0"/>
                  <a:ea typeface="Cambria Math" panose="02040503050406030204" pitchFamily="18" charset="0"/>
                </a:rPr>
                <a:t> 𝒎 𝒄𝒕 </a:t>
              </a:r>
              <a:r>
                <a:rPr lang="es-CO" sz="1400" b="1" i="0">
                  <a:latin typeface="Cambria Math"/>
                  <a:ea typeface="Cambria Math" panose="02040503050406030204" pitchFamily="18" charset="0"/>
                </a:rPr>
                <a:t>)</a:t>
              </a:r>
              <a:r>
                <a:rPr lang="es-CO" sz="1400" b="1" i="0">
                  <a:latin typeface="Cambria Math" panose="02040503050406030204" pitchFamily="18" charset="0"/>
                  <a:ea typeface="Cambria Math" panose="02040503050406030204" pitchFamily="18" charset="0"/>
                </a:rPr>
                <a:t>  ( 𝒌=𝟐</a:t>
              </a:r>
              <a:r>
                <a:rPr lang="es-CO" sz="1400" b="1" i="1">
                  <a:latin typeface="Arial" panose="020B0604020202020204" pitchFamily="34" charset="0"/>
                  <a:cs typeface="Arial" panose="020B0604020202020204" pitchFamily="34" charset="0"/>
                </a:rPr>
                <a:t>)</a:t>
              </a:r>
            </a:p>
          </xdr:txBody>
        </xdr:sp>
      </mc:Fallback>
    </mc:AlternateContent>
    <xdr:clientData/>
  </xdr:oneCellAnchor>
  <xdr:oneCellAnchor>
    <xdr:from>
      <xdr:col>9</xdr:col>
      <xdr:colOff>603252</xdr:colOff>
      <xdr:row>74</xdr:row>
      <xdr:rowOff>84667</xdr:rowOff>
    </xdr:from>
    <xdr:ext cx="465666" cy="219163"/>
    <xdr:sp macro="" textlink="">
      <xdr:nvSpPr>
        <xdr:cNvPr id="44" name="CuadroTexto 43">
          <a:extLst>
            <a:ext uri="{FF2B5EF4-FFF2-40B4-BE49-F238E27FC236}">
              <a16:creationId xmlns:a16="http://schemas.microsoft.com/office/drawing/2014/main" id="{00000000-0008-0000-1300-00002C000000}"/>
            </a:ext>
          </a:extLst>
        </xdr:cNvPr>
        <xdr:cNvSpPr txBox="1"/>
      </xdr:nvSpPr>
      <xdr:spPr>
        <a:xfrm>
          <a:off x="10299702" y="30517042"/>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9</xdr:col>
      <xdr:colOff>571499</xdr:colOff>
      <xdr:row>75</xdr:row>
      <xdr:rowOff>116416</xdr:rowOff>
    </xdr:from>
    <xdr:ext cx="359835" cy="219163"/>
    <xdr:sp macro="" textlink="">
      <xdr:nvSpPr>
        <xdr:cNvPr id="45" name="CuadroTexto 44">
          <a:extLst>
            <a:ext uri="{FF2B5EF4-FFF2-40B4-BE49-F238E27FC236}">
              <a16:creationId xmlns:a16="http://schemas.microsoft.com/office/drawing/2014/main" id="{00000000-0008-0000-1300-00002D000000}"/>
            </a:ext>
          </a:extLst>
        </xdr:cNvPr>
        <xdr:cNvSpPr txBox="1"/>
      </xdr:nvSpPr>
      <xdr:spPr>
        <a:xfrm>
          <a:off x="10267949" y="30986941"/>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6</xdr:col>
      <xdr:colOff>275167</xdr:colOff>
      <xdr:row>74</xdr:row>
      <xdr:rowOff>148166</xdr:rowOff>
    </xdr:from>
    <xdr:ext cx="465666" cy="219163"/>
    <xdr:sp macro="" textlink="">
      <xdr:nvSpPr>
        <xdr:cNvPr id="46" name="CuadroTexto 45">
          <a:extLst>
            <a:ext uri="{FF2B5EF4-FFF2-40B4-BE49-F238E27FC236}">
              <a16:creationId xmlns:a16="http://schemas.microsoft.com/office/drawing/2014/main" id="{00000000-0008-0000-1300-00002E000000}"/>
            </a:ext>
          </a:extLst>
        </xdr:cNvPr>
        <xdr:cNvSpPr txBox="1"/>
      </xdr:nvSpPr>
      <xdr:spPr>
        <a:xfrm>
          <a:off x="6371167" y="30580541"/>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6</xdr:col>
      <xdr:colOff>328083</xdr:colOff>
      <xdr:row>75</xdr:row>
      <xdr:rowOff>84667</xdr:rowOff>
    </xdr:from>
    <xdr:ext cx="359835" cy="219163"/>
    <xdr:sp macro="" textlink="">
      <xdr:nvSpPr>
        <xdr:cNvPr id="47" name="CuadroTexto 46">
          <a:extLst>
            <a:ext uri="{FF2B5EF4-FFF2-40B4-BE49-F238E27FC236}">
              <a16:creationId xmlns:a16="http://schemas.microsoft.com/office/drawing/2014/main" id="{00000000-0008-0000-1300-00002F000000}"/>
            </a:ext>
          </a:extLst>
        </xdr:cNvPr>
        <xdr:cNvSpPr txBox="1"/>
      </xdr:nvSpPr>
      <xdr:spPr>
        <a:xfrm>
          <a:off x="6424083" y="30955192"/>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3</xdr:col>
      <xdr:colOff>560916</xdr:colOff>
      <xdr:row>72</xdr:row>
      <xdr:rowOff>74084</xdr:rowOff>
    </xdr:from>
    <xdr:ext cx="1524000" cy="210507"/>
    <mc:AlternateContent xmlns:mc="http://schemas.openxmlformats.org/markup-compatibility/2006" xmlns:a14="http://schemas.microsoft.com/office/drawing/2010/main">
      <mc:Choice Requires="a14">
        <xdr:sp macro="" textlink="">
          <xdr:nvSpPr>
            <xdr:cNvPr id="48" name="CuadroTexto 47">
              <a:extLst>
                <a:ext uri="{FF2B5EF4-FFF2-40B4-BE49-F238E27FC236}">
                  <a16:creationId xmlns:a16="http://schemas.microsoft.com/office/drawing/2014/main" id="{00000000-0008-0000-1300-000030000000}"/>
                </a:ext>
              </a:extLst>
            </xdr:cNvPr>
            <xdr:cNvSpPr txBox="1"/>
          </xdr:nvSpPr>
          <xdr:spPr>
            <a:xfrm>
              <a:off x="3246966" y="29553959"/>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m:t>
                    </m:r>
                  </m:oMath>
                </m:oMathPara>
              </a14:m>
              <a:endParaRPr lang="es-CO" sz="1400" b="1" i="1">
                <a:latin typeface="Arial" panose="020B0604020202020204" pitchFamily="34" charset="0"/>
                <a:cs typeface="Arial" panose="020B0604020202020204" pitchFamily="34" charset="0"/>
              </a:endParaRPr>
            </a:p>
          </xdr:txBody>
        </xdr:sp>
      </mc:Choice>
      <mc:Fallback xmlns="">
        <xdr:sp macro="" textlink="">
          <xdr:nvSpPr>
            <xdr:cNvPr id="48" name="CuadroTexto 47">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3246966" y="29553959"/>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 𝒎 𝒄𝒕 )   </a:t>
              </a:r>
              <a:endParaRPr lang="es-CO" sz="1400" b="1" i="1">
                <a:latin typeface="Arial" panose="020B0604020202020204" pitchFamily="34" charset="0"/>
                <a:cs typeface="Arial" panose="020B0604020202020204" pitchFamily="34" charset="0"/>
              </a:endParaRPr>
            </a:p>
          </xdr:txBody>
        </xdr:sp>
      </mc:Fallback>
    </mc:AlternateContent>
    <xdr:clientData/>
  </xdr:oneCellAnchor>
  <xdr:oneCellAnchor>
    <xdr:from>
      <xdr:col>7</xdr:col>
      <xdr:colOff>411956</xdr:colOff>
      <xdr:row>71</xdr:row>
      <xdr:rowOff>406003</xdr:rowOff>
    </xdr:from>
    <xdr:ext cx="65" cy="172227"/>
    <xdr:sp macro="" textlink="">
      <xdr:nvSpPr>
        <xdr:cNvPr id="49" name="CuadroTexto 48">
          <a:extLst>
            <a:ext uri="{FF2B5EF4-FFF2-40B4-BE49-F238E27FC236}">
              <a16:creationId xmlns:a16="http://schemas.microsoft.com/office/drawing/2014/main" id="{00000000-0008-0000-1300-000031000000}"/>
            </a:ext>
          </a:extLst>
        </xdr:cNvPr>
        <xdr:cNvSpPr txBox="1"/>
      </xdr:nvSpPr>
      <xdr:spPr>
        <a:xfrm>
          <a:off x="7555706" y="29457253"/>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51" name="CuadroTexto 50">
              <a:extLst>
                <a:ext uri="{FF2B5EF4-FFF2-40B4-BE49-F238E27FC236}">
                  <a16:creationId xmlns:a16="http://schemas.microsoft.com/office/drawing/2014/main" id="{00000000-0008-0000-1300-000033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51" name="CuadroTexto 50">
              <a:extLst>
                <a:ext uri="{FF2B5EF4-FFF2-40B4-BE49-F238E27FC236}">
                  <a16:creationId xmlns:a16="http://schemas.microsoft.com/office/drawing/2014/main" id="{AEF9614B-4236-4903-BCC3-FCEC9148A3FC}"/>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52" name="CuadroTexto 51">
              <a:extLst>
                <a:ext uri="{FF2B5EF4-FFF2-40B4-BE49-F238E27FC236}">
                  <a16:creationId xmlns:a16="http://schemas.microsoft.com/office/drawing/2014/main" id="{00000000-0008-0000-1300-000034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52" name="CuadroTexto 51">
              <a:extLst>
                <a:ext uri="{FF2B5EF4-FFF2-40B4-BE49-F238E27FC236}">
                  <a16:creationId xmlns:a16="http://schemas.microsoft.com/office/drawing/2014/main" id="{A7FBE6B9-BFB7-4F28-BBEF-2AD63A14DCA9}"/>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twoCellAnchor>
    <xdr:from>
      <xdr:col>7</xdr:col>
      <xdr:colOff>801688</xdr:colOff>
      <xdr:row>62</xdr:row>
      <xdr:rowOff>214313</xdr:rowOff>
    </xdr:from>
    <xdr:to>
      <xdr:col>11</xdr:col>
      <xdr:colOff>738187</xdr:colOff>
      <xdr:row>64</xdr:row>
      <xdr:rowOff>484188</xdr:rowOff>
    </xdr:to>
    <xdr:graphicFrame macro="">
      <xdr:nvGraphicFramePr>
        <xdr:cNvPr id="53" name="Gráfico 52">
          <a:extLst>
            <a:ext uri="{FF2B5EF4-FFF2-40B4-BE49-F238E27FC236}">
              <a16:creationId xmlns:a16="http://schemas.microsoft.com/office/drawing/2014/main" id="{00000000-0008-0000-1300-00003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166688</xdr:colOff>
      <xdr:row>0</xdr:row>
      <xdr:rowOff>47625</xdr:rowOff>
    </xdr:from>
    <xdr:to>
      <xdr:col>1</xdr:col>
      <xdr:colOff>565961</xdr:colOff>
      <xdr:row>0</xdr:row>
      <xdr:rowOff>690562</xdr:rowOff>
    </xdr:to>
    <xdr:pic>
      <xdr:nvPicPr>
        <xdr:cNvPr id="54" name="53 Imagen">
          <a:extLst>
            <a:ext uri="{FF2B5EF4-FFF2-40B4-BE49-F238E27FC236}">
              <a16:creationId xmlns:a16="http://schemas.microsoft.com/office/drawing/2014/main" id="{00000000-0008-0000-1300-000036000000}"/>
            </a:ext>
          </a:extLst>
        </xdr:cNvPr>
        <xdr:cNvPicPr>
          <a:picLocks noChangeAspect="1"/>
        </xdr:cNvPicPr>
      </xdr:nvPicPr>
      <xdr:blipFill>
        <a:blip xmlns:r="http://schemas.openxmlformats.org/officeDocument/2006/relationships" r:embed="rId2"/>
        <a:stretch>
          <a:fillRect/>
        </a:stretch>
      </xdr:blipFill>
      <xdr:spPr>
        <a:xfrm>
          <a:off x="166688" y="47625"/>
          <a:ext cx="1375586" cy="642937"/>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oneCellAnchor>
    <xdr:from>
      <xdr:col>1</xdr:col>
      <xdr:colOff>285935</xdr:colOff>
      <xdr:row>42</xdr:row>
      <xdr:rowOff>169517</xdr:rowOff>
    </xdr:from>
    <xdr:ext cx="177356" cy="176202"/>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00000000-0008-0000-1400-000003000000}"/>
                </a:ext>
              </a:extLst>
            </xdr:cNvPr>
            <xdr:cNvSpPr txBox="1"/>
          </xdr:nvSpPr>
          <xdr:spPr>
            <a:xfrm>
              <a:off x="1124135" y="14980892"/>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bg1"/>
                            </a:solidFill>
                            <a:latin typeface="Cambria Math" panose="02040503050406030204" pitchFamily="18" charset="0"/>
                          </a:rPr>
                        </m:ctrlPr>
                      </m:accPr>
                      <m:e>
                        <m:r>
                          <a:rPr lang="es-CO" sz="1100" b="1" i="1">
                            <a:solidFill>
                              <a:schemeClr val="bg1"/>
                            </a:solidFill>
                            <a:latin typeface="Cambria Math" panose="02040503050406030204" pitchFamily="18" charset="0"/>
                            <a:ea typeface="Cambria Math" panose="02040503050406030204" pitchFamily="18" charset="0"/>
                          </a:rPr>
                          <m:t>∆</m:t>
                        </m:r>
                        <m:r>
                          <a:rPr lang="es-CO" sz="1100" b="1" i="1">
                            <a:solidFill>
                              <a:schemeClr val="bg1"/>
                            </a:solidFill>
                            <a:latin typeface="Cambria Math" panose="02040503050406030204" pitchFamily="18" charset="0"/>
                            <a:ea typeface="Cambria Math" panose="02040503050406030204" pitchFamily="18" charset="0"/>
                          </a:rPr>
                          <m:t>𝑰</m:t>
                        </m:r>
                      </m:e>
                    </m:acc>
                  </m:oMath>
                </m:oMathPara>
              </a14:m>
              <a:endParaRPr lang="es-CO" sz="1100" b="1">
                <a:solidFill>
                  <a:schemeClr val="bg1"/>
                </a:solidFill>
              </a:endParaRPr>
            </a:p>
          </xdr:txBody>
        </xdr:sp>
      </mc:Choice>
      <mc:Fallback xmlns="">
        <xdr:sp macro="" textlink="">
          <xdr:nvSpPr>
            <xdr:cNvPr id="3" name="CuadroTexto 2">
              <a:extLst>
                <a:ext uri="{FF2B5EF4-FFF2-40B4-BE49-F238E27FC236}">
                  <a16:creationId xmlns="" xmlns:a16="http://schemas.microsoft.com/office/drawing/2014/main" xmlns:a14="http://schemas.microsoft.com/office/drawing/2010/main" id="{00000000-0008-0000-1000-000003000000}"/>
                </a:ext>
              </a:extLst>
            </xdr:cNvPr>
            <xdr:cNvSpPr txBox="1"/>
          </xdr:nvSpPr>
          <xdr:spPr>
            <a:xfrm>
              <a:off x="1124135" y="14980892"/>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bg1"/>
                  </a:solidFill>
                  <a:latin typeface="Cambria Math" panose="02040503050406030204" pitchFamily="18" charset="0"/>
                </a:rPr>
                <a:t>(</a:t>
              </a:r>
              <a:r>
                <a:rPr lang="es-CO" sz="1100" b="1" i="0">
                  <a:solidFill>
                    <a:schemeClr val="bg1"/>
                  </a:solidFill>
                  <a:latin typeface="Cambria Math" panose="02040503050406030204" pitchFamily="18" charset="0"/>
                  <a:ea typeface="Cambria Math" panose="02040503050406030204" pitchFamily="18" charset="0"/>
                </a:rPr>
                <a:t>∆𝑰) ̅</a:t>
              </a:r>
              <a:endParaRPr lang="es-CO" sz="1100" b="1">
                <a:solidFill>
                  <a:schemeClr val="bg1"/>
                </a:solidFill>
              </a:endParaRPr>
            </a:p>
          </xdr:txBody>
        </xdr:sp>
      </mc:Fallback>
    </mc:AlternateContent>
    <xdr:clientData/>
  </xdr:oneCellAnchor>
  <xdr:oneCellAnchor>
    <xdr:from>
      <xdr:col>1</xdr:col>
      <xdr:colOff>136732</xdr:colOff>
      <xdr:row>58</xdr:row>
      <xdr:rowOff>253032</xdr:rowOff>
    </xdr:from>
    <xdr:ext cx="599716" cy="172227"/>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id="{00000000-0008-0000-1400-000004000000}"/>
                </a:ext>
              </a:extLst>
            </xdr:cNvPr>
            <xdr:cNvSpPr txBox="1"/>
          </xdr:nvSpPr>
          <xdr:spPr>
            <a:xfrm>
              <a:off x="974932" y="20779407"/>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𝒘</m:t>
                        </m:r>
                      </m:sub>
                    </m:sSub>
                    <m:r>
                      <a:rPr lang="es-CO" sz="1100" b="1" i="1">
                        <a:latin typeface="Cambria Math" panose="02040503050406030204" pitchFamily="18" charset="0"/>
                      </a:rPr>
                      <m:t>(</m:t>
                    </m:r>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4" name="CuadroTexto 3">
              <a:extLst>
                <a:ext uri="{FF2B5EF4-FFF2-40B4-BE49-F238E27FC236}">
                  <a16:creationId xmlns="" xmlns:a16="http://schemas.microsoft.com/office/drawing/2014/main" xmlns:a14="http://schemas.microsoft.com/office/drawing/2010/main" id="{00000000-0008-0000-1000-000004000000}"/>
                </a:ext>
              </a:extLst>
            </xdr:cNvPr>
            <xdr:cNvSpPr txBox="1"/>
          </xdr:nvSpPr>
          <xdr:spPr>
            <a:xfrm>
              <a:off x="974932" y="20779407"/>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𝒖_𝒘 (</a:t>
              </a: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1</xdr:col>
      <xdr:colOff>202651</xdr:colOff>
      <xdr:row>61</xdr:row>
      <xdr:rowOff>265287</xdr:rowOff>
    </xdr:from>
    <xdr:ext cx="483915" cy="172227"/>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id="{00000000-0008-0000-1400-000005000000}"/>
                </a:ext>
              </a:extLst>
            </xdr:cNvPr>
            <xdr:cNvSpPr txBox="1"/>
          </xdr:nvSpPr>
          <xdr:spPr>
            <a:xfrm>
              <a:off x="1040851" y="2299193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5" name="CuadroTexto 4">
              <a:extLst>
                <a:ext uri="{FF2B5EF4-FFF2-40B4-BE49-F238E27FC236}">
                  <a16:creationId xmlns="" xmlns:a16="http://schemas.microsoft.com/office/drawing/2014/main" xmlns:a14="http://schemas.microsoft.com/office/drawing/2010/main" id="{00000000-0008-0000-1000-000005000000}"/>
                </a:ext>
              </a:extLst>
            </xdr:cNvPr>
            <xdr:cNvSpPr txBox="1"/>
          </xdr:nvSpPr>
          <xdr:spPr>
            <a:xfrm>
              <a:off x="1040851" y="2299193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𝒖(𝒎_𝒄𝒓)</a:t>
              </a:r>
              <a:endParaRPr lang="es-CO" sz="1100" b="1"/>
            </a:p>
          </xdr:txBody>
        </xdr:sp>
      </mc:Fallback>
    </mc:AlternateContent>
    <xdr:clientData/>
  </xdr:oneCellAnchor>
  <xdr:oneCellAnchor>
    <xdr:from>
      <xdr:col>1</xdr:col>
      <xdr:colOff>34166</xdr:colOff>
      <xdr:row>60</xdr:row>
      <xdr:rowOff>250203</xdr:rowOff>
    </xdr:from>
    <xdr:ext cx="689483" cy="172227"/>
    <mc:AlternateContent xmlns:mc="http://schemas.openxmlformats.org/markup-compatibility/2006" xmlns:a14="http://schemas.microsoft.com/office/drawing/2010/main">
      <mc:Choice Requires="a14">
        <xdr:sp macro="" textlink="">
          <xdr:nvSpPr>
            <xdr:cNvPr id="6" name="CuadroTexto 5">
              <a:extLst>
                <a:ext uri="{FF2B5EF4-FFF2-40B4-BE49-F238E27FC236}">
                  <a16:creationId xmlns:a16="http://schemas.microsoft.com/office/drawing/2014/main" id="{00000000-0008-0000-1400-000006000000}"/>
                </a:ext>
              </a:extLst>
            </xdr:cNvPr>
            <xdr:cNvSpPr txBox="1"/>
          </xdr:nvSpPr>
          <xdr:spPr>
            <a:xfrm>
              <a:off x="872366" y="22243428"/>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𝒊𝒏𝒔𝒕</m:t>
                        </m:r>
                      </m:sub>
                    </m:sSub>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0" i="1">
                        <a:latin typeface="Cambria Math" panose="02040503050406030204" pitchFamily="18" charset="0"/>
                      </a:rPr>
                      <m:t>)</m:t>
                    </m:r>
                  </m:oMath>
                </m:oMathPara>
              </a14:m>
              <a:endParaRPr lang="es-CO" sz="1100"/>
            </a:p>
          </xdr:txBody>
        </xdr:sp>
      </mc:Choice>
      <mc:Fallback xmlns="">
        <xdr:sp macro="" textlink="">
          <xdr:nvSpPr>
            <xdr:cNvPr id="6" name="CuadroTexto 5">
              <a:extLst>
                <a:ext uri="{FF2B5EF4-FFF2-40B4-BE49-F238E27FC236}">
                  <a16:creationId xmlns="" xmlns:a16="http://schemas.microsoft.com/office/drawing/2014/main" xmlns:a14="http://schemas.microsoft.com/office/drawing/2010/main" id="{00000000-0008-0000-1000-000006000000}"/>
                </a:ext>
              </a:extLst>
            </xdr:cNvPr>
            <xdr:cNvSpPr txBox="1"/>
          </xdr:nvSpPr>
          <xdr:spPr>
            <a:xfrm>
              <a:off x="872366" y="22243428"/>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𝒖_𝒊𝒏𝒔𝒕 (𝒎_𝒄𝒓</a:t>
              </a:r>
              <a:r>
                <a:rPr lang="es-CO" sz="1100" b="0" i="0">
                  <a:latin typeface="Cambria Math" panose="02040503050406030204" pitchFamily="18" charset="0"/>
                </a:rPr>
                <a:t>)</a:t>
              </a:r>
              <a:endParaRPr lang="es-CO" sz="1100"/>
            </a:p>
          </xdr:txBody>
        </xdr:sp>
      </mc:Fallback>
    </mc:AlternateContent>
    <xdr:clientData/>
  </xdr:oneCellAnchor>
  <xdr:oneCellAnchor>
    <xdr:from>
      <xdr:col>1</xdr:col>
      <xdr:colOff>183870</xdr:colOff>
      <xdr:row>62</xdr:row>
      <xdr:rowOff>264645</xdr:rowOff>
    </xdr:from>
    <xdr:ext cx="397353" cy="172227"/>
    <mc:AlternateContent xmlns:mc="http://schemas.openxmlformats.org/markup-compatibility/2006" xmlns:a14="http://schemas.microsoft.com/office/drawing/2010/main">
      <mc:Choice Requires="a14">
        <xdr:sp macro="" textlink="">
          <xdr:nvSpPr>
            <xdr:cNvPr id="7" name="CuadroTexto 6">
              <a:extLst>
                <a:ext uri="{FF2B5EF4-FFF2-40B4-BE49-F238E27FC236}">
                  <a16:creationId xmlns:a16="http://schemas.microsoft.com/office/drawing/2014/main" id="{00000000-0008-0000-1400-000007000000}"/>
                </a:ext>
              </a:extLst>
            </xdr:cNvPr>
            <xdr:cNvSpPr txBox="1"/>
          </xdr:nvSpPr>
          <xdr:spPr>
            <a:xfrm>
              <a:off x="1022070" y="23724720"/>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𝒂</m:t>
                        </m:r>
                      </m:sub>
                    </m:sSub>
                    <m:r>
                      <a:rPr lang="es-CO" sz="1100" b="1" i="1">
                        <a:latin typeface="Cambria Math" panose="02040503050406030204" pitchFamily="18" charset="0"/>
                      </a:rPr>
                      <m:t>)</m:t>
                    </m:r>
                  </m:oMath>
                </m:oMathPara>
              </a14:m>
              <a:endParaRPr lang="es-CO" sz="1100" b="1"/>
            </a:p>
          </xdr:txBody>
        </xdr:sp>
      </mc:Choice>
      <mc:Fallback xmlns="">
        <xdr:sp macro="" textlink="">
          <xdr:nvSpPr>
            <xdr:cNvPr id="7" name="CuadroTexto 6">
              <a:extLst>
                <a:ext uri="{FF2B5EF4-FFF2-40B4-BE49-F238E27FC236}">
                  <a16:creationId xmlns="" xmlns:a16="http://schemas.microsoft.com/office/drawing/2014/main" xmlns:a14="http://schemas.microsoft.com/office/drawing/2010/main" id="{00000000-0008-0000-1000-000007000000}"/>
                </a:ext>
              </a:extLst>
            </xdr:cNvPr>
            <xdr:cNvSpPr txBox="1"/>
          </xdr:nvSpPr>
          <xdr:spPr>
            <a:xfrm>
              <a:off x="1022070" y="23724720"/>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𝒂)</a:t>
              </a:r>
              <a:endParaRPr lang="es-CO" sz="1100" b="1"/>
            </a:p>
          </xdr:txBody>
        </xdr:sp>
      </mc:Fallback>
    </mc:AlternateContent>
    <xdr:clientData/>
  </xdr:oneCellAnchor>
  <xdr:oneCellAnchor>
    <xdr:from>
      <xdr:col>1</xdr:col>
      <xdr:colOff>186298</xdr:colOff>
      <xdr:row>63</xdr:row>
      <xdr:rowOff>266606</xdr:rowOff>
    </xdr:from>
    <xdr:ext cx="376642" cy="172227"/>
    <mc:AlternateContent xmlns:mc="http://schemas.openxmlformats.org/markup-compatibility/2006" xmlns:a14="http://schemas.microsoft.com/office/drawing/2010/main">
      <mc:Choice Requires="a14">
        <xdr:sp macro="" textlink="">
          <xdr:nvSpPr>
            <xdr:cNvPr id="8" name="CuadroTexto 7">
              <a:extLst>
                <a:ext uri="{FF2B5EF4-FFF2-40B4-BE49-F238E27FC236}">
                  <a16:creationId xmlns:a16="http://schemas.microsoft.com/office/drawing/2014/main" id="{00000000-0008-0000-1400-000008000000}"/>
                </a:ext>
              </a:extLst>
            </xdr:cNvPr>
            <xdr:cNvSpPr txBox="1"/>
          </xdr:nvSpPr>
          <xdr:spPr>
            <a:xfrm>
              <a:off x="1024498" y="244601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𝒕</m:t>
                        </m:r>
                      </m:sub>
                    </m:sSub>
                    <m:r>
                      <a:rPr lang="es-CO" sz="1100" b="1" i="1">
                        <a:latin typeface="Cambria Math" panose="02040503050406030204" pitchFamily="18" charset="0"/>
                      </a:rPr>
                      <m:t>)</m:t>
                    </m:r>
                  </m:oMath>
                </m:oMathPara>
              </a14:m>
              <a:endParaRPr lang="es-CO" sz="1100" b="1"/>
            </a:p>
          </xdr:txBody>
        </xdr:sp>
      </mc:Choice>
      <mc:Fallback xmlns="">
        <xdr:sp macro="" textlink="">
          <xdr:nvSpPr>
            <xdr:cNvPr id="8" name="CuadroTexto 7">
              <a:extLst>
                <a:ext uri="{FF2B5EF4-FFF2-40B4-BE49-F238E27FC236}">
                  <a16:creationId xmlns="" xmlns:a16="http://schemas.microsoft.com/office/drawing/2014/main" xmlns:a14="http://schemas.microsoft.com/office/drawing/2010/main" id="{00000000-0008-0000-1000-000008000000}"/>
                </a:ext>
              </a:extLst>
            </xdr:cNvPr>
            <xdr:cNvSpPr txBox="1"/>
          </xdr:nvSpPr>
          <xdr:spPr>
            <a:xfrm>
              <a:off x="1024498" y="244601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𝒕)</a:t>
              </a:r>
              <a:endParaRPr lang="es-CO" sz="1100" b="1"/>
            </a:p>
          </xdr:txBody>
        </xdr:sp>
      </mc:Fallback>
    </mc:AlternateContent>
    <xdr:clientData/>
  </xdr:oneCellAnchor>
  <xdr:oneCellAnchor>
    <xdr:from>
      <xdr:col>1</xdr:col>
      <xdr:colOff>186298</xdr:colOff>
      <xdr:row>64</xdr:row>
      <xdr:rowOff>222250</xdr:rowOff>
    </xdr:from>
    <xdr:ext cx="388696" cy="172227"/>
    <mc:AlternateContent xmlns:mc="http://schemas.openxmlformats.org/markup-compatibility/2006" xmlns:a14="http://schemas.microsoft.com/office/drawing/2010/main">
      <mc:Choice Requires="a14">
        <xdr:sp macro="" textlink="">
          <xdr:nvSpPr>
            <xdr:cNvPr id="9" name="CuadroTexto 8">
              <a:extLst>
                <a:ext uri="{FF2B5EF4-FFF2-40B4-BE49-F238E27FC236}">
                  <a16:creationId xmlns:a16="http://schemas.microsoft.com/office/drawing/2014/main" id="{00000000-0008-0000-1400-000009000000}"/>
                </a:ext>
              </a:extLst>
            </xdr:cNvPr>
            <xdr:cNvSpPr txBox="1"/>
          </xdr:nvSpPr>
          <xdr:spPr>
            <a:xfrm>
              <a:off x="1024498" y="25149175"/>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9" name="CuadroTexto 8">
              <a:extLst>
                <a:ext uri="{FF2B5EF4-FFF2-40B4-BE49-F238E27FC236}">
                  <a16:creationId xmlns="" xmlns:a16="http://schemas.microsoft.com/office/drawing/2014/main" xmlns:a14="http://schemas.microsoft.com/office/drawing/2010/main" id="{00000000-0008-0000-1000-000009000000}"/>
                </a:ext>
              </a:extLst>
            </xdr:cNvPr>
            <xdr:cNvSpPr txBox="1"/>
          </xdr:nvSpPr>
          <xdr:spPr>
            <a:xfrm>
              <a:off x="1024498" y="25149175"/>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𝒓)</a:t>
              </a:r>
              <a:endParaRPr lang="es-CO" sz="1100" b="1"/>
            </a:p>
          </xdr:txBody>
        </xdr:sp>
      </mc:Fallback>
    </mc:AlternateContent>
    <xdr:clientData/>
  </xdr:oneCellAnchor>
  <xdr:oneCellAnchor>
    <xdr:from>
      <xdr:col>1</xdr:col>
      <xdr:colOff>265579</xdr:colOff>
      <xdr:row>65</xdr:row>
      <xdr:rowOff>288458</xdr:rowOff>
    </xdr:from>
    <xdr:ext cx="191271" cy="172227"/>
    <mc:AlternateContent xmlns:mc="http://schemas.openxmlformats.org/markup-compatibility/2006" xmlns:a14="http://schemas.microsoft.com/office/drawing/2010/main">
      <mc:Choice Requires="a14">
        <xdr:sp macro="" textlink="">
          <xdr:nvSpPr>
            <xdr:cNvPr id="10" name="CuadroTexto 9">
              <a:extLst>
                <a:ext uri="{FF2B5EF4-FFF2-40B4-BE49-F238E27FC236}">
                  <a16:creationId xmlns:a16="http://schemas.microsoft.com/office/drawing/2014/main" id="{00000000-0008-0000-1400-00000A000000}"/>
                </a:ext>
              </a:extLst>
            </xdr:cNvPr>
            <xdr:cNvSpPr txBox="1"/>
          </xdr:nvSpPr>
          <xdr:spPr>
            <a:xfrm>
              <a:off x="1103779" y="2594880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𝒃</m:t>
                        </m:r>
                      </m:sub>
                    </m:sSub>
                  </m:oMath>
                </m:oMathPara>
              </a14:m>
              <a:endParaRPr lang="es-CO" sz="1100" b="1"/>
            </a:p>
          </xdr:txBody>
        </xdr:sp>
      </mc:Choice>
      <mc:Fallback xmlns="">
        <xdr:sp macro="" textlink="">
          <xdr:nvSpPr>
            <xdr:cNvPr id="10" name="CuadroTexto 9">
              <a:extLst>
                <a:ext uri="{FF2B5EF4-FFF2-40B4-BE49-F238E27FC236}">
                  <a16:creationId xmlns="" xmlns:a16="http://schemas.microsoft.com/office/drawing/2014/main" xmlns:a14="http://schemas.microsoft.com/office/drawing/2010/main" id="{00000000-0008-0000-1000-00000A000000}"/>
                </a:ext>
              </a:extLst>
            </xdr:cNvPr>
            <xdr:cNvSpPr txBox="1"/>
          </xdr:nvSpPr>
          <xdr:spPr>
            <a:xfrm>
              <a:off x="1103779" y="2594880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𝒖_𝒃</a:t>
              </a:r>
              <a:endParaRPr lang="es-CO" sz="1100" b="1"/>
            </a:p>
          </xdr:txBody>
        </xdr:sp>
      </mc:Fallback>
    </mc:AlternateContent>
    <xdr:clientData/>
  </xdr:oneCellAnchor>
  <xdr:oneCellAnchor>
    <xdr:from>
      <xdr:col>1</xdr:col>
      <xdr:colOff>261391</xdr:colOff>
      <xdr:row>66</xdr:row>
      <xdr:rowOff>294234</xdr:rowOff>
    </xdr:from>
    <xdr:ext cx="195053" cy="172227"/>
    <mc:AlternateContent xmlns:mc="http://schemas.openxmlformats.org/markup-compatibility/2006" xmlns:a14="http://schemas.microsoft.com/office/drawing/2010/main">
      <mc:Choice Requires="a14">
        <xdr:sp macro="" textlink="">
          <xdr:nvSpPr>
            <xdr:cNvPr id="11" name="CuadroTexto 10">
              <a:extLst>
                <a:ext uri="{FF2B5EF4-FFF2-40B4-BE49-F238E27FC236}">
                  <a16:creationId xmlns:a16="http://schemas.microsoft.com/office/drawing/2014/main" id="{00000000-0008-0000-1400-00000B000000}"/>
                </a:ext>
              </a:extLst>
            </xdr:cNvPr>
            <xdr:cNvSpPr txBox="1"/>
          </xdr:nvSpPr>
          <xdr:spPr>
            <a:xfrm>
              <a:off x="1099591" y="26688009"/>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𝒅</m:t>
                        </m:r>
                      </m:sub>
                    </m:sSub>
                  </m:oMath>
                </m:oMathPara>
              </a14:m>
              <a:endParaRPr lang="es-CO" sz="1100" b="1"/>
            </a:p>
          </xdr:txBody>
        </xdr:sp>
      </mc:Choice>
      <mc:Fallback xmlns="">
        <xdr:sp macro="" textlink="">
          <xdr:nvSpPr>
            <xdr:cNvPr id="11" name="CuadroTexto 10">
              <a:extLst>
                <a:ext uri="{FF2B5EF4-FFF2-40B4-BE49-F238E27FC236}">
                  <a16:creationId xmlns="" xmlns:a16="http://schemas.microsoft.com/office/drawing/2014/main" xmlns:a14="http://schemas.microsoft.com/office/drawing/2010/main" id="{00000000-0008-0000-1000-00000B000000}"/>
                </a:ext>
              </a:extLst>
            </xdr:cNvPr>
            <xdr:cNvSpPr txBox="1"/>
          </xdr:nvSpPr>
          <xdr:spPr>
            <a:xfrm>
              <a:off x="1099591" y="26688009"/>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𝒖_𝒅</a:t>
              </a:r>
              <a:endParaRPr lang="es-CO" sz="1100" b="1"/>
            </a:p>
          </xdr:txBody>
        </xdr:sp>
      </mc:Fallback>
    </mc:AlternateContent>
    <xdr:clientData/>
  </xdr:oneCellAnchor>
  <xdr:oneCellAnchor>
    <xdr:from>
      <xdr:col>5</xdr:col>
      <xdr:colOff>393571</xdr:colOff>
      <xdr:row>69</xdr:row>
      <xdr:rowOff>265119</xdr:rowOff>
    </xdr:from>
    <xdr:ext cx="529697" cy="172227"/>
    <mc:AlternateContent xmlns:mc="http://schemas.openxmlformats.org/markup-compatibility/2006" xmlns:a14="http://schemas.microsoft.com/office/drawing/2010/main">
      <mc:Choice Requires="a14">
        <xdr:sp macro="" textlink="">
          <xdr:nvSpPr>
            <xdr:cNvPr id="12" name="CuadroTexto 11">
              <a:extLst>
                <a:ext uri="{FF2B5EF4-FFF2-40B4-BE49-F238E27FC236}">
                  <a16:creationId xmlns:a16="http://schemas.microsoft.com/office/drawing/2014/main" id="{00000000-0008-0000-1400-00000C000000}"/>
                </a:ext>
              </a:extLst>
            </xdr:cNvPr>
            <xdr:cNvSpPr txBox="1"/>
          </xdr:nvSpPr>
          <xdr:spPr>
            <a:xfrm>
              <a:off x="5251321" y="28220994"/>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𝒄</m:t>
                        </m:r>
                      </m:sub>
                    </m:sSub>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12" name="CuadroTexto 11">
              <a:extLst>
                <a:ext uri="{FF2B5EF4-FFF2-40B4-BE49-F238E27FC236}">
                  <a16:creationId xmlns="" xmlns:a16="http://schemas.microsoft.com/office/drawing/2014/main" xmlns:a14="http://schemas.microsoft.com/office/drawing/2010/main" id="{00000000-0008-0000-1000-00000C000000}"/>
                </a:ext>
              </a:extLst>
            </xdr:cNvPr>
            <xdr:cNvSpPr txBox="1"/>
          </xdr:nvSpPr>
          <xdr:spPr>
            <a:xfrm>
              <a:off x="5251321" y="28220994"/>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𝒖_𝒄 (</a:t>
              </a:r>
              <a:r>
                <a:rPr lang="es-CO" sz="1100" b="1" i="0">
                  <a:latin typeface="Cambria Math" panose="02040503050406030204" pitchFamily="18" charset="0"/>
                  <a:ea typeface="Cambria Math" panose="02040503050406030204" pitchFamily="18" charset="0"/>
                </a:rPr>
                <a:t>𝒎_𝒄𝒕)</a:t>
              </a:r>
              <a:endParaRPr lang="es-CO" sz="1100" b="1"/>
            </a:p>
          </xdr:txBody>
        </xdr:sp>
      </mc:Fallback>
    </mc:AlternateContent>
    <xdr:clientData/>
  </xdr:oneCellAnchor>
  <xdr:oneCellAnchor>
    <xdr:from>
      <xdr:col>5</xdr:col>
      <xdr:colOff>243965</xdr:colOff>
      <xdr:row>70</xdr:row>
      <xdr:rowOff>130277</xdr:rowOff>
    </xdr:from>
    <xdr:ext cx="780598" cy="172227"/>
    <mc:AlternateContent xmlns:mc="http://schemas.openxmlformats.org/markup-compatibility/2006" xmlns:a14="http://schemas.microsoft.com/office/drawing/2010/main">
      <mc:Choice Requires="a14">
        <xdr:sp macro="" textlink="">
          <xdr:nvSpPr>
            <xdr:cNvPr id="13" name="CuadroTexto 12">
              <a:extLst>
                <a:ext uri="{FF2B5EF4-FFF2-40B4-BE49-F238E27FC236}">
                  <a16:creationId xmlns:a16="http://schemas.microsoft.com/office/drawing/2014/main" id="{00000000-0008-0000-1400-00000D000000}"/>
                </a:ext>
              </a:extLst>
            </xdr:cNvPr>
            <xdr:cNvSpPr txBox="1"/>
          </xdr:nvSpPr>
          <xdr:spPr>
            <a:xfrm>
              <a:off x="5101715" y="2874337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100" b="1" i="1">
                      <a:latin typeface="Cambria Math" panose="02040503050406030204" pitchFamily="18" charset="0"/>
                    </a:rPr>
                    <m:t>𝑼</m:t>
                  </m:r>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a14:m>
              <a:r>
                <a:rPr lang="es-CO" sz="1100" b="1"/>
                <a:t> (k=2)</a:t>
              </a:r>
            </a:p>
          </xdr:txBody>
        </xdr:sp>
      </mc:Choice>
      <mc:Fallback xmlns="">
        <xdr:sp macro="" textlink="">
          <xdr:nvSpPr>
            <xdr:cNvPr id="13" name="CuadroTexto 12">
              <a:extLst>
                <a:ext uri="{FF2B5EF4-FFF2-40B4-BE49-F238E27FC236}">
                  <a16:creationId xmlns="" xmlns:a16="http://schemas.microsoft.com/office/drawing/2014/main" xmlns:a14="http://schemas.microsoft.com/office/drawing/2010/main" id="{00000000-0008-0000-1000-00000D000000}"/>
                </a:ext>
              </a:extLst>
            </xdr:cNvPr>
            <xdr:cNvSpPr txBox="1"/>
          </xdr:nvSpPr>
          <xdr:spPr>
            <a:xfrm>
              <a:off x="5101715" y="2874337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100" b="1" i="0">
                  <a:latin typeface="Cambria Math" panose="02040503050406030204" pitchFamily="18" charset="0"/>
                </a:rPr>
                <a:t>𝑼(</a:t>
              </a:r>
              <a:r>
                <a:rPr lang="es-CO" sz="1100" b="1" i="0">
                  <a:latin typeface="Cambria Math" panose="02040503050406030204" pitchFamily="18" charset="0"/>
                  <a:ea typeface="Cambria Math" panose="02040503050406030204" pitchFamily="18" charset="0"/>
                </a:rPr>
                <a:t>𝒎_𝒄𝒕)</a:t>
              </a:r>
              <a:r>
                <a:rPr lang="es-CO" sz="1100" b="1"/>
                <a:t> (k=2)</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14" name="CuadroTexto 13">
              <a:extLst>
                <a:ext uri="{FF2B5EF4-FFF2-40B4-BE49-F238E27FC236}">
                  <a16:creationId xmlns:a16="http://schemas.microsoft.com/office/drawing/2014/main" id="{00000000-0008-0000-1400-00000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14" name="CuadroTexto 13">
              <a:extLst>
                <a:ext uri="{FF2B5EF4-FFF2-40B4-BE49-F238E27FC236}">
                  <a16:creationId xmlns="" xmlns:a16="http://schemas.microsoft.com/office/drawing/2014/main" xmlns:a14="http://schemas.microsoft.com/office/drawing/2010/main" id="{00000000-0008-0000-1000-00000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8</xdr:col>
      <xdr:colOff>541269</xdr:colOff>
      <xdr:row>52</xdr:row>
      <xdr:rowOff>78683</xdr:rowOff>
    </xdr:from>
    <xdr:ext cx="304571" cy="172227"/>
    <mc:AlternateContent xmlns:mc="http://schemas.openxmlformats.org/markup-compatibility/2006" xmlns:a14="http://schemas.microsoft.com/office/drawing/2010/main">
      <mc:Choice Requires="a14">
        <xdr:sp macro="" textlink="">
          <xdr:nvSpPr>
            <xdr:cNvPr id="15" name="CuadroTexto 14">
              <a:extLst>
                <a:ext uri="{FF2B5EF4-FFF2-40B4-BE49-F238E27FC236}">
                  <a16:creationId xmlns:a16="http://schemas.microsoft.com/office/drawing/2014/main" id="{00000000-0008-0000-1400-00000F000000}"/>
                </a:ext>
              </a:extLst>
            </xdr:cNvPr>
            <xdr:cNvSpPr txBox="1"/>
          </xdr:nvSpPr>
          <xdr:spPr>
            <a:xfrm>
              <a:off x="9313794" y="18623858"/>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oMath>
                </m:oMathPara>
              </a14:m>
              <a:endParaRPr lang="es-CO" sz="1100" b="1"/>
            </a:p>
          </xdr:txBody>
        </xdr:sp>
      </mc:Choice>
      <mc:Fallback xmlns="">
        <xdr:sp macro="" textlink="">
          <xdr:nvSpPr>
            <xdr:cNvPr id="15" name="CuadroTexto 14">
              <a:extLst>
                <a:ext uri="{FF2B5EF4-FFF2-40B4-BE49-F238E27FC236}">
                  <a16:creationId xmlns="" xmlns:a16="http://schemas.microsoft.com/office/drawing/2014/main" xmlns:a14="http://schemas.microsoft.com/office/drawing/2010/main" id="{00000000-0008-0000-1000-00000F000000}"/>
                </a:ext>
              </a:extLst>
            </xdr:cNvPr>
            <xdr:cNvSpPr txBox="1"/>
          </xdr:nvSpPr>
          <xdr:spPr>
            <a:xfrm>
              <a:off x="9313794" y="18623858"/>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4</xdr:col>
      <xdr:colOff>155713</xdr:colOff>
      <xdr:row>39</xdr:row>
      <xdr:rowOff>106017</xdr:rowOff>
    </xdr:from>
    <xdr:ext cx="65" cy="172227"/>
    <xdr:sp macro="" textlink="">
      <xdr:nvSpPr>
        <xdr:cNvPr id="16" name="CuadroTexto 15">
          <a:extLst>
            <a:ext uri="{FF2B5EF4-FFF2-40B4-BE49-F238E27FC236}">
              <a16:creationId xmlns:a16="http://schemas.microsoft.com/office/drawing/2014/main" id="{00000000-0008-0000-1400-000010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17" name="CuadroTexto 16">
              <a:extLst>
                <a:ext uri="{FF2B5EF4-FFF2-40B4-BE49-F238E27FC236}">
                  <a16:creationId xmlns:a16="http://schemas.microsoft.com/office/drawing/2014/main" id="{00000000-0008-0000-1400-000011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7" name="CuadroTexto 16">
              <a:extLst>
                <a:ext uri="{FF2B5EF4-FFF2-40B4-BE49-F238E27FC236}">
                  <a16:creationId xmlns="" xmlns:a16="http://schemas.microsoft.com/office/drawing/2014/main" xmlns:a14="http://schemas.microsoft.com/office/drawing/2010/main" id="{00000000-0008-0000-1000-000011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18" name="CuadroTexto 17">
              <a:extLst>
                <a:ext uri="{FF2B5EF4-FFF2-40B4-BE49-F238E27FC236}">
                  <a16:creationId xmlns:a16="http://schemas.microsoft.com/office/drawing/2014/main" id="{00000000-0008-0000-1400-000012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18" name="CuadroTexto 17">
              <a:extLst>
                <a:ext uri="{FF2B5EF4-FFF2-40B4-BE49-F238E27FC236}">
                  <a16:creationId xmlns="" xmlns:a16="http://schemas.microsoft.com/office/drawing/2014/main" xmlns:a14="http://schemas.microsoft.com/office/drawing/2010/main" id="{00000000-0008-0000-1000-000012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19" name="CuadroTexto 18">
              <a:extLst>
                <a:ext uri="{FF2B5EF4-FFF2-40B4-BE49-F238E27FC236}">
                  <a16:creationId xmlns:a16="http://schemas.microsoft.com/office/drawing/2014/main" id="{00000000-0008-0000-1400-000013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9" name="CuadroTexto 18">
              <a:extLst>
                <a:ext uri="{FF2B5EF4-FFF2-40B4-BE49-F238E27FC236}">
                  <a16:creationId xmlns="" xmlns:a16="http://schemas.microsoft.com/office/drawing/2014/main" xmlns:a14="http://schemas.microsoft.com/office/drawing/2010/main" id="{00000000-0008-0000-1000-000013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0" name="CuadroTexto 19">
              <a:extLst>
                <a:ext uri="{FF2B5EF4-FFF2-40B4-BE49-F238E27FC236}">
                  <a16:creationId xmlns:a16="http://schemas.microsoft.com/office/drawing/2014/main" id="{00000000-0008-0000-1400-000014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0" name="CuadroTexto 19">
              <a:extLst>
                <a:ext uri="{FF2B5EF4-FFF2-40B4-BE49-F238E27FC236}">
                  <a16:creationId xmlns="" xmlns:a16="http://schemas.microsoft.com/office/drawing/2014/main" xmlns:a14="http://schemas.microsoft.com/office/drawing/2010/main" id="{00000000-0008-0000-1000-000014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1" name="CuadroTexto 20">
          <a:extLst>
            <a:ext uri="{FF2B5EF4-FFF2-40B4-BE49-F238E27FC236}">
              <a16:creationId xmlns:a16="http://schemas.microsoft.com/office/drawing/2014/main" id="{00000000-0008-0000-1400-000015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3</xdr:col>
      <xdr:colOff>236456</xdr:colOff>
      <xdr:row>73</xdr:row>
      <xdr:rowOff>141002</xdr:rowOff>
    </xdr:from>
    <xdr:ext cx="730521" cy="219163"/>
    <mc:AlternateContent xmlns:mc="http://schemas.openxmlformats.org/markup-compatibility/2006" xmlns:a14="http://schemas.microsoft.com/office/drawing/2010/main">
      <mc:Choice Requires="a14">
        <xdr:sp macro="" textlink="">
          <xdr:nvSpPr>
            <xdr:cNvPr id="22" name="CuadroTexto 21">
              <a:extLst>
                <a:ext uri="{FF2B5EF4-FFF2-40B4-BE49-F238E27FC236}">
                  <a16:creationId xmlns:a16="http://schemas.microsoft.com/office/drawing/2014/main" id="{00000000-0008-0000-1400-000016000000}"/>
                </a:ext>
              </a:extLst>
            </xdr:cNvPr>
            <xdr:cNvSpPr txBox="1"/>
          </xdr:nvSpPr>
          <xdr:spPr>
            <a:xfrm>
              <a:off x="2922506" y="30059027"/>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m:t>
                  </m:r>
                  <m:sSub>
                    <m:sSubPr>
                      <m:ctrlPr>
                        <a:rPr lang="es-CO" sz="1400" b="1" i="1">
                          <a:latin typeface="Cambria Math" panose="02040503050406030204" pitchFamily="18" charset="0"/>
                          <a:ea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𝒎</m:t>
                      </m:r>
                    </m:e>
                    <m:sub>
                      <m:r>
                        <a:rPr lang="es-CO" sz="1400" b="1" i="1">
                          <a:latin typeface="Cambria Math" panose="02040503050406030204" pitchFamily="18" charset="0"/>
                          <a:ea typeface="Cambria Math" panose="02040503050406030204" pitchFamily="18" charset="0"/>
                        </a:rPr>
                        <m:t>𝒄</m:t>
                      </m:r>
                    </m:sub>
                  </m:sSub>
                </m:oMath>
              </a14:m>
              <a:r>
                <a:rPr lang="es-CO" sz="1400" b="1" i="1"/>
                <a:t> (mg</a:t>
              </a:r>
              <a:r>
                <a:rPr lang="es-CO" sz="1200" b="1" i="0"/>
                <a:t>)</a:t>
              </a:r>
            </a:p>
          </xdr:txBody>
        </xdr:sp>
      </mc:Choice>
      <mc:Fallback xmlns="">
        <xdr:sp macro="" textlink="">
          <xdr:nvSpPr>
            <xdr:cNvPr id="22" name="CuadroTexto 21">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2922506" y="30059027"/>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400" b="1" i="0">
                  <a:latin typeface="Cambria Math" panose="02040503050406030204" pitchFamily="18" charset="0"/>
                  <a:ea typeface="Cambria Math" panose="02040503050406030204" pitchFamily="18" charset="0"/>
                </a:rPr>
                <a:t>∆𝒎_𝒄</a:t>
              </a:r>
              <a:r>
                <a:rPr lang="es-CO" sz="1400" b="1" i="1"/>
                <a:t> (mg</a:t>
              </a:r>
              <a:r>
                <a:rPr lang="es-CO" sz="1200" b="1" i="0"/>
                <a:t>)</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23" name="CuadroTexto 22">
              <a:extLst>
                <a:ext uri="{FF2B5EF4-FFF2-40B4-BE49-F238E27FC236}">
                  <a16:creationId xmlns:a16="http://schemas.microsoft.com/office/drawing/2014/main" id="{00000000-0008-0000-1400-000017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23" name="CuadroTexto 22">
              <a:extLst>
                <a:ext uri="{FF2B5EF4-FFF2-40B4-BE49-F238E27FC236}">
                  <a16:creationId xmlns="" xmlns:a16="http://schemas.microsoft.com/office/drawing/2014/main" xmlns:a14="http://schemas.microsoft.com/office/drawing/2010/main" id="{00000000-0008-0000-1000-000023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24" name="CuadroTexto 23">
          <a:extLst>
            <a:ext uri="{FF2B5EF4-FFF2-40B4-BE49-F238E27FC236}">
              <a16:creationId xmlns:a16="http://schemas.microsoft.com/office/drawing/2014/main" id="{00000000-0008-0000-1400-000018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25" name="CuadroTexto 24">
              <a:extLst>
                <a:ext uri="{FF2B5EF4-FFF2-40B4-BE49-F238E27FC236}">
                  <a16:creationId xmlns:a16="http://schemas.microsoft.com/office/drawing/2014/main" id="{00000000-0008-0000-1400-000019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5" name="CuadroTexto 24">
              <a:extLst>
                <a:ext uri="{FF2B5EF4-FFF2-40B4-BE49-F238E27FC236}">
                  <a16:creationId xmlns="" xmlns:a16="http://schemas.microsoft.com/office/drawing/2014/main" xmlns:a14="http://schemas.microsoft.com/office/drawing/2010/main" id="{00000000-0008-0000-1000-000026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26" name="CuadroTexto 25">
              <a:extLst>
                <a:ext uri="{FF2B5EF4-FFF2-40B4-BE49-F238E27FC236}">
                  <a16:creationId xmlns:a16="http://schemas.microsoft.com/office/drawing/2014/main" id="{00000000-0008-0000-1400-00001A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6" name="CuadroTexto 25">
              <a:extLst>
                <a:ext uri="{FF2B5EF4-FFF2-40B4-BE49-F238E27FC236}">
                  <a16:creationId xmlns="" xmlns:a16="http://schemas.microsoft.com/office/drawing/2014/main" xmlns:a14="http://schemas.microsoft.com/office/drawing/2010/main" id="{00000000-0008-0000-1000-000027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27" name="CuadroTexto 26">
              <a:extLst>
                <a:ext uri="{FF2B5EF4-FFF2-40B4-BE49-F238E27FC236}">
                  <a16:creationId xmlns:a16="http://schemas.microsoft.com/office/drawing/2014/main" id="{00000000-0008-0000-1400-00001B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7" name="CuadroTexto 26">
              <a:extLst>
                <a:ext uri="{FF2B5EF4-FFF2-40B4-BE49-F238E27FC236}">
                  <a16:creationId xmlns="" xmlns:a16="http://schemas.microsoft.com/office/drawing/2014/main" xmlns:a14="http://schemas.microsoft.com/office/drawing/2010/main" id="{00000000-0008-0000-1000-000028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8" name="CuadroTexto 27">
              <a:extLst>
                <a:ext uri="{FF2B5EF4-FFF2-40B4-BE49-F238E27FC236}">
                  <a16:creationId xmlns:a16="http://schemas.microsoft.com/office/drawing/2014/main" id="{00000000-0008-0000-1400-00001C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8" name="CuadroTexto 27">
              <a:extLst>
                <a:ext uri="{FF2B5EF4-FFF2-40B4-BE49-F238E27FC236}">
                  <a16:creationId xmlns="" xmlns:a16="http://schemas.microsoft.com/office/drawing/2014/main" xmlns:a14="http://schemas.microsoft.com/office/drawing/2010/main" id="{00000000-0008-0000-1000-000029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9" name="CuadroTexto 28">
          <a:extLst>
            <a:ext uri="{FF2B5EF4-FFF2-40B4-BE49-F238E27FC236}">
              <a16:creationId xmlns:a16="http://schemas.microsoft.com/office/drawing/2014/main" id="{00000000-0008-0000-1400-00001D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30" name="CuadroTexto 29">
              <a:extLst>
                <a:ext uri="{FF2B5EF4-FFF2-40B4-BE49-F238E27FC236}">
                  <a16:creationId xmlns:a16="http://schemas.microsoft.com/office/drawing/2014/main" id="{00000000-0008-0000-1400-00001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30" name="CuadroTexto 29">
              <a:extLst>
                <a:ext uri="{FF2B5EF4-FFF2-40B4-BE49-F238E27FC236}">
                  <a16:creationId xmlns="" xmlns:a16="http://schemas.microsoft.com/office/drawing/2014/main" xmlns:a14="http://schemas.microsoft.com/office/drawing/2010/main" id="{00000000-0008-0000-1000-000038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31" name="CuadroTexto 30">
          <a:extLst>
            <a:ext uri="{FF2B5EF4-FFF2-40B4-BE49-F238E27FC236}">
              <a16:creationId xmlns:a16="http://schemas.microsoft.com/office/drawing/2014/main" id="{00000000-0008-0000-1400-00001F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32" name="CuadroTexto 31">
              <a:extLst>
                <a:ext uri="{FF2B5EF4-FFF2-40B4-BE49-F238E27FC236}">
                  <a16:creationId xmlns:a16="http://schemas.microsoft.com/office/drawing/2014/main" id="{00000000-0008-0000-1400-000020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2" name="CuadroTexto 31">
              <a:extLst>
                <a:ext uri="{FF2B5EF4-FFF2-40B4-BE49-F238E27FC236}">
                  <a16:creationId xmlns="" xmlns:a16="http://schemas.microsoft.com/office/drawing/2014/main" xmlns:a14="http://schemas.microsoft.com/office/drawing/2010/main" id="{00000000-0008-0000-1000-00003B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33" name="CuadroTexto 32">
              <a:extLst>
                <a:ext uri="{FF2B5EF4-FFF2-40B4-BE49-F238E27FC236}">
                  <a16:creationId xmlns:a16="http://schemas.microsoft.com/office/drawing/2014/main" id="{00000000-0008-0000-1400-000021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3" name="CuadroTexto 32">
              <a:extLst>
                <a:ext uri="{FF2B5EF4-FFF2-40B4-BE49-F238E27FC236}">
                  <a16:creationId xmlns="" xmlns:a16="http://schemas.microsoft.com/office/drawing/2014/main" xmlns:a14="http://schemas.microsoft.com/office/drawing/2010/main" id="{00000000-0008-0000-1000-00003C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34" name="CuadroTexto 33">
              <a:extLst>
                <a:ext uri="{FF2B5EF4-FFF2-40B4-BE49-F238E27FC236}">
                  <a16:creationId xmlns:a16="http://schemas.microsoft.com/office/drawing/2014/main" id="{00000000-0008-0000-1400-000022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4" name="CuadroTexto 33">
              <a:extLst>
                <a:ext uri="{FF2B5EF4-FFF2-40B4-BE49-F238E27FC236}">
                  <a16:creationId xmlns="" xmlns:a16="http://schemas.microsoft.com/office/drawing/2014/main" xmlns:a14="http://schemas.microsoft.com/office/drawing/2010/main" id="{00000000-0008-0000-1000-00003D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35" name="CuadroTexto 34">
              <a:extLst>
                <a:ext uri="{FF2B5EF4-FFF2-40B4-BE49-F238E27FC236}">
                  <a16:creationId xmlns:a16="http://schemas.microsoft.com/office/drawing/2014/main" id="{00000000-0008-0000-1400-000023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5" name="CuadroTexto 34">
              <a:extLst>
                <a:ext uri="{FF2B5EF4-FFF2-40B4-BE49-F238E27FC236}">
                  <a16:creationId xmlns="" xmlns:a16="http://schemas.microsoft.com/office/drawing/2014/main" xmlns:a14="http://schemas.microsoft.com/office/drawing/2010/main" id="{00000000-0008-0000-1000-00003E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36" name="CuadroTexto 35">
          <a:extLst>
            <a:ext uri="{FF2B5EF4-FFF2-40B4-BE49-F238E27FC236}">
              <a16:creationId xmlns:a16="http://schemas.microsoft.com/office/drawing/2014/main" id="{00000000-0008-0000-1400-000024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11</xdr:col>
      <xdr:colOff>628650</xdr:colOff>
      <xdr:row>61</xdr:row>
      <xdr:rowOff>0</xdr:rowOff>
    </xdr:from>
    <xdr:ext cx="65" cy="172227"/>
    <xdr:sp macro="" textlink="">
      <xdr:nvSpPr>
        <xdr:cNvPr id="38" name="CuadroTexto 37">
          <a:extLst>
            <a:ext uri="{FF2B5EF4-FFF2-40B4-BE49-F238E27FC236}">
              <a16:creationId xmlns:a16="http://schemas.microsoft.com/office/drawing/2014/main" id="{00000000-0008-0000-1400-000026000000}"/>
            </a:ext>
          </a:extLst>
        </xdr:cNvPr>
        <xdr:cNvSpPr txBox="1"/>
      </xdr:nvSpPr>
      <xdr:spPr>
        <a:xfrm>
          <a:off x="12001500" y="2272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5</xdr:col>
      <xdr:colOff>539750</xdr:colOff>
      <xdr:row>73</xdr:row>
      <xdr:rowOff>158749</xdr:rowOff>
    </xdr:from>
    <xdr:ext cx="984250" cy="210507"/>
    <mc:AlternateContent xmlns:mc="http://schemas.openxmlformats.org/markup-compatibility/2006" xmlns:a14="http://schemas.microsoft.com/office/drawing/2010/main">
      <mc:Choice Requires="a14">
        <xdr:sp macro="" textlink="">
          <xdr:nvSpPr>
            <xdr:cNvPr id="39" name="CuadroTexto 38">
              <a:extLst>
                <a:ext uri="{FF2B5EF4-FFF2-40B4-BE49-F238E27FC236}">
                  <a16:creationId xmlns:a16="http://schemas.microsoft.com/office/drawing/2014/main" id="{00000000-0008-0000-1400-000027000000}"/>
                </a:ext>
              </a:extLst>
            </xdr:cNvPr>
            <xdr:cNvSpPr txBox="1"/>
          </xdr:nvSpPr>
          <xdr:spPr>
            <a:xfrm>
              <a:off x="5397500" y="30076774"/>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𝒆</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39" name="CuadroTexto 38">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5397500" y="30076774"/>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𝒆 𝒄𝒕</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4</xdr:col>
      <xdr:colOff>52917</xdr:colOff>
      <xdr:row>73</xdr:row>
      <xdr:rowOff>148167</xdr:rowOff>
    </xdr:from>
    <xdr:ext cx="984250" cy="210507"/>
    <mc:AlternateContent xmlns:mc="http://schemas.openxmlformats.org/markup-compatibility/2006" xmlns:a14="http://schemas.microsoft.com/office/drawing/2010/main">
      <mc:Choice Requires="a14">
        <xdr:sp macro="" textlink="">
          <xdr:nvSpPr>
            <xdr:cNvPr id="40" name="CuadroTexto 39">
              <a:extLst>
                <a:ext uri="{FF2B5EF4-FFF2-40B4-BE49-F238E27FC236}">
                  <a16:creationId xmlns:a16="http://schemas.microsoft.com/office/drawing/2014/main" id="{00000000-0008-0000-1400-000028000000}"/>
                </a:ext>
              </a:extLst>
            </xdr:cNvPr>
            <xdr:cNvSpPr txBox="1"/>
          </xdr:nvSpPr>
          <xdr:spPr>
            <a:xfrm>
              <a:off x="3872442" y="30066192"/>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0" name="CuadroTexto 39">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3872442" y="30066192"/>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𝒄𝒕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0</xdr:col>
      <xdr:colOff>976311</xdr:colOff>
      <xdr:row>73</xdr:row>
      <xdr:rowOff>95250</xdr:rowOff>
    </xdr:from>
    <xdr:ext cx="750095" cy="210507"/>
    <mc:AlternateContent xmlns:mc="http://schemas.openxmlformats.org/markup-compatibility/2006" xmlns:a14="http://schemas.microsoft.com/office/drawing/2010/main">
      <mc:Choice Requires="a14">
        <xdr:sp macro="" textlink="">
          <xdr:nvSpPr>
            <xdr:cNvPr id="42" name="CuadroTexto 41">
              <a:extLst>
                <a:ext uri="{FF2B5EF4-FFF2-40B4-BE49-F238E27FC236}">
                  <a16:creationId xmlns:a16="http://schemas.microsoft.com/office/drawing/2014/main" id="{00000000-0008-0000-1400-00002A000000}"/>
                </a:ext>
              </a:extLst>
            </xdr:cNvPr>
            <xdr:cNvSpPr txBox="1"/>
          </xdr:nvSpPr>
          <xdr:spPr>
            <a:xfrm>
              <a:off x="976311" y="30206156"/>
              <a:ext cx="750095"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𝑵𝒓</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2" name="CuadroTexto 41">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976311" y="30206156"/>
              <a:ext cx="750095"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𝑵𝒓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8</xdr:col>
      <xdr:colOff>624417</xdr:colOff>
      <xdr:row>73</xdr:row>
      <xdr:rowOff>285751</xdr:rowOff>
    </xdr:from>
    <xdr:ext cx="1524000" cy="210507"/>
    <mc:AlternateContent xmlns:mc="http://schemas.openxmlformats.org/markup-compatibility/2006" xmlns:a14="http://schemas.microsoft.com/office/drawing/2010/main">
      <mc:Choice Requires="a14">
        <xdr:sp macro="" textlink="">
          <xdr:nvSpPr>
            <xdr:cNvPr id="43" name="CuadroTexto 42">
              <a:extLst>
                <a:ext uri="{FF2B5EF4-FFF2-40B4-BE49-F238E27FC236}">
                  <a16:creationId xmlns:a16="http://schemas.microsoft.com/office/drawing/2014/main" id="{00000000-0008-0000-1400-00002B000000}"/>
                </a:ext>
              </a:extLst>
            </xdr:cNvPr>
            <xdr:cNvSpPr txBox="1"/>
          </xdr:nvSpPr>
          <xdr:spPr>
            <a:xfrm>
              <a:off x="9530292" y="30396657"/>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𝑼</m:t>
                  </m:r>
                  <m:r>
                    <a:rPr lang="es-CO" sz="1400" b="1" i="1">
                      <a:latin typeface="Cambria Math" panose="02040503050406030204" pitchFamily="18" charset="0"/>
                      <a:ea typeface="Cambria Math" panose="02040503050406030204" pitchFamily="18" charset="0"/>
                    </a:rPr>
                    <m:t> </m:t>
                  </m:r>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 </m:t>
                  </m:r>
                  <m:r>
                    <a:rPr lang="es-CO" sz="1400" b="1" i="1">
                      <a:latin typeface="Cambria Math" panose="02040503050406030204" pitchFamily="18" charset="0"/>
                      <a:ea typeface="Cambria Math" panose="02040503050406030204" pitchFamily="18" charset="0"/>
                    </a:rPr>
                    <m:t>𝒌</m:t>
                  </m:r>
                  <m:r>
                    <a:rPr lang="es-CO" sz="1400" b="1" i="1">
                      <a:latin typeface="Cambria Math" panose="02040503050406030204" pitchFamily="18" charset="0"/>
                      <a:ea typeface="Cambria Math" panose="02040503050406030204" pitchFamily="18" charset="0"/>
                    </a:rPr>
                    <m:t>=</m:t>
                  </m:r>
                  <m:r>
                    <a:rPr lang="es-CO" sz="1400" b="1" i="1">
                      <a:latin typeface="Cambria Math" panose="02040503050406030204" pitchFamily="18" charset="0"/>
                      <a:ea typeface="Cambria Math" panose="02040503050406030204" pitchFamily="18" charset="0"/>
                    </a:rPr>
                    <m:t>𝟐</m:t>
                  </m:r>
                </m:oMath>
              </a14:m>
              <a:r>
                <a:rPr lang="es-CO" sz="1400" b="1" i="1">
                  <a:latin typeface="Arial" panose="020B0604020202020204" pitchFamily="34" charset="0"/>
                  <a:cs typeface="Arial" panose="020B0604020202020204" pitchFamily="34" charset="0"/>
                </a:rPr>
                <a:t>)</a:t>
              </a:r>
            </a:p>
          </xdr:txBody>
        </xdr:sp>
      </mc:Choice>
      <mc:Fallback xmlns="">
        <xdr:sp macro="" textlink="">
          <xdr:nvSpPr>
            <xdr:cNvPr id="43" name="CuadroTexto 42">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9530292" y="30396657"/>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0">
                  <a:latin typeface="Cambria Math" panose="02040503050406030204" pitchFamily="18" charset="0"/>
                  <a:ea typeface="Cambria Math" panose="02040503050406030204" pitchFamily="18" charset="0"/>
                </a:rPr>
                <a:t>𝑼 </a:t>
              </a:r>
              <a:r>
                <a:rPr lang="es-CO" sz="1400" b="1" i="0">
                  <a:latin typeface="Cambria Math"/>
                  <a:ea typeface="Cambria Math" panose="02040503050406030204" pitchFamily="18" charset="0"/>
                </a:rPr>
                <a:t>(</a:t>
              </a:r>
              <a:r>
                <a:rPr lang="es-CO" sz="1400" b="1" i="0">
                  <a:latin typeface="Cambria Math" panose="02040503050406030204" pitchFamily="18" charset="0"/>
                  <a:ea typeface="Cambria Math" panose="02040503050406030204" pitchFamily="18" charset="0"/>
                </a:rPr>
                <a:t> 𝒎 𝒄𝒕 </a:t>
              </a:r>
              <a:r>
                <a:rPr lang="es-CO" sz="1400" b="1" i="0">
                  <a:latin typeface="Cambria Math"/>
                  <a:ea typeface="Cambria Math" panose="02040503050406030204" pitchFamily="18" charset="0"/>
                </a:rPr>
                <a:t>)</a:t>
              </a:r>
              <a:r>
                <a:rPr lang="es-CO" sz="1400" b="1" i="0">
                  <a:latin typeface="Cambria Math" panose="02040503050406030204" pitchFamily="18" charset="0"/>
                  <a:ea typeface="Cambria Math" panose="02040503050406030204" pitchFamily="18" charset="0"/>
                </a:rPr>
                <a:t>  ( 𝒌=𝟐</a:t>
              </a:r>
              <a:r>
                <a:rPr lang="es-CO" sz="1400" b="1" i="1">
                  <a:latin typeface="Arial" panose="020B0604020202020204" pitchFamily="34" charset="0"/>
                  <a:cs typeface="Arial" panose="020B0604020202020204" pitchFamily="34" charset="0"/>
                </a:rPr>
                <a:t>)</a:t>
              </a:r>
            </a:p>
          </xdr:txBody>
        </xdr:sp>
      </mc:Fallback>
    </mc:AlternateContent>
    <xdr:clientData/>
  </xdr:oneCellAnchor>
  <xdr:oneCellAnchor>
    <xdr:from>
      <xdr:col>9</xdr:col>
      <xdr:colOff>603252</xdr:colOff>
      <xdr:row>74</xdr:row>
      <xdr:rowOff>84667</xdr:rowOff>
    </xdr:from>
    <xdr:ext cx="465666" cy="219163"/>
    <xdr:sp macro="" textlink="">
      <xdr:nvSpPr>
        <xdr:cNvPr id="44" name="CuadroTexto 43">
          <a:extLst>
            <a:ext uri="{FF2B5EF4-FFF2-40B4-BE49-F238E27FC236}">
              <a16:creationId xmlns:a16="http://schemas.microsoft.com/office/drawing/2014/main" id="{00000000-0008-0000-1400-00002C000000}"/>
            </a:ext>
          </a:extLst>
        </xdr:cNvPr>
        <xdr:cNvSpPr txBox="1"/>
      </xdr:nvSpPr>
      <xdr:spPr>
        <a:xfrm>
          <a:off x="10299702" y="30517042"/>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9</xdr:col>
      <xdr:colOff>571499</xdr:colOff>
      <xdr:row>75</xdr:row>
      <xdr:rowOff>116416</xdr:rowOff>
    </xdr:from>
    <xdr:ext cx="359835" cy="219163"/>
    <xdr:sp macro="" textlink="">
      <xdr:nvSpPr>
        <xdr:cNvPr id="45" name="CuadroTexto 44">
          <a:extLst>
            <a:ext uri="{FF2B5EF4-FFF2-40B4-BE49-F238E27FC236}">
              <a16:creationId xmlns:a16="http://schemas.microsoft.com/office/drawing/2014/main" id="{00000000-0008-0000-1400-00002D000000}"/>
            </a:ext>
          </a:extLst>
        </xdr:cNvPr>
        <xdr:cNvSpPr txBox="1"/>
      </xdr:nvSpPr>
      <xdr:spPr>
        <a:xfrm>
          <a:off x="10267949" y="30986941"/>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6</xdr:col>
      <xdr:colOff>275167</xdr:colOff>
      <xdr:row>74</xdr:row>
      <xdr:rowOff>148166</xdr:rowOff>
    </xdr:from>
    <xdr:ext cx="465666" cy="219163"/>
    <xdr:sp macro="" textlink="">
      <xdr:nvSpPr>
        <xdr:cNvPr id="46" name="CuadroTexto 45">
          <a:extLst>
            <a:ext uri="{FF2B5EF4-FFF2-40B4-BE49-F238E27FC236}">
              <a16:creationId xmlns:a16="http://schemas.microsoft.com/office/drawing/2014/main" id="{00000000-0008-0000-1400-00002E000000}"/>
            </a:ext>
          </a:extLst>
        </xdr:cNvPr>
        <xdr:cNvSpPr txBox="1"/>
      </xdr:nvSpPr>
      <xdr:spPr>
        <a:xfrm>
          <a:off x="6371167" y="30580541"/>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6</xdr:col>
      <xdr:colOff>328083</xdr:colOff>
      <xdr:row>75</xdr:row>
      <xdr:rowOff>84667</xdr:rowOff>
    </xdr:from>
    <xdr:ext cx="359835" cy="219163"/>
    <xdr:sp macro="" textlink="">
      <xdr:nvSpPr>
        <xdr:cNvPr id="47" name="CuadroTexto 46">
          <a:extLst>
            <a:ext uri="{FF2B5EF4-FFF2-40B4-BE49-F238E27FC236}">
              <a16:creationId xmlns:a16="http://schemas.microsoft.com/office/drawing/2014/main" id="{00000000-0008-0000-1400-00002F000000}"/>
            </a:ext>
          </a:extLst>
        </xdr:cNvPr>
        <xdr:cNvSpPr txBox="1"/>
      </xdr:nvSpPr>
      <xdr:spPr>
        <a:xfrm>
          <a:off x="6424083" y="30955192"/>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3</xdr:col>
      <xdr:colOff>560916</xdr:colOff>
      <xdr:row>72</xdr:row>
      <xdr:rowOff>74084</xdr:rowOff>
    </xdr:from>
    <xdr:ext cx="1524000" cy="210507"/>
    <mc:AlternateContent xmlns:mc="http://schemas.openxmlformats.org/markup-compatibility/2006" xmlns:a14="http://schemas.microsoft.com/office/drawing/2010/main">
      <mc:Choice Requires="a14">
        <xdr:sp macro="" textlink="">
          <xdr:nvSpPr>
            <xdr:cNvPr id="48" name="CuadroTexto 47">
              <a:extLst>
                <a:ext uri="{FF2B5EF4-FFF2-40B4-BE49-F238E27FC236}">
                  <a16:creationId xmlns:a16="http://schemas.microsoft.com/office/drawing/2014/main" id="{00000000-0008-0000-1400-000030000000}"/>
                </a:ext>
              </a:extLst>
            </xdr:cNvPr>
            <xdr:cNvSpPr txBox="1"/>
          </xdr:nvSpPr>
          <xdr:spPr>
            <a:xfrm>
              <a:off x="3246966" y="29553959"/>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m:t>
                    </m:r>
                  </m:oMath>
                </m:oMathPara>
              </a14:m>
              <a:endParaRPr lang="es-CO" sz="1400" b="1" i="1">
                <a:latin typeface="Arial" panose="020B0604020202020204" pitchFamily="34" charset="0"/>
                <a:cs typeface="Arial" panose="020B0604020202020204" pitchFamily="34" charset="0"/>
              </a:endParaRPr>
            </a:p>
          </xdr:txBody>
        </xdr:sp>
      </mc:Choice>
      <mc:Fallback xmlns="">
        <xdr:sp macro="" textlink="">
          <xdr:nvSpPr>
            <xdr:cNvPr id="48" name="CuadroTexto 47">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3246966" y="29553959"/>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 𝒎 𝒄𝒕 )   </a:t>
              </a:r>
              <a:endParaRPr lang="es-CO" sz="1400" b="1" i="1">
                <a:latin typeface="Arial" panose="020B0604020202020204" pitchFamily="34" charset="0"/>
                <a:cs typeface="Arial" panose="020B0604020202020204" pitchFamily="34" charset="0"/>
              </a:endParaRPr>
            </a:p>
          </xdr:txBody>
        </xdr:sp>
      </mc:Fallback>
    </mc:AlternateContent>
    <xdr:clientData/>
  </xdr:oneCellAnchor>
  <xdr:oneCellAnchor>
    <xdr:from>
      <xdr:col>7</xdr:col>
      <xdr:colOff>411956</xdr:colOff>
      <xdr:row>71</xdr:row>
      <xdr:rowOff>406003</xdr:rowOff>
    </xdr:from>
    <xdr:ext cx="65" cy="172227"/>
    <xdr:sp macro="" textlink="">
      <xdr:nvSpPr>
        <xdr:cNvPr id="49" name="CuadroTexto 48">
          <a:extLst>
            <a:ext uri="{FF2B5EF4-FFF2-40B4-BE49-F238E27FC236}">
              <a16:creationId xmlns:a16="http://schemas.microsoft.com/office/drawing/2014/main" id="{00000000-0008-0000-1400-000031000000}"/>
            </a:ext>
          </a:extLst>
        </xdr:cNvPr>
        <xdr:cNvSpPr txBox="1"/>
      </xdr:nvSpPr>
      <xdr:spPr>
        <a:xfrm>
          <a:off x="7555706" y="29457253"/>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51" name="CuadroTexto 50">
              <a:extLst>
                <a:ext uri="{FF2B5EF4-FFF2-40B4-BE49-F238E27FC236}">
                  <a16:creationId xmlns:a16="http://schemas.microsoft.com/office/drawing/2014/main" id="{00000000-0008-0000-1400-000033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51" name="CuadroTexto 50">
              <a:extLst>
                <a:ext uri="{FF2B5EF4-FFF2-40B4-BE49-F238E27FC236}">
                  <a16:creationId xmlns:a16="http://schemas.microsoft.com/office/drawing/2014/main" id="{C50992FD-9819-4B7A-BAF2-461E41DB5016}"/>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52" name="CuadroTexto 51">
              <a:extLst>
                <a:ext uri="{FF2B5EF4-FFF2-40B4-BE49-F238E27FC236}">
                  <a16:creationId xmlns:a16="http://schemas.microsoft.com/office/drawing/2014/main" id="{00000000-0008-0000-1400-000034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52" name="CuadroTexto 51">
              <a:extLst>
                <a:ext uri="{FF2B5EF4-FFF2-40B4-BE49-F238E27FC236}">
                  <a16:creationId xmlns:a16="http://schemas.microsoft.com/office/drawing/2014/main" id="{1C85EBF2-66AD-444B-BE3F-52413166DA0E}"/>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twoCellAnchor>
    <xdr:from>
      <xdr:col>7</xdr:col>
      <xdr:colOff>825500</xdr:colOff>
      <xdr:row>62</xdr:row>
      <xdr:rowOff>206375</xdr:rowOff>
    </xdr:from>
    <xdr:to>
      <xdr:col>11</xdr:col>
      <xdr:colOff>761999</xdr:colOff>
      <xdr:row>64</xdr:row>
      <xdr:rowOff>476250</xdr:rowOff>
    </xdr:to>
    <xdr:graphicFrame macro="">
      <xdr:nvGraphicFramePr>
        <xdr:cNvPr id="53" name="Gráfico 52">
          <a:extLst>
            <a:ext uri="{FF2B5EF4-FFF2-40B4-BE49-F238E27FC236}">
              <a16:creationId xmlns:a16="http://schemas.microsoft.com/office/drawing/2014/main" id="{00000000-0008-0000-1400-00003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214313</xdr:colOff>
      <xdr:row>0</xdr:row>
      <xdr:rowOff>59531</xdr:rowOff>
    </xdr:from>
    <xdr:to>
      <xdr:col>1</xdr:col>
      <xdr:colOff>609719</xdr:colOff>
      <xdr:row>0</xdr:row>
      <xdr:rowOff>699666</xdr:rowOff>
    </xdr:to>
    <xdr:pic>
      <xdr:nvPicPr>
        <xdr:cNvPr id="37" name="36 Imagen">
          <a:extLst>
            <a:ext uri="{FF2B5EF4-FFF2-40B4-BE49-F238E27FC236}">
              <a16:creationId xmlns:a16="http://schemas.microsoft.com/office/drawing/2014/main" id="{00000000-0008-0000-1400-000025000000}"/>
            </a:ext>
          </a:extLst>
        </xdr:cNvPr>
        <xdr:cNvPicPr>
          <a:picLocks noChangeAspect="1"/>
        </xdr:cNvPicPr>
      </xdr:nvPicPr>
      <xdr:blipFill>
        <a:blip xmlns:r="http://schemas.openxmlformats.org/officeDocument/2006/relationships" r:embed="rId2"/>
        <a:stretch>
          <a:fillRect/>
        </a:stretch>
      </xdr:blipFill>
      <xdr:spPr>
        <a:xfrm>
          <a:off x="214313" y="59531"/>
          <a:ext cx="1371719" cy="640135"/>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oneCellAnchor>
    <xdr:from>
      <xdr:col>1</xdr:col>
      <xdr:colOff>285935</xdr:colOff>
      <xdr:row>42</xdr:row>
      <xdr:rowOff>169517</xdr:rowOff>
    </xdr:from>
    <xdr:ext cx="177356" cy="176202"/>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00000000-0008-0000-1500-000003000000}"/>
                </a:ext>
              </a:extLst>
            </xdr:cNvPr>
            <xdr:cNvSpPr txBox="1"/>
          </xdr:nvSpPr>
          <xdr:spPr>
            <a:xfrm>
              <a:off x="1124135" y="14980892"/>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bg1"/>
                            </a:solidFill>
                            <a:latin typeface="Cambria Math" panose="02040503050406030204" pitchFamily="18" charset="0"/>
                          </a:rPr>
                        </m:ctrlPr>
                      </m:accPr>
                      <m:e>
                        <m:r>
                          <a:rPr lang="es-CO" sz="1100" b="1" i="1">
                            <a:solidFill>
                              <a:schemeClr val="bg1"/>
                            </a:solidFill>
                            <a:latin typeface="Cambria Math" panose="02040503050406030204" pitchFamily="18" charset="0"/>
                            <a:ea typeface="Cambria Math" panose="02040503050406030204" pitchFamily="18" charset="0"/>
                          </a:rPr>
                          <m:t>∆</m:t>
                        </m:r>
                        <m:r>
                          <a:rPr lang="es-CO" sz="1100" b="1" i="1">
                            <a:solidFill>
                              <a:schemeClr val="bg1"/>
                            </a:solidFill>
                            <a:latin typeface="Cambria Math" panose="02040503050406030204" pitchFamily="18" charset="0"/>
                            <a:ea typeface="Cambria Math" panose="02040503050406030204" pitchFamily="18" charset="0"/>
                          </a:rPr>
                          <m:t>𝑰</m:t>
                        </m:r>
                      </m:e>
                    </m:acc>
                  </m:oMath>
                </m:oMathPara>
              </a14:m>
              <a:endParaRPr lang="es-CO" sz="1100" b="1">
                <a:solidFill>
                  <a:schemeClr val="bg1"/>
                </a:solidFill>
              </a:endParaRPr>
            </a:p>
          </xdr:txBody>
        </xdr:sp>
      </mc:Choice>
      <mc:Fallback xmlns="">
        <xdr:sp macro="" textlink="">
          <xdr:nvSpPr>
            <xdr:cNvPr id="3" name="CuadroTexto 2">
              <a:extLst>
                <a:ext uri="{FF2B5EF4-FFF2-40B4-BE49-F238E27FC236}">
                  <a16:creationId xmlns="" xmlns:a16="http://schemas.microsoft.com/office/drawing/2014/main" xmlns:a14="http://schemas.microsoft.com/office/drawing/2010/main" id="{00000000-0008-0000-1000-000003000000}"/>
                </a:ext>
              </a:extLst>
            </xdr:cNvPr>
            <xdr:cNvSpPr txBox="1"/>
          </xdr:nvSpPr>
          <xdr:spPr>
            <a:xfrm>
              <a:off x="1124135" y="14980892"/>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bg1"/>
                  </a:solidFill>
                  <a:latin typeface="Cambria Math" panose="02040503050406030204" pitchFamily="18" charset="0"/>
                </a:rPr>
                <a:t>(</a:t>
              </a:r>
              <a:r>
                <a:rPr lang="es-CO" sz="1100" b="1" i="0">
                  <a:solidFill>
                    <a:schemeClr val="bg1"/>
                  </a:solidFill>
                  <a:latin typeface="Cambria Math" panose="02040503050406030204" pitchFamily="18" charset="0"/>
                  <a:ea typeface="Cambria Math" panose="02040503050406030204" pitchFamily="18" charset="0"/>
                </a:rPr>
                <a:t>∆𝑰) ̅</a:t>
              </a:r>
              <a:endParaRPr lang="es-CO" sz="1100" b="1">
                <a:solidFill>
                  <a:schemeClr val="bg1"/>
                </a:solidFill>
              </a:endParaRPr>
            </a:p>
          </xdr:txBody>
        </xdr:sp>
      </mc:Fallback>
    </mc:AlternateContent>
    <xdr:clientData/>
  </xdr:oneCellAnchor>
  <xdr:oneCellAnchor>
    <xdr:from>
      <xdr:col>1</xdr:col>
      <xdr:colOff>136732</xdr:colOff>
      <xdr:row>58</xdr:row>
      <xdr:rowOff>253032</xdr:rowOff>
    </xdr:from>
    <xdr:ext cx="599716" cy="172227"/>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id="{00000000-0008-0000-1500-000004000000}"/>
                </a:ext>
              </a:extLst>
            </xdr:cNvPr>
            <xdr:cNvSpPr txBox="1"/>
          </xdr:nvSpPr>
          <xdr:spPr>
            <a:xfrm>
              <a:off x="974932" y="20779407"/>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𝒘</m:t>
                        </m:r>
                      </m:sub>
                    </m:sSub>
                    <m:r>
                      <a:rPr lang="es-CO" sz="1100" b="1" i="1">
                        <a:latin typeface="Cambria Math" panose="02040503050406030204" pitchFamily="18" charset="0"/>
                      </a:rPr>
                      <m:t>(</m:t>
                    </m:r>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4" name="CuadroTexto 3">
              <a:extLst>
                <a:ext uri="{FF2B5EF4-FFF2-40B4-BE49-F238E27FC236}">
                  <a16:creationId xmlns="" xmlns:a16="http://schemas.microsoft.com/office/drawing/2014/main" xmlns:a14="http://schemas.microsoft.com/office/drawing/2010/main" id="{00000000-0008-0000-1000-000004000000}"/>
                </a:ext>
              </a:extLst>
            </xdr:cNvPr>
            <xdr:cNvSpPr txBox="1"/>
          </xdr:nvSpPr>
          <xdr:spPr>
            <a:xfrm>
              <a:off x="974932" y="20779407"/>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𝒖_𝒘 (</a:t>
              </a: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1</xdr:col>
      <xdr:colOff>202651</xdr:colOff>
      <xdr:row>61</xdr:row>
      <xdr:rowOff>265287</xdr:rowOff>
    </xdr:from>
    <xdr:ext cx="483915" cy="172227"/>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id="{00000000-0008-0000-1500-000005000000}"/>
                </a:ext>
              </a:extLst>
            </xdr:cNvPr>
            <xdr:cNvSpPr txBox="1"/>
          </xdr:nvSpPr>
          <xdr:spPr>
            <a:xfrm>
              <a:off x="1040851" y="2299193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5" name="CuadroTexto 4">
              <a:extLst>
                <a:ext uri="{FF2B5EF4-FFF2-40B4-BE49-F238E27FC236}">
                  <a16:creationId xmlns="" xmlns:a16="http://schemas.microsoft.com/office/drawing/2014/main" xmlns:a14="http://schemas.microsoft.com/office/drawing/2010/main" id="{00000000-0008-0000-1000-000005000000}"/>
                </a:ext>
              </a:extLst>
            </xdr:cNvPr>
            <xdr:cNvSpPr txBox="1"/>
          </xdr:nvSpPr>
          <xdr:spPr>
            <a:xfrm>
              <a:off x="1040851" y="2299193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𝒖(𝒎_𝒄𝒓)</a:t>
              </a:r>
              <a:endParaRPr lang="es-CO" sz="1100" b="1"/>
            </a:p>
          </xdr:txBody>
        </xdr:sp>
      </mc:Fallback>
    </mc:AlternateContent>
    <xdr:clientData/>
  </xdr:oneCellAnchor>
  <xdr:oneCellAnchor>
    <xdr:from>
      <xdr:col>1</xdr:col>
      <xdr:colOff>34166</xdr:colOff>
      <xdr:row>60</xdr:row>
      <xdr:rowOff>250203</xdr:rowOff>
    </xdr:from>
    <xdr:ext cx="689483" cy="172227"/>
    <mc:AlternateContent xmlns:mc="http://schemas.openxmlformats.org/markup-compatibility/2006" xmlns:a14="http://schemas.microsoft.com/office/drawing/2010/main">
      <mc:Choice Requires="a14">
        <xdr:sp macro="" textlink="">
          <xdr:nvSpPr>
            <xdr:cNvPr id="6" name="CuadroTexto 5">
              <a:extLst>
                <a:ext uri="{FF2B5EF4-FFF2-40B4-BE49-F238E27FC236}">
                  <a16:creationId xmlns:a16="http://schemas.microsoft.com/office/drawing/2014/main" id="{00000000-0008-0000-1500-000006000000}"/>
                </a:ext>
              </a:extLst>
            </xdr:cNvPr>
            <xdr:cNvSpPr txBox="1"/>
          </xdr:nvSpPr>
          <xdr:spPr>
            <a:xfrm>
              <a:off x="872366" y="22243428"/>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𝒊𝒏𝒔𝒕</m:t>
                        </m:r>
                      </m:sub>
                    </m:sSub>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0" i="1">
                        <a:latin typeface="Cambria Math" panose="02040503050406030204" pitchFamily="18" charset="0"/>
                      </a:rPr>
                      <m:t>)</m:t>
                    </m:r>
                  </m:oMath>
                </m:oMathPara>
              </a14:m>
              <a:endParaRPr lang="es-CO" sz="1100"/>
            </a:p>
          </xdr:txBody>
        </xdr:sp>
      </mc:Choice>
      <mc:Fallback xmlns="">
        <xdr:sp macro="" textlink="">
          <xdr:nvSpPr>
            <xdr:cNvPr id="6" name="CuadroTexto 5">
              <a:extLst>
                <a:ext uri="{FF2B5EF4-FFF2-40B4-BE49-F238E27FC236}">
                  <a16:creationId xmlns="" xmlns:a16="http://schemas.microsoft.com/office/drawing/2014/main" xmlns:a14="http://schemas.microsoft.com/office/drawing/2010/main" id="{00000000-0008-0000-1000-000006000000}"/>
                </a:ext>
              </a:extLst>
            </xdr:cNvPr>
            <xdr:cNvSpPr txBox="1"/>
          </xdr:nvSpPr>
          <xdr:spPr>
            <a:xfrm>
              <a:off x="872366" y="22243428"/>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𝒖_𝒊𝒏𝒔𝒕 (𝒎_𝒄𝒓</a:t>
              </a:r>
              <a:r>
                <a:rPr lang="es-CO" sz="1100" b="0" i="0">
                  <a:latin typeface="Cambria Math" panose="02040503050406030204" pitchFamily="18" charset="0"/>
                </a:rPr>
                <a:t>)</a:t>
              </a:r>
              <a:endParaRPr lang="es-CO" sz="1100"/>
            </a:p>
          </xdr:txBody>
        </xdr:sp>
      </mc:Fallback>
    </mc:AlternateContent>
    <xdr:clientData/>
  </xdr:oneCellAnchor>
  <xdr:oneCellAnchor>
    <xdr:from>
      <xdr:col>1</xdr:col>
      <xdr:colOff>183870</xdr:colOff>
      <xdr:row>62</xdr:row>
      <xdr:rowOff>264645</xdr:rowOff>
    </xdr:from>
    <xdr:ext cx="397353" cy="172227"/>
    <mc:AlternateContent xmlns:mc="http://schemas.openxmlformats.org/markup-compatibility/2006" xmlns:a14="http://schemas.microsoft.com/office/drawing/2010/main">
      <mc:Choice Requires="a14">
        <xdr:sp macro="" textlink="">
          <xdr:nvSpPr>
            <xdr:cNvPr id="7" name="CuadroTexto 6">
              <a:extLst>
                <a:ext uri="{FF2B5EF4-FFF2-40B4-BE49-F238E27FC236}">
                  <a16:creationId xmlns:a16="http://schemas.microsoft.com/office/drawing/2014/main" id="{00000000-0008-0000-1500-000007000000}"/>
                </a:ext>
              </a:extLst>
            </xdr:cNvPr>
            <xdr:cNvSpPr txBox="1"/>
          </xdr:nvSpPr>
          <xdr:spPr>
            <a:xfrm>
              <a:off x="1022070" y="23724720"/>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𝒂</m:t>
                        </m:r>
                      </m:sub>
                    </m:sSub>
                    <m:r>
                      <a:rPr lang="es-CO" sz="1100" b="1" i="1">
                        <a:latin typeface="Cambria Math" panose="02040503050406030204" pitchFamily="18" charset="0"/>
                      </a:rPr>
                      <m:t>)</m:t>
                    </m:r>
                  </m:oMath>
                </m:oMathPara>
              </a14:m>
              <a:endParaRPr lang="es-CO" sz="1100" b="1"/>
            </a:p>
          </xdr:txBody>
        </xdr:sp>
      </mc:Choice>
      <mc:Fallback xmlns="">
        <xdr:sp macro="" textlink="">
          <xdr:nvSpPr>
            <xdr:cNvPr id="7" name="CuadroTexto 6">
              <a:extLst>
                <a:ext uri="{FF2B5EF4-FFF2-40B4-BE49-F238E27FC236}">
                  <a16:creationId xmlns="" xmlns:a16="http://schemas.microsoft.com/office/drawing/2014/main" xmlns:a14="http://schemas.microsoft.com/office/drawing/2010/main" id="{00000000-0008-0000-1000-000007000000}"/>
                </a:ext>
              </a:extLst>
            </xdr:cNvPr>
            <xdr:cNvSpPr txBox="1"/>
          </xdr:nvSpPr>
          <xdr:spPr>
            <a:xfrm>
              <a:off x="1022070" y="23724720"/>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𝒂)</a:t>
              </a:r>
              <a:endParaRPr lang="es-CO" sz="1100" b="1"/>
            </a:p>
          </xdr:txBody>
        </xdr:sp>
      </mc:Fallback>
    </mc:AlternateContent>
    <xdr:clientData/>
  </xdr:oneCellAnchor>
  <xdr:oneCellAnchor>
    <xdr:from>
      <xdr:col>1</xdr:col>
      <xdr:colOff>186298</xdr:colOff>
      <xdr:row>63</xdr:row>
      <xdr:rowOff>266606</xdr:rowOff>
    </xdr:from>
    <xdr:ext cx="376642" cy="172227"/>
    <mc:AlternateContent xmlns:mc="http://schemas.openxmlformats.org/markup-compatibility/2006" xmlns:a14="http://schemas.microsoft.com/office/drawing/2010/main">
      <mc:Choice Requires="a14">
        <xdr:sp macro="" textlink="">
          <xdr:nvSpPr>
            <xdr:cNvPr id="8" name="CuadroTexto 7">
              <a:extLst>
                <a:ext uri="{FF2B5EF4-FFF2-40B4-BE49-F238E27FC236}">
                  <a16:creationId xmlns:a16="http://schemas.microsoft.com/office/drawing/2014/main" id="{00000000-0008-0000-1500-000008000000}"/>
                </a:ext>
              </a:extLst>
            </xdr:cNvPr>
            <xdr:cNvSpPr txBox="1"/>
          </xdr:nvSpPr>
          <xdr:spPr>
            <a:xfrm>
              <a:off x="1024498" y="244601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𝒕</m:t>
                        </m:r>
                      </m:sub>
                    </m:sSub>
                    <m:r>
                      <a:rPr lang="es-CO" sz="1100" b="1" i="1">
                        <a:latin typeface="Cambria Math" panose="02040503050406030204" pitchFamily="18" charset="0"/>
                      </a:rPr>
                      <m:t>)</m:t>
                    </m:r>
                  </m:oMath>
                </m:oMathPara>
              </a14:m>
              <a:endParaRPr lang="es-CO" sz="1100" b="1"/>
            </a:p>
          </xdr:txBody>
        </xdr:sp>
      </mc:Choice>
      <mc:Fallback xmlns="">
        <xdr:sp macro="" textlink="">
          <xdr:nvSpPr>
            <xdr:cNvPr id="8" name="CuadroTexto 7">
              <a:extLst>
                <a:ext uri="{FF2B5EF4-FFF2-40B4-BE49-F238E27FC236}">
                  <a16:creationId xmlns="" xmlns:a16="http://schemas.microsoft.com/office/drawing/2014/main" xmlns:a14="http://schemas.microsoft.com/office/drawing/2010/main" id="{00000000-0008-0000-1000-000008000000}"/>
                </a:ext>
              </a:extLst>
            </xdr:cNvPr>
            <xdr:cNvSpPr txBox="1"/>
          </xdr:nvSpPr>
          <xdr:spPr>
            <a:xfrm>
              <a:off x="1024498" y="244601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𝒕)</a:t>
              </a:r>
              <a:endParaRPr lang="es-CO" sz="1100" b="1"/>
            </a:p>
          </xdr:txBody>
        </xdr:sp>
      </mc:Fallback>
    </mc:AlternateContent>
    <xdr:clientData/>
  </xdr:oneCellAnchor>
  <xdr:oneCellAnchor>
    <xdr:from>
      <xdr:col>1</xdr:col>
      <xdr:colOff>186298</xdr:colOff>
      <xdr:row>64</xdr:row>
      <xdr:rowOff>222250</xdr:rowOff>
    </xdr:from>
    <xdr:ext cx="388696" cy="172227"/>
    <mc:AlternateContent xmlns:mc="http://schemas.openxmlformats.org/markup-compatibility/2006" xmlns:a14="http://schemas.microsoft.com/office/drawing/2010/main">
      <mc:Choice Requires="a14">
        <xdr:sp macro="" textlink="">
          <xdr:nvSpPr>
            <xdr:cNvPr id="9" name="CuadroTexto 8">
              <a:extLst>
                <a:ext uri="{FF2B5EF4-FFF2-40B4-BE49-F238E27FC236}">
                  <a16:creationId xmlns:a16="http://schemas.microsoft.com/office/drawing/2014/main" id="{00000000-0008-0000-1500-000009000000}"/>
                </a:ext>
              </a:extLst>
            </xdr:cNvPr>
            <xdr:cNvSpPr txBox="1"/>
          </xdr:nvSpPr>
          <xdr:spPr>
            <a:xfrm>
              <a:off x="1024498" y="25149175"/>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9" name="CuadroTexto 8">
              <a:extLst>
                <a:ext uri="{FF2B5EF4-FFF2-40B4-BE49-F238E27FC236}">
                  <a16:creationId xmlns="" xmlns:a16="http://schemas.microsoft.com/office/drawing/2014/main" xmlns:a14="http://schemas.microsoft.com/office/drawing/2010/main" id="{00000000-0008-0000-1000-000009000000}"/>
                </a:ext>
              </a:extLst>
            </xdr:cNvPr>
            <xdr:cNvSpPr txBox="1"/>
          </xdr:nvSpPr>
          <xdr:spPr>
            <a:xfrm>
              <a:off x="1024498" y="25149175"/>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𝒓)</a:t>
              </a:r>
              <a:endParaRPr lang="es-CO" sz="1100" b="1"/>
            </a:p>
          </xdr:txBody>
        </xdr:sp>
      </mc:Fallback>
    </mc:AlternateContent>
    <xdr:clientData/>
  </xdr:oneCellAnchor>
  <xdr:oneCellAnchor>
    <xdr:from>
      <xdr:col>1</xdr:col>
      <xdr:colOff>265579</xdr:colOff>
      <xdr:row>65</xdr:row>
      <xdr:rowOff>288458</xdr:rowOff>
    </xdr:from>
    <xdr:ext cx="191271" cy="172227"/>
    <mc:AlternateContent xmlns:mc="http://schemas.openxmlformats.org/markup-compatibility/2006" xmlns:a14="http://schemas.microsoft.com/office/drawing/2010/main">
      <mc:Choice Requires="a14">
        <xdr:sp macro="" textlink="">
          <xdr:nvSpPr>
            <xdr:cNvPr id="10" name="CuadroTexto 9">
              <a:extLst>
                <a:ext uri="{FF2B5EF4-FFF2-40B4-BE49-F238E27FC236}">
                  <a16:creationId xmlns:a16="http://schemas.microsoft.com/office/drawing/2014/main" id="{00000000-0008-0000-1500-00000A000000}"/>
                </a:ext>
              </a:extLst>
            </xdr:cNvPr>
            <xdr:cNvSpPr txBox="1"/>
          </xdr:nvSpPr>
          <xdr:spPr>
            <a:xfrm>
              <a:off x="1103779" y="2594880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𝒃</m:t>
                        </m:r>
                      </m:sub>
                    </m:sSub>
                  </m:oMath>
                </m:oMathPara>
              </a14:m>
              <a:endParaRPr lang="es-CO" sz="1100" b="1"/>
            </a:p>
          </xdr:txBody>
        </xdr:sp>
      </mc:Choice>
      <mc:Fallback xmlns="">
        <xdr:sp macro="" textlink="">
          <xdr:nvSpPr>
            <xdr:cNvPr id="10" name="CuadroTexto 9">
              <a:extLst>
                <a:ext uri="{FF2B5EF4-FFF2-40B4-BE49-F238E27FC236}">
                  <a16:creationId xmlns="" xmlns:a16="http://schemas.microsoft.com/office/drawing/2014/main" xmlns:a14="http://schemas.microsoft.com/office/drawing/2010/main" id="{00000000-0008-0000-1000-00000A000000}"/>
                </a:ext>
              </a:extLst>
            </xdr:cNvPr>
            <xdr:cNvSpPr txBox="1"/>
          </xdr:nvSpPr>
          <xdr:spPr>
            <a:xfrm>
              <a:off x="1103779" y="2594880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𝒖_𝒃</a:t>
              </a:r>
              <a:endParaRPr lang="es-CO" sz="1100" b="1"/>
            </a:p>
          </xdr:txBody>
        </xdr:sp>
      </mc:Fallback>
    </mc:AlternateContent>
    <xdr:clientData/>
  </xdr:oneCellAnchor>
  <xdr:oneCellAnchor>
    <xdr:from>
      <xdr:col>1</xdr:col>
      <xdr:colOff>261391</xdr:colOff>
      <xdr:row>66</xdr:row>
      <xdr:rowOff>294234</xdr:rowOff>
    </xdr:from>
    <xdr:ext cx="195053" cy="172227"/>
    <mc:AlternateContent xmlns:mc="http://schemas.openxmlformats.org/markup-compatibility/2006" xmlns:a14="http://schemas.microsoft.com/office/drawing/2010/main">
      <mc:Choice Requires="a14">
        <xdr:sp macro="" textlink="">
          <xdr:nvSpPr>
            <xdr:cNvPr id="11" name="CuadroTexto 10">
              <a:extLst>
                <a:ext uri="{FF2B5EF4-FFF2-40B4-BE49-F238E27FC236}">
                  <a16:creationId xmlns:a16="http://schemas.microsoft.com/office/drawing/2014/main" id="{00000000-0008-0000-1500-00000B000000}"/>
                </a:ext>
              </a:extLst>
            </xdr:cNvPr>
            <xdr:cNvSpPr txBox="1"/>
          </xdr:nvSpPr>
          <xdr:spPr>
            <a:xfrm>
              <a:off x="1099591" y="26688009"/>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𝒅</m:t>
                        </m:r>
                      </m:sub>
                    </m:sSub>
                  </m:oMath>
                </m:oMathPara>
              </a14:m>
              <a:endParaRPr lang="es-CO" sz="1100" b="1"/>
            </a:p>
          </xdr:txBody>
        </xdr:sp>
      </mc:Choice>
      <mc:Fallback xmlns="">
        <xdr:sp macro="" textlink="">
          <xdr:nvSpPr>
            <xdr:cNvPr id="11" name="CuadroTexto 10">
              <a:extLst>
                <a:ext uri="{FF2B5EF4-FFF2-40B4-BE49-F238E27FC236}">
                  <a16:creationId xmlns="" xmlns:a16="http://schemas.microsoft.com/office/drawing/2014/main" xmlns:a14="http://schemas.microsoft.com/office/drawing/2010/main" id="{00000000-0008-0000-1000-00000B000000}"/>
                </a:ext>
              </a:extLst>
            </xdr:cNvPr>
            <xdr:cNvSpPr txBox="1"/>
          </xdr:nvSpPr>
          <xdr:spPr>
            <a:xfrm>
              <a:off x="1099591" y="26688009"/>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𝒖_𝒅</a:t>
              </a:r>
              <a:endParaRPr lang="es-CO" sz="1100" b="1"/>
            </a:p>
          </xdr:txBody>
        </xdr:sp>
      </mc:Fallback>
    </mc:AlternateContent>
    <xdr:clientData/>
  </xdr:oneCellAnchor>
  <xdr:oneCellAnchor>
    <xdr:from>
      <xdr:col>5</xdr:col>
      <xdr:colOff>393571</xdr:colOff>
      <xdr:row>69</xdr:row>
      <xdr:rowOff>265119</xdr:rowOff>
    </xdr:from>
    <xdr:ext cx="529697" cy="172227"/>
    <mc:AlternateContent xmlns:mc="http://schemas.openxmlformats.org/markup-compatibility/2006" xmlns:a14="http://schemas.microsoft.com/office/drawing/2010/main">
      <mc:Choice Requires="a14">
        <xdr:sp macro="" textlink="">
          <xdr:nvSpPr>
            <xdr:cNvPr id="12" name="CuadroTexto 11">
              <a:extLst>
                <a:ext uri="{FF2B5EF4-FFF2-40B4-BE49-F238E27FC236}">
                  <a16:creationId xmlns:a16="http://schemas.microsoft.com/office/drawing/2014/main" id="{00000000-0008-0000-1500-00000C000000}"/>
                </a:ext>
              </a:extLst>
            </xdr:cNvPr>
            <xdr:cNvSpPr txBox="1"/>
          </xdr:nvSpPr>
          <xdr:spPr>
            <a:xfrm>
              <a:off x="5251321" y="28220994"/>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𝒄</m:t>
                        </m:r>
                      </m:sub>
                    </m:sSub>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12" name="CuadroTexto 11">
              <a:extLst>
                <a:ext uri="{FF2B5EF4-FFF2-40B4-BE49-F238E27FC236}">
                  <a16:creationId xmlns="" xmlns:a16="http://schemas.microsoft.com/office/drawing/2014/main" xmlns:a14="http://schemas.microsoft.com/office/drawing/2010/main" id="{00000000-0008-0000-1000-00000C000000}"/>
                </a:ext>
              </a:extLst>
            </xdr:cNvPr>
            <xdr:cNvSpPr txBox="1"/>
          </xdr:nvSpPr>
          <xdr:spPr>
            <a:xfrm>
              <a:off x="5251321" y="28220994"/>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𝒖_𝒄 (</a:t>
              </a:r>
              <a:r>
                <a:rPr lang="es-CO" sz="1100" b="1" i="0">
                  <a:latin typeface="Cambria Math" panose="02040503050406030204" pitchFamily="18" charset="0"/>
                  <a:ea typeface="Cambria Math" panose="02040503050406030204" pitchFamily="18" charset="0"/>
                </a:rPr>
                <a:t>𝒎_𝒄𝒕)</a:t>
              </a:r>
              <a:endParaRPr lang="es-CO" sz="1100" b="1"/>
            </a:p>
          </xdr:txBody>
        </xdr:sp>
      </mc:Fallback>
    </mc:AlternateContent>
    <xdr:clientData/>
  </xdr:oneCellAnchor>
  <xdr:oneCellAnchor>
    <xdr:from>
      <xdr:col>5</xdr:col>
      <xdr:colOff>243965</xdr:colOff>
      <xdr:row>70</xdr:row>
      <xdr:rowOff>130277</xdr:rowOff>
    </xdr:from>
    <xdr:ext cx="780598" cy="172227"/>
    <mc:AlternateContent xmlns:mc="http://schemas.openxmlformats.org/markup-compatibility/2006" xmlns:a14="http://schemas.microsoft.com/office/drawing/2010/main">
      <mc:Choice Requires="a14">
        <xdr:sp macro="" textlink="">
          <xdr:nvSpPr>
            <xdr:cNvPr id="13" name="CuadroTexto 12">
              <a:extLst>
                <a:ext uri="{FF2B5EF4-FFF2-40B4-BE49-F238E27FC236}">
                  <a16:creationId xmlns:a16="http://schemas.microsoft.com/office/drawing/2014/main" id="{00000000-0008-0000-1500-00000D000000}"/>
                </a:ext>
              </a:extLst>
            </xdr:cNvPr>
            <xdr:cNvSpPr txBox="1"/>
          </xdr:nvSpPr>
          <xdr:spPr>
            <a:xfrm>
              <a:off x="5101715" y="2874337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100" b="1" i="1">
                      <a:latin typeface="Cambria Math" panose="02040503050406030204" pitchFamily="18" charset="0"/>
                    </a:rPr>
                    <m:t>𝑼</m:t>
                  </m:r>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a14:m>
              <a:r>
                <a:rPr lang="es-CO" sz="1100" b="1"/>
                <a:t> (k=2)</a:t>
              </a:r>
            </a:p>
          </xdr:txBody>
        </xdr:sp>
      </mc:Choice>
      <mc:Fallback xmlns="">
        <xdr:sp macro="" textlink="">
          <xdr:nvSpPr>
            <xdr:cNvPr id="13" name="CuadroTexto 12">
              <a:extLst>
                <a:ext uri="{FF2B5EF4-FFF2-40B4-BE49-F238E27FC236}">
                  <a16:creationId xmlns="" xmlns:a16="http://schemas.microsoft.com/office/drawing/2014/main" xmlns:a14="http://schemas.microsoft.com/office/drawing/2010/main" id="{00000000-0008-0000-1000-00000D000000}"/>
                </a:ext>
              </a:extLst>
            </xdr:cNvPr>
            <xdr:cNvSpPr txBox="1"/>
          </xdr:nvSpPr>
          <xdr:spPr>
            <a:xfrm>
              <a:off x="5101715" y="2874337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100" b="1" i="0">
                  <a:latin typeface="Cambria Math" panose="02040503050406030204" pitchFamily="18" charset="0"/>
                </a:rPr>
                <a:t>𝑼(</a:t>
              </a:r>
              <a:r>
                <a:rPr lang="es-CO" sz="1100" b="1" i="0">
                  <a:latin typeface="Cambria Math" panose="02040503050406030204" pitchFamily="18" charset="0"/>
                  <a:ea typeface="Cambria Math" panose="02040503050406030204" pitchFamily="18" charset="0"/>
                </a:rPr>
                <a:t>𝒎_𝒄𝒕)</a:t>
              </a:r>
              <a:r>
                <a:rPr lang="es-CO" sz="1100" b="1"/>
                <a:t> (k=2)</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14" name="CuadroTexto 13">
              <a:extLst>
                <a:ext uri="{FF2B5EF4-FFF2-40B4-BE49-F238E27FC236}">
                  <a16:creationId xmlns:a16="http://schemas.microsoft.com/office/drawing/2014/main" id="{00000000-0008-0000-1500-00000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14" name="CuadroTexto 13">
              <a:extLst>
                <a:ext uri="{FF2B5EF4-FFF2-40B4-BE49-F238E27FC236}">
                  <a16:creationId xmlns="" xmlns:a16="http://schemas.microsoft.com/office/drawing/2014/main" xmlns:a14="http://schemas.microsoft.com/office/drawing/2010/main" id="{00000000-0008-0000-1000-00000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8</xdr:col>
      <xdr:colOff>541269</xdr:colOff>
      <xdr:row>52</xdr:row>
      <xdr:rowOff>78683</xdr:rowOff>
    </xdr:from>
    <xdr:ext cx="304571" cy="172227"/>
    <mc:AlternateContent xmlns:mc="http://schemas.openxmlformats.org/markup-compatibility/2006" xmlns:a14="http://schemas.microsoft.com/office/drawing/2010/main">
      <mc:Choice Requires="a14">
        <xdr:sp macro="" textlink="">
          <xdr:nvSpPr>
            <xdr:cNvPr id="15" name="CuadroTexto 14">
              <a:extLst>
                <a:ext uri="{FF2B5EF4-FFF2-40B4-BE49-F238E27FC236}">
                  <a16:creationId xmlns:a16="http://schemas.microsoft.com/office/drawing/2014/main" id="{00000000-0008-0000-1500-00000F000000}"/>
                </a:ext>
              </a:extLst>
            </xdr:cNvPr>
            <xdr:cNvSpPr txBox="1"/>
          </xdr:nvSpPr>
          <xdr:spPr>
            <a:xfrm>
              <a:off x="9313794" y="18623858"/>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oMath>
                </m:oMathPara>
              </a14:m>
              <a:endParaRPr lang="es-CO" sz="1100" b="1"/>
            </a:p>
          </xdr:txBody>
        </xdr:sp>
      </mc:Choice>
      <mc:Fallback xmlns="">
        <xdr:sp macro="" textlink="">
          <xdr:nvSpPr>
            <xdr:cNvPr id="15" name="CuadroTexto 14">
              <a:extLst>
                <a:ext uri="{FF2B5EF4-FFF2-40B4-BE49-F238E27FC236}">
                  <a16:creationId xmlns="" xmlns:a16="http://schemas.microsoft.com/office/drawing/2014/main" xmlns:a14="http://schemas.microsoft.com/office/drawing/2010/main" id="{00000000-0008-0000-1000-00000F000000}"/>
                </a:ext>
              </a:extLst>
            </xdr:cNvPr>
            <xdr:cNvSpPr txBox="1"/>
          </xdr:nvSpPr>
          <xdr:spPr>
            <a:xfrm>
              <a:off x="9313794" y="18623858"/>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4</xdr:col>
      <xdr:colOff>155713</xdr:colOff>
      <xdr:row>39</xdr:row>
      <xdr:rowOff>106017</xdr:rowOff>
    </xdr:from>
    <xdr:ext cx="65" cy="172227"/>
    <xdr:sp macro="" textlink="">
      <xdr:nvSpPr>
        <xdr:cNvPr id="16" name="CuadroTexto 15">
          <a:extLst>
            <a:ext uri="{FF2B5EF4-FFF2-40B4-BE49-F238E27FC236}">
              <a16:creationId xmlns:a16="http://schemas.microsoft.com/office/drawing/2014/main" id="{00000000-0008-0000-1500-000010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17" name="CuadroTexto 16">
              <a:extLst>
                <a:ext uri="{FF2B5EF4-FFF2-40B4-BE49-F238E27FC236}">
                  <a16:creationId xmlns:a16="http://schemas.microsoft.com/office/drawing/2014/main" id="{00000000-0008-0000-1500-000011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7" name="CuadroTexto 16">
              <a:extLst>
                <a:ext uri="{FF2B5EF4-FFF2-40B4-BE49-F238E27FC236}">
                  <a16:creationId xmlns="" xmlns:a16="http://schemas.microsoft.com/office/drawing/2014/main" xmlns:a14="http://schemas.microsoft.com/office/drawing/2010/main" id="{00000000-0008-0000-1000-000011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18" name="CuadroTexto 17">
              <a:extLst>
                <a:ext uri="{FF2B5EF4-FFF2-40B4-BE49-F238E27FC236}">
                  <a16:creationId xmlns:a16="http://schemas.microsoft.com/office/drawing/2014/main" id="{00000000-0008-0000-1500-000012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18" name="CuadroTexto 17">
              <a:extLst>
                <a:ext uri="{FF2B5EF4-FFF2-40B4-BE49-F238E27FC236}">
                  <a16:creationId xmlns="" xmlns:a16="http://schemas.microsoft.com/office/drawing/2014/main" xmlns:a14="http://schemas.microsoft.com/office/drawing/2010/main" id="{00000000-0008-0000-1000-000012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19" name="CuadroTexto 18">
              <a:extLst>
                <a:ext uri="{FF2B5EF4-FFF2-40B4-BE49-F238E27FC236}">
                  <a16:creationId xmlns:a16="http://schemas.microsoft.com/office/drawing/2014/main" id="{00000000-0008-0000-1500-000013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9" name="CuadroTexto 18">
              <a:extLst>
                <a:ext uri="{FF2B5EF4-FFF2-40B4-BE49-F238E27FC236}">
                  <a16:creationId xmlns="" xmlns:a16="http://schemas.microsoft.com/office/drawing/2014/main" xmlns:a14="http://schemas.microsoft.com/office/drawing/2010/main" id="{00000000-0008-0000-1000-000013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0" name="CuadroTexto 19">
              <a:extLst>
                <a:ext uri="{FF2B5EF4-FFF2-40B4-BE49-F238E27FC236}">
                  <a16:creationId xmlns:a16="http://schemas.microsoft.com/office/drawing/2014/main" id="{00000000-0008-0000-1500-000014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0" name="CuadroTexto 19">
              <a:extLst>
                <a:ext uri="{FF2B5EF4-FFF2-40B4-BE49-F238E27FC236}">
                  <a16:creationId xmlns="" xmlns:a16="http://schemas.microsoft.com/office/drawing/2014/main" xmlns:a14="http://schemas.microsoft.com/office/drawing/2010/main" id="{00000000-0008-0000-1000-000014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1" name="CuadroTexto 20">
          <a:extLst>
            <a:ext uri="{FF2B5EF4-FFF2-40B4-BE49-F238E27FC236}">
              <a16:creationId xmlns:a16="http://schemas.microsoft.com/office/drawing/2014/main" id="{00000000-0008-0000-1500-000015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3</xdr:col>
      <xdr:colOff>236456</xdr:colOff>
      <xdr:row>73</xdr:row>
      <xdr:rowOff>141002</xdr:rowOff>
    </xdr:from>
    <xdr:ext cx="730521" cy="219163"/>
    <mc:AlternateContent xmlns:mc="http://schemas.openxmlformats.org/markup-compatibility/2006" xmlns:a14="http://schemas.microsoft.com/office/drawing/2010/main">
      <mc:Choice Requires="a14">
        <xdr:sp macro="" textlink="">
          <xdr:nvSpPr>
            <xdr:cNvPr id="22" name="CuadroTexto 21">
              <a:extLst>
                <a:ext uri="{FF2B5EF4-FFF2-40B4-BE49-F238E27FC236}">
                  <a16:creationId xmlns:a16="http://schemas.microsoft.com/office/drawing/2014/main" id="{00000000-0008-0000-1500-000016000000}"/>
                </a:ext>
              </a:extLst>
            </xdr:cNvPr>
            <xdr:cNvSpPr txBox="1"/>
          </xdr:nvSpPr>
          <xdr:spPr>
            <a:xfrm>
              <a:off x="2922506" y="30059027"/>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m:t>
                  </m:r>
                  <m:sSub>
                    <m:sSubPr>
                      <m:ctrlPr>
                        <a:rPr lang="es-CO" sz="1400" b="1" i="1">
                          <a:latin typeface="Cambria Math" panose="02040503050406030204" pitchFamily="18" charset="0"/>
                          <a:ea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𝒎</m:t>
                      </m:r>
                    </m:e>
                    <m:sub>
                      <m:r>
                        <a:rPr lang="es-CO" sz="1400" b="1" i="1">
                          <a:latin typeface="Cambria Math" panose="02040503050406030204" pitchFamily="18" charset="0"/>
                          <a:ea typeface="Cambria Math" panose="02040503050406030204" pitchFamily="18" charset="0"/>
                        </a:rPr>
                        <m:t>𝒄</m:t>
                      </m:r>
                    </m:sub>
                  </m:sSub>
                </m:oMath>
              </a14:m>
              <a:r>
                <a:rPr lang="es-CO" sz="1400" b="1" i="1"/>
                <a:t> (mg</a:t>
              </a:r>
              <a:r>
                <a:rPr lang="es-CO" sz="1200" b="1" i="0"/>
                <a:t>)</a:t>
              </a:r>
            </a:p>
          </xdr:txBody>
        </xdr:sp>
      </mc:Choice>
      <mc:Fallback xmlns="">
        <xdr:sp macro="" textlink="">
          <xdr:nvSpPr>
            <xdr:cNvPr id="22" name="CuadroTexto 21">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2922506" y="30059027"/>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400" b="1" i="0">
                  <a:latin typeface="Cambria Math" panose="02040503050406030204" pitchFamily="18" charset="0"/>
                  <a:ea typeface="Cambria Math" panose="02040503050406030204" pitchFamily="18" charset="0"/>
                </a:rPr>
                <a:t>∆𝒎_𝒄</a:t>
              </a:r>
              <a:r>
                <a:rPr lang="es-CO" sz="1400" b="1" i="1"/>
                <a:t> (mg</a:t>
              </a:r>
              <a:r>
                <a:rPr lang="es-CO" sz="1200" b="1" i="0"/>
                <a:t>)</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23" name="CuadroTexto 22">
              <a:extLst>
                <a:ext uri="{FF2B5EF4-FFF2-40B4-BE49-F238E27FC236}">
                  <a16:creationId xmlns:a16="http://schemas.microsoft.com/office/drawing/2014/main" id="{00000000-0008-0000-1500-000017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23" name="CuadroTexto 22">
              <a:extLst>
                <a:ext uri="{FF2B5EF4-FFF2-40B4-BE49-F238E27FC236}">
                  <a16:creationId xmlns="" xmlns:a16="http://schemas.microsoft.com/office/drawing/2014/main" xmlns:a14="http://schemas.microsoft.com/office/drawing/2010/main" id="{00000000-0008-0000-1000-000023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24" name="CuadroTexto 23">
          <a:extLst>
            <a:ext uri="{FF2B5EF4-FFF2-40B4-BE49-F238E27FC236}">
              <a16:creationId xmlns:a16="http://schemas.microsoft.com/office/drawing/2014/main" id="{00000000-0008-0000-1500-000018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25" name="CuadroTexto 24">
              <a:extLst>
                <a:ext uri="{FF2B5EF4-FFF2-40B4-BE49-F238E27FC236}">
                  <a16:creationId xmlns:a16="http://schemas.microsoft.com/office/drawing/2014/main" id="{00000000-0008-0000-1500-000019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5" name="CuadroTexto 24">
              <a:extLst>
                <a:ext uri="{FF2B5EF4-FFF2-40B4-BE49-F238E27FC236}">
                  <a16:creationId xmlns="" xmlns:a16="http://schemas.microsoft.com/office/drawing/2014/main" xmlns:a14="http://schemas.microsoft.com/office/drawing/2010/main" id="{00000000-0008-0000-1000-000026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26" name="CuadroTexto 25">
              <a:extLst>
                <a:ext uri="{FF2B5EF4-FFF2-40B4-BE49-F238E27FC236}">
                  <a16:creationId xmlns:a16="http://schemas.microsoft.com/office/drawing/2014/main" id="{00000000-0008-0000-1500-00001A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6" name="CuadroTexto 25">
              <a:extLst>
                <a:ext uri="{FF2B5EF4-FFF2-40B4-BE49-F238E27FC236}">
                  <a16:creationId xmlns="" xmlns:a16="http://schemas.microsoft.com/office/drawing/2014/main" xmlns:a14="http://schemas.microsoft.com/office/drawing/2010/main" id="{00000000-0008-0000-1000-000027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27" name="CuadroTexto 26">
              <a:extLst>
                <a:ext uri="{FF2B5EF4-FFF2-40B4-BE49-F238E27FC236}">
                  <a16:creationId xmlns:a16="http://schemas.microsoft.com/office/drawing/2014/main" id="{00000000-0008-0000-1500-00001B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7" name="CuadroTexto 26">
              <a:extLst>
                <a:ext uri="{FF2B5EF4-FFF2-40B4-BE49-F238E27FC236}">
                  <a16:creationId xmlns="" xmlns:a16="http://schemas.microsoft.com/office/drawing/2014/main" xmlns:a14="http://schemas.microsoft.com/office/drawing/2010/main" id="{00000000-0008-0000-1000-000028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8" name="CuadroTexto 27">
              <a:extLst>
                <a:ext uri="{FF2B5EF4-FFF2-40B4-BE49-F238E27FC236}">
                  <a16:creationId xmlns:a16="http://schemas.microsoft.com/office/drawing/2014/main" id="{00000000-0008-0000-1500-00001C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8" name="CuadroTexto 27">
              <a:extLst>
                <a:ext uri="{FF2B5EF4-FFF2-40B4-BE49-F238E27FC236}">
                  <a16:creationId xmlns="" xmlns:a16="http://schemas.microsoft.com/office/drawing/2014/main" xmlns:a14="http://schemas.microsoft.com/office/drawing/2010/main" id="{00000000-0008-0000-1000-000029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9" name="CuadroTexto 28">
          <a:extLst>
            <a:ext uri="{FF2B5EF4-FFF2-40B4-BE49-F238E27FC236}">
              <a16:creationId xmlns:a16="http://schemas.microsoft.com/office/drawing/2014/main" id="{00000000-0008-0000-1500-00001D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30" name="CuadroTexto 29">
              <a:extLst>
                <a:ext uri="{FF2B5EF4-FFF2-40B4-BE49-F238E27FC236}">
                  <a16:creationId xmlns:a16="http://schemas.microsoft.com/office/drawing/2014/main" id="{00000000-0008-0000-1500-00001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30" name="CuadroTexto 29">
              <a:extLst>
                <a:ext uri="{FF2B5EF4-FFF2-40B4-BE49-F238E27FC236}">
                  <a16:creationId xmlns="" xmlns:a16="http://schemas.microsoft.com/office/drawing/2014/main" xmlns:a14="http://schemas.microsoft.com/office/drawing/2010/main" id="{00000000-0008-0000-1000-000038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31" name="CuadroTexto 30">
          <a:extLst>
            <a:ext uri="{FF2B5EF4-FFF2-40B4-BE49-F238E27FC236}">
              <a16:creationId xmlns:a16="http://schemas.microsoft.com/office/drawing/2014/main" id="{00000000-0008-0000-1500-00001F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32" name="CuadroTexto 31">
              <a:extLst>
                <a:ext uri="{FF2B5EF4-FFF2-40B4-BE49-F238E27FC236}">
                  <a16:creationId xmlns:a16="http://schemas.microsoft.com/office/drawing/2014/main" id="{00000000-0008-0000-1500-000020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2" name="CuadroTexto 31">
              <a:extLst>
                <a:ext uri="{FF2B5EF4-FFF2-40B4-BE49-F238E27FC236}">
                  <a16:creationId xmlns="" xmlns:a16="http://schemas.microsoft.com/office/drawing/2014/main" xmlns:a14="http://schemas.microsoft.com/office/drawing/2010/main" id="{00000000-0008-0000-1000-00003B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33" name="CuadroTexto 32">
              <a:extLst>
                <a:ext uri="{FF2B5EF4-FFF2-40B4-BE49-F238E27FC236}">
                  <a16:creationId xmlns:a16="http://schemas.microsoft.com/office/drawing/2014/main" id="{00000000-0008-0000-1500-000021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3" name="CuadroTexto 32">
              <a:extLst>
                <a:ext uri="{FF2B5EF4-FFF2-40B4-BE49-F238E27FC236}">
                  <a16:creationId xmlns="" xmlns:a16="http://schemas.microsoft.com/office/drawing/2014/main" xmlns:a14="http://schemas.microsoft.com/office/drawing/2010/main" id="{00000000-0008-0000-1000-00003C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34" name="CuadroTexto 33">
              <a:extLst>
                <a:ext uri="{FF2B5EF4-FFF2-40B4-BE49-F238E27FC236}">
                  <a16:creationId xmlns:a16="http://schemas.microsoft.com/office/drawing/2014/main" id="{00000000-0008-0000-1500-000022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4" name="CuadroTexto 33">
              <a:extLst>
                <a:ext uri="{FF2B5EF4-FFF2-40B4-BE49-F238E27FC236}">
                  <a16:creationId xmlns="" xmlns:a16="http://schemas.microsoft.com/office/drawing/2014/main" xmlns:a14="http://schemas.microsoft.com/office/drawing/2010/main" id="{00000000-0008-0000-1000-00003D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35" name="CuadroTexto 34">
              <a:extLst>
                <a:ext uri="{FF2B5EF4-FFF2-40B4-BE49-F238E27FC236}">
                  <a16:creationId xmlns:a16="http://schemas.microsoft.com/office/drawing/2014/main" id="{00000000-0008-0000-1500-000023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5" name="CuadroTexto 34">
              <a:extLst>
                <a:ext uri="{FF2B5EF4-FFF2-40B4-BE49-F238E27FC236}">
                  <a16:creationId xmlns="" xmlns:a16="http://schemas.microsoft.com/office/drawing/2014/main" xmlns:a14="http://schemas.microsoft.com/office/drawing/2010/main" id="{00000000-0008-0000-1000-00003E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36" name="CuadroTexto 35">
          <a:extLst>
            <a:ext uri="{FF2B5EF4-FFF2-40B4-BE49-F238E27FC236}">
              <a16:creationId xmlns:a16="http://schemas.microsoft.com/office/drawing/2014/main" id="{00000000-0008-0000-1500-000024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11</xdr:col>
      <xdr:colOff>628650</xdr:colOff>
      <xdr:row>61</xdr:row>
      <xdr:rowOff>0</xdr:rowOff>
    </xdr:from>
    <xdr:ext cx="65" cy="172227"/>
    <xdr:sp macro="" textlink="">
      <xdr:nvSpPr>
        <xdr:cNvPr id="38" name="CuadroTexto 37">
          <a:extLst>
            <a:ext uri="{FF2B5EF4-FFF2-40B4-BE49-F238E27FC236}">
              <a16:creationId xmlns:a16="http://schemas.microsoft.com/office/drawing/2014/main" id="{00000000-0008-0000-1500-000026000000}"/>
            </a:ext>
          </a:extLst>
        </xdr:cNvPr>
        <xdr:cNvSpPr txBox="1"/>
      </xdr:nvSpPr>
      <xdr:spPr>
        <a:xfrm>
          <a:off x="12001500" y="2272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5</xdr:col>
      <xdr:colOff>539750</xdr:colOff>
      <xdr:row>73</xdr:row>
      <xdr:rowOff>158749</xdr:rowOff>
    </xdr:from>
    <xdr:ext cx="984250" cy="210507"/>
    <mc:AlternateContent xmlns:mc="http://schemas.openxmlformats.org/markup-compatibility/2006" xmlns:a14="http://schemas.microsoft.com/office/drawing/2010/main">
      <mc:Choice Requires="a14">
        <xdr:sp macro="" textlink="">
          <xdr:nvSpPr>
            <xdr:cNvPr id="39" name="CuadroTexto 38">
              <a:extLst>
                <a:ext uri="{FF2B5EF4-FFF2-40B4-BE49-F238E27FC236}">
                  <a16:creationId xmlns:a16="http://schemas.microsoft.com/office/drawing/2014/main" id="{00000000-0008-0000-1500-000027000000}"/>
                </a:ext>
              </a:extLst>
            </xdr:cNvPr>
            <xdr:cNvSpPr txBox="1"/>
          </xdr:nvSpPr>
          <xdr:spPr>
            <a:xfrm>
              <a:off x="5397500" y="30076774"/>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𝒆</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39" name="CuadroTexto 38">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5397500" y="30076774"/>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𝒆 𝒄𝒕</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4</xdr:col>
      <xdr:colOff>52917</xdr:colOff>
      <xdr:row>73</xdr:row>
      <xdr:rowOff>148167</xdr:rowOff>
    </xdr:from>
    <xdr:ext cx="984250" cy="210507"/>
    <mc:AlternateContent xmlns:mc="http://schemas.openxmlformats.org/markup-compatibility/2006" xmlns:a14="http://schemas.microsoft.com/office/drawing/2010/main">
      <mc:Choice Requires="a14">
        <xdr:sp macro="" textlink="">
          <xdr:nvSpPr>
            <xdr:cNvPr id="40" name="CuadroTexto 39">
              <a:extLst>
                <a:ext uri="{FF2B5EF4-FFF2-40B4-BE49-F238E27FC236}">
                  <a16:creationId xmlns:a16="http://schemas.microsoft.com/office/drawing/2014/main" id="{00000000-0008-0000-1500-000028000000}"/>
                </a:ext>
              </a:extLst>
            </xdr:cNvPr>
            <xdr:cNvSpPr txBox="1"/>
          </xdr:nvSpPr>
          <xdr:spPr>
            <a:xfrm>
              <a:off x="3872442" y="30066192"/>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0" name="CuadroTexto 39">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3872442" y="30066192"/>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𝒄𝒕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1</xdr:col>
      <xdr:colOff>35718</xdr:colOff>
      <xdr:row>73</xdr:row>
      <xdr:rowOff>95250</xdr:rowOff>
    </xdr:from>
    <xdr:ext cx="726282" cy="214313"/>
    <mc:AlternateContent xmlns:mc="http://schemas.openxmlformats.org/markup-compatibility/2006" xmlns:a14="http://schemas.microsoft.com/office/drawing/2010/main">
      <mc:Choice Requires="a14">
        <xdr:sp macro="" textlink="">
          <xdr:nvSpPr>
            <xdr:cNvPr id="42" name="CuadroTexto 41">
              <a:extLst>
                <a:ext uri="{FF2B5EF4-FFF2-40B4-BE49-F238E27FC236}">
                  <a16:creationId xmlns:a16="http://schemas.microsoft.com/office/drawing/2014/main" id="{00000000-0008-0000-1500-00002A000000}"/>
                </a:ext>
              </a:extLst>
            </xdr:cNvPr>
            <xdr:cNvSpPr txBox="1"/>
          </xdr:nvSpPr>
          <xdr:spPr>
            <a:xfrm>
              <a:off x="1012031" y="30206156"/>
              <a:ext cx="726282" cy="2143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𝑵𝒓</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2" name="CuadroTexto 41">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1012031" y="30206156"/>
              <a:ext cx="726282" cy="2143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𝑵𝒓 (𝒈</a:t>
              </a:r>
              <a:r>
                <a:rPr lang="es-CO" sz="1400" b="1" i="0">
                  <a:latin typeface="Cambria Math"/>
                  <a:ea typeface="Cambria Math" panose="02040503050406030204" pitchFamily="18" charset="0"/>
                </a:rPr>
                <a:t>)</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8</xdr:col>
      <xdr:colOff>624417</xdr:colOff>
      <xdr:row>73</xdr:row>
      <xdr:rowOff>285751</xdr:rowOff>
    </xdr:from>
    <xdr:ext cx="1524000" cy="210507"/>
    <mc:AlternateContent xmlns:mc="http://schemas.openxmlformats.org/markup-compatibility/2006" xmlns:a14="http://schemas.microsoft.com/office/drawing/2010/main">
      <mc:Choice Requires="a14">
        <xdr:sp macro="" textlink="">
          <xdr:nvSpPr>
            <xdr:cNvPr id="43" name="CuadroTexto 42">
              <a:extLst>
                <a:ext uri="{FF2B5EF4-FFF2-40B4-BE49-F238E27FC236}">
                  <a16:creationId xmlns:a16="http://schemas.microsoft.com/office/drawing/2014/main" id="{00000000-0008-0000-1500-00002B000000}"/>
                </a:ext>
              </a:extLst>
            </xdr:cNvPr>
            <xdr:cNvSpPr txBox="1"/>
          </xdr:nvSpPr>
          <xdr:spPr>
            <a:xfrm>
              <a:off x="9396942" y="30203776"/>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𝑼</m:t>
                  </m:r>
                  <m:r>
                    <a:rPr lang="es-CO" sz="1400" b="1" i="1">
                      <a:latin typeface="Cambria Math" panose="02040503050406030204" pitchFamily="18" charset="0"/>
                      <a:ea typeface="Cambria Math" panose="02040503050406030204" pitchFamily="18" charset="0"/>
                    </a:rPr>
                    <m:t> </m:t>
                  </m:r>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 </m:t>
                  </m:r>
                  <m:r>
                    <a:rPr lang="es-CO" sz="1400" b="1" i="1">
                      <a:latin typeface="Cambria Math" panose="02040503050406030204" pitchFamily="18" charset="0"/>
                      <a:ea typeface="Cambria Math" panose="02040503050406030204" pitchFamily="18" charset="0"/>
                    </a:rPr>
                    <m:t>𝒌</m:t>
                  </m:r>
                  <m:r>
                    <a:rPr lang="es-CO" sz="1400" b="1" i="1">
                      <a:latin typeface="Cambria Math" panose="02040503050406030204" pitchFamily="18" charset="0"/>
                      <a:ea typeface="Cambria Math" panose="02040503050406030204" pitchFamily="18" charset="0"/>
                    </a:rPr>
                    <m:t>=</m:t>
                  </m:r>
                  <m:r>
                    <a:rPr lang="es-CO" sz="1400" b="1" i="1">
                      <a:latin typeface="Cambria Math" panose="02040503050406030204" pitchFamily="18" charset="0"/>
                      <a:ea typeface="Cambria Math" panose="02040503050406030204" pitchFamily="18" charset="0"/>
                    </a:rPr>
                    <m:t>𝟐</m:t>
                  </m:r>
                </m:oMath>
              </a14:m>
              <a:r>
                <a:rPr lang="es-CO" sz="1400" b="1" i="1">
                  <a:latin typeface="Arial" panose="020B0604020202020204" pitchFamily="34" charset="0"/>
                  <a:cs typeface="Arial" panose="020B0604020202020204" pitchFamily="34" charset="0"/>
                </a:rPr>
                <a:t>)</a:t>
              </a:r>
            </a:p>
          </xdr:txBody>
        </xdr:sp>
      </mc:Choice>
      <mc:Fallback xmlns="">
        <xdr:sp macro="" textlink="">
          <xdr:nvSpPr>
            <xdr:cNvPr id="43" name="CuadroTexto 42">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9396942" y="30203776"/>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0">
                  <a:latin typeface="Cambria Math" panose="02040503050406030204" pitchFamily="18" charset="0"/>
                  <a:ea typeface="Cambria Math" panose="02040503050406030204" pitchFamily="18" charset="0"/>
                </a:rPr>
                <a:t>𝑼 </a:t>
              </a:r>
              <a:r>
                <a:rPr lang="es-CO" sz="1400" b="1" i="0">
                  <a:latin typeface="Cambria Math"/>
                  <a:ea typeface="Cambria Math" panose="02040503050406030204" pitchFamily="18" charset="0"/>
                </a:rPr>
                <a:t>(</a:t>
              </a:r>
              <a:r>
                <a:rPr lang="es-CO" sz="1400" b="1" i="0">
                  <a:latin typeface="Cambria Math" panose="02040503050406030204" pitchFamily="18" charset="0"/>
                  <a:ea typeface="Cambria Math" panose="02040503050406030204" pitchFamily="18" charset="0"/>
                </a:rPr>
                <a:t> 𝒎 𝒄𝒕 </a:t>
              </a:r>
              <a:r>
                <a:rPr lang="es-CO" sz="1400" b="1" i="0">
                  <a:latin typeface="Cambria Math"/>
                  <a:ea typeface="Cambria Math" panose="02040503050406030204" pitchFamily="18" charset="0"/>
                </a:rPr>
                <a:t>)</a:t>
              </a:r>
              <a:r>
                <a:rPr lang="es-CO" sz="1400" b="1" i="0">
                  <a:latin typeface="Cambria Math" panose="02040503050406030204" pitchFamily="18" charset="0"/>
                  <a:ea typeface="Cambria Math" panose="02040503050406030204" pitchFamily="18" charset="0"/>
                </a:rPr>
                <a:t>  ( 𝒌=𝟐</a:t>
              </a:r>
              <a:r>
                <a:rPr lang="es-CO" sz="1400" b="1" i="1">
                  <a:latin typeface="Arial" panose="020B0604020202020204" pitchFamily="34" charset="0"/>
                  <a:cs typeface="Arial" panose="020B0604020202020204" pitchFamily="34" charset="0"/>
                </a:rPr>
                <a:t>)</a:t>
              </a:r>
            </a:p>
          </xdr:txBody>
        </xdr:sp>
      </mc:Fallback>
    </mc:AlternateContent>
    <xdr:clientData/>
  </xdr:oneCellAnchor>
  <xdr:oneCellAnchor>
    <xdr:from>
      <xdr:col>9</xdr:col>
      <xdr:colOff>603252</xdr:colOff>
      <xdr:row>74</xdr:row>
      <xdr:rowOff>84667</xdr:rowOff>
    </xdr:from>
    <xdr:ext cx="465666" cy="219163"/>
    <xdr:sp macro="" textlink="">
      <xdr:nvSpPr>
        <xdr:cNvPr id="44" name="CuadroTexto 43">
          <a:extLst>
            <a:ext uri="{FF2B5EF4-FFF2-40B4-BE49-F238E27FC236}">
              <a16:creationId xmlns:a16="http://schemas.microsoft.com/office/drawing/2014/main" id="{00000000-0008-0000-1500-00002C000000}"/>
            </a:ext>
          </a:extLst>
        </xdr:cNvPr>
        <xdr:cNvSpPr txBox="1"/>
      </xdr:nvSpPr>
      <xdr:spPr>
        <a:xfrm>
          <a:off x="10299702" y="30517042"/>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9</xdr:col>
      <xdr:colOff>571499</xdr:colOff>
      <xdr:row>75</xdr:row>
      <xdr:rowOff>116416</xdr:rowOff>
    </xdr:from>
    <xdr:ext cx="359835" cy="219163"/>
    <xdr:sp macro="" textlink="">
      <xdr:nvSpPr>
        <xdr:cNvPr id="45" name="CuadroTexto 44">
          <a:extLst>
            <a:ext uri="{FF2B5EF4-FFF2-40B4-BE49-F238E27FC236}">
              <a16:creationId xmlns:a16="http://schemas.microsoft.com/office/drawing/2014/main" id="{00000000-0008-0000-1500-00002D000000}"/>
            </a:ext>
          </a:extLst>
        </xdr:cNvPr>
        <xdr:cNvSpPr txBox="1"/>
      </xdr:nvSpPr>
      <xdr:spPr>
        <a:xfrm>
          <a:off x="10267949" y="30986941"/>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6</xdr:col>
      <xdr:colOff>275167</xdr:colOff>
      <xdr:row>74</xdr:row>
      <xdr:rowOff>148166</xdr:rowOff>
    </xdr:from>
    <xdr:ext cx="465666" cy="219163"/>
    <xdr:sp macro="" textlink="">
      <xdr:nvSpPr>
        <xdr:cNvPr id="46" name="CuadroTexto 45">
          <a:extLst>
            <a:ext uri="{FF2B5EF4-FFF2-40B4-BE49-F238E27FC236}">
              <a16:creationId xmlns:a16="http://schemas.microsoft.com/office/drawing/2014/main" id="{00000000-0008-0000-1500-00002E000000}"/>
            </a:ext>
          </a:extLst>
        </xdr:cNvPr>
        <xdr:cNvSpPr txBox="1"/>
      </xdr:nvSpPr>
      <xdr:spPr>
        <a:xfrm>
          <a:off x="6371167" y="30580541"/>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6</xdr:col>
      <xdr:colOff>328083</xdr:colOff>
      <xdr:row>75</xdr:row>
      <xdr:rowOff>84667</xdr:rowOff>
    </xdr:from>
    <xdr:ext cx="359835" cy="219163"/>
    <xdr:sp macro="" textlink="">
      <xdr:nvSpPr>
        <xdr:cNvPr id="47" name="CuadroTexto 46">
          <a:extLst>
            <a:ext uri="{FF2B5EF4-FFF2-40B4-BE49-F238E27FC236}">
              <a16:creationId xmlns:a16="http://schemas.microsoft.com/office/drawing/2014/main" id="{00000000-0008-0000-1500-00002F000000}"/>
            </a:ext>
          </a:extLst>
        </xdr:cNvPr>
        <xdr:cNvSpPr txBox="1"/>
      </xdr:nvSpPr>
      <xdr:spPr>
        <a:xfrm>
          <a:off x="6424083" y="30955192"/>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3</xdr:col>
      <xdr:colOff>560916</xdr:colOff>
      <xdr:row>72</xdr:row>
      <xdr:rowOff>74084</xdr:rowOff>
    </xdr:from>
    <xdr:ext cx="1524000" cy="210507"/>
    <mc:AlternateContent xmlns:mc="http://schemas.openxmlformats.org/markup-compatibility/2006" xmlns:a14="http://schemas.microsoft.com/office/drawing/2010/main">
      <mc:Choice Requires="a14">
        <xdr:sp macro="" textlink="">
          <xdr:nvSpPr>
            <xdr:cNvPr id="48" name="CuadroTexto 47">
              <a:extLst>
                <a:ext uri="{FF2B5EF4-FFF2-40B4-BE49-F238E27FC236}">
                  <a16:creationId xmlns:a16="http://schemas.microsoft.com/office/drawing/2014/main" id="{00000000-0008-0000-1500-000030000000}"/>
                </a:ext>
              </a:extLst>
            </xdr:cNvPr>
            <xdr:cNvSpPr txBox="1"/>
          </xdr:nvSpPr>
          <xdr:spPr>
            <a:xfrm>
              <a:off x="3246966" y="29553959"/>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m:t>
                    </m:r>
                  </m:oMath>
                </m:oMathPara>
              </a14:m>
              <a:endParaRPr lang="es-CO" sz="1400" b="1" i="1">
                <a:latin typeface="Arial" panose="020B0604020202020204" pitchFamily="34" charset="0"/>
                <a:cs typeface="Arial" panose="020B0604020202020204" pitchFamily="34" charset="0"/>
              </a:endParaRPr>
            </a:p>
          </xdr:txBody>
        </xdr:sp>
      </mc:Choice>
      <mc:Fallback xmlns="">
        <xdr:sp macro="" textlink="">
          <xdr:nvSpPr>
            <xdr:cNvPr id="48" name="CuadroTexto 47">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3246966" y="29553959"/>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 𝒎 𝒄𝒕 )   </a:t>
              </a:r>
              <a:endParaRPr lang="es-CO" sz="1400" b="1" i="1">
                <a:latin typeface="Arial" panose="020B0604020202020204" pitchFamily="34" charset="0"/>
                <a:cs typeface="Arial" panose="020B0604020202020204" pitchFamily="34" charset="0"/>
              </a:endParaRPr>
            </a:p>
          </xdr:txBody>
        </xdr:sp>
      </mc:Fallback>
    </mc:AlternateContent>
    <xdr:clientData/>
  </xdr:oneCellAnchor>
  <xdr:oneCellAnchor>
    <xdr:from>
      <xdr:col>7</xdr:col>
      <xdr:colOff>411956</xdr:colOff>
      <xdr:row>71</xdr:row>
      <xdr:rowOff>406003</xdr:rowOff>
    </xdr:from>
    <xdr:ext cx="65" cy="172227"/>
    <xdr:sp macro="" textlink="">
      <xdr:nvSpPr>
        <xdr:cNvPr id="49" name="CuadroTexto 48">
          <a:extLst>
            <a:ext uri="{FF2B5EF4-FFF2-40B4-BE49-F238E27FC236}">
              <a16:creationId xmlns:a16="http://schemas.microsoft.com/office/drawing/2014/main" id="{00000000-0008-0000-1500-000031000000}"/>
            </a:ext>
          </a:extLst>
        </xdr:cNvPr>
        <xdr:cNvSpPr txBox="1"/>
      </xdr:nvSpPr>
      <xdr:spPr>
        <a:xfrm>
          <a:off x="7555706" y="29457253"/>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51" name="CuadroTexto 50">
              <a:extLst>
                <a:ext uri="{FF2B5EF4-FFF2-40B4-BE49-F238E27FC236}">
                  <a16:creationId xmlns:a16="http://schemas.microsoft.com/office/drawing/2014/main" id="{00000000-0008-0000-1500-000033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51" name="CuadroTexto 50">
              <a:extLst>
                <a:ext uri="{FF2B5EF4-FFF2-40B4-BE49-F238E27FC236}">
                  <a16:creationId xmlns:a16="http://schemas.microsoft.com/office/drawing/2014/main" id="{212DF9CE-2F31-4BFC-98FA-B29F5D59B513}"/>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52" name="CuadroTexto 51">
              <a:extLst>
                <a:ext uri="{FF2B5EF4-FFF2-40B4-BE49-F238E27FC236}">
                  <a16:creationId xmlns:a16="http://schemas.microsoft.com/office/drawing/2014/main" id="{00000000-0008-0000-1500-000034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52" name="CuadroTexto 51">
              <a:extLst>
                <a:ext uri="{FF2B5EF4-FFF2-40B4-BE49-F238E27FC236}">
                  <a16:creationId xmlns:a16="http://schemas.microsoft.com/office/drawing/2014/main" id="{6E0D46CF-C7EF-4A38-A3A3-39953B09A965}"/>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twoCellAnchor>
    <xdr:from>
      <xdr:col>7</xdr:col>
      <xdr:colOff>849312</xdr:colOff>
      <xdr:row>62</xdr:row>
      <xdr:rowOff>214313</xdr:rowOff>
    </xdr:from>
    <xdr:to>
      <xdr:col>11</xdr:col>
      <xdr:colOff>785811</xdr:colOff>
      <xdr:row>64</xdr:row>
      <xdr:rowOff>484188</xdr:rowOff>
    </xdr:to>
    <xdr:graphicFrame macro="">
      <xdr:nvGraphicFramePr>
        <xdr:cNvPr id="53" name="Gráfico 52">
          <a:extLst>
            <a:ext uri="{FF2B5EF4-FFF2-40B4-BE49-F238E27FC236}">
              <a16:creationId xmlns:a16="http://schemas.microsoft.com/office/drawing/2014/main" id="{00000000-0008-0000-1500-00003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226219</xdr:colOff>
      <xdr:row>0</xdr:row>
      <xdr:rowOff>35719</xdr:rowOff>
    </xdr:from>
    <xdr:to>
      <xdr:col>1</xdr:col>
      <xdr:colOff>621625</xdr:colOff>
      <xdr:row>0</xdr:row>
      <xdr:rowOff>675854</xdr:rowOff>
    </xdr:to>
    <xdr:pic>
      <xdr:nvPicPr>
        <xdr:cNvPr id="37" name="36 Imagen">
          <a:extLst>
            <a:ext uri="{FF2B5EF4-FFF2-40B4-BE49-F238E27FC236}">
              <a16:creationId xmlns:a16="http://schemas.microsoft.com/office/drawing/2014/main" id="{00000000-0008-0000-1500-000025000000}"/>
            </a:ext>
          </a:extLst>
        </xdr:cNvPr>
        <xdr:cNvPicPr>
          <a:picLocks noChangeAspect="1"/>
        </xdr:cNvPicPr>
      </xdr:nvPicPr>
      <xdr:blipFill>
        <a:blip xmlns:r="http://schemas.openxmlformats.org/officeDocument/2006/relationships" r:embed="rId2"/>
        <a:stretch>
          <a:fillRect/>
        </a:stretch>
      </xdr:blipFill>
      <xdr:spPr>
        <a:xfrm>
          <a:off x="226219" y="35719"/>
          <a:ext cx="1371719" cy="640135"/>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oneCellAnchor>
    <xdr:from>
      <xdr:col>1</xdr:col>
      <xdr:colOff>285935</xdr:colOff>
      <xdr:row>42</xdr:row>
      <xdr:rowOff>169517</xdr:rowOff>
    </xdr:from>
    <xdr:ext cx="177356" cy="176202"/>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00000000-0008-0000-1600-000003000000}"/>
                </a:ext>
              </a:extLst>
            </xdr:cNvPr>
            <xdr:cNvSpPr txBox="1"/>
          </xdr:nvSpPr>
          <xdr:spPr>
            <a:xfrm>
              <a:off x="1124135" y="14980892"/>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bg1"/>
                            </a:solidFill>
                            <a:latin typeface="Cambria Math" panose="02040503050406030204" pitchFamily="18" charset="0"/>
                          </a:rPr>
                        </m:ctrlPr>
                      </m:accPr>
                      <m:e>
                        <m:r>
                          <a:rPr lang="es-CO" sz="1100" b="1" i="1">
                            <a:solidFill>
                              <a:schemeClr val="bg1"/>
                            </a:solidFill>
                            <a:latin typeface="Cambria Math" panose="02040503050406030204" pitchFamily="18" charset="0"/>
                            <a:ea typeface="Cambria Math" panose="02040503050406030204" pitchFamily="18" charset="0"/>
                          </a:rPr>
                          <m:t>∆</m:t>
                        </m:r>
                        <m:r>
                          <a:rPr lang="es-CO" sz="1100" b="1" i="1">
                            <a:solidFill>
                              <a:schemeClr val="bg1"/>
                            </a:solidFill>
                            <a:latin typeface="Cambria Math" panose="02040503050406030204" pitchFamily="18" charset="0"/>
                            <a:ea typeface="Cambria Math" panose="02040503050406030204" pitchFamily="18" charset="0"/>
                          </a:rPr>
                          <m:t>𝑰</m:t>
                        </m:r>
                      </m:e>
                    </m:acc>
                  </m:oMath>
                </m:oMathPara>
              </a14:m>
              <a:endParaRPr lang="es-CO" sz="1100" b="1">
                <a:solidFill>
                  <a:schemeClr val="bg1"/>
                </a:solidFill>
              </a:endParaRPr>
            </a:p>
          </xdr:txBody>
        </xdr:sp>
      </mc:Choice>
      <mc:Fallback xmlns="">
        <xdr:sp macro="" textlink="">
          <xdr:nvSpPr>
            <xdr:cNvPr id="3" name="CuadroTexto 2">
              <a:extLst>
                <a:ext uri="{FF2B5EF4-FFF2-40B4-BE49-F238E27FC236}">
                  <a16:creationId xmlns="" xmlns:a16="http://schemas.microsoft.com/office/drawing/2014/main" xmlns:a14="http://schemas.microsoft.com/office/drawing/2010/main" id="{00000000-0008-0000-1000-000003000000}"/>
                </a:ext>
              </a:extLst>
            </xdr:cNvPr>
            <xdr:cNvSpPr txBox="1"/>
          </xdr:nvSpPr>
          <xdr:spPr>
            <a:xfrm>
              <a:off x="1124135" y="14980892"/>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bg1"/>
                  </a:solidFill>
                  <a:latin typeface="Cambria Math" panose="02040503050406030204" pitchFamily="18" charset="0"/>
                </a:rPr>
                <a:t>(</a:t>
              </a:r>
              <a:r>
                <a:rPr lang="es-CO" sz="1100" b="1" i="0">
                  <a:solidFill>
                    <a:schemeClr val="bg1"/>
                  </a:solidFill>
                  <a:latin typeface="Cambria Math" panose="02040503050406030204" pitchFamily="18" charset="0"/>
                  <a:ea typeface="Cambria Math" panose="02040503050406030204" pitchFamily="18" charset="0"/>
                </a:rPr>
                <a:t>∆𝑰) ̅</a:t>
              </a:r>
              <a:endParaRPr lang="es-CO" sz="1100" b="1">
                <a:solidFill>
                  <a:schemeClr val="bg1"/>
                </a:solidFill>
              </a:endParaRPr>
            </a:p>
          </xdr:txBody>
        </xdr:sp>
      </mc:Fallback>
    </mc:AlternateContent>
    <xdr:clientData/>
  </xdr:oneCellAnchor>
  <xdr:oneCellAnchor>
    <xdr:from>
      <xdr:col>1</xdr:col>
      <xdr:colOff>136732</xdr:colOff>
      <xdr:row>58</xdr:row>
      <xdr:rowOff>253032</xdr:rowOff>
    </xdr:from>
    <xdr:ext cx="599716" cy="172227"/>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id="{00000000-0008-0000-1600-000004000000}"/>
                </a:ext>
              </a:extLst>
            </xdr:cNvPr>
            <xdr:cNvSpPr txBox="1"/>
          </xdr:nvSpPr>
          <xdr:spPr>
            <a:xfrm>
              <a:off x="974932" y="20779407"/>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𝒘</m:t>
                        </m:r>
                      </m:sub>
                    </m:sSub>
                    <m:r>
                      <a:rPr lang="es-CO" sz="1100" b="1" i="1">
                        <a:latin typeface="Cambria Math" panose="02040503050406030204" pitchFamily="18" charset="0"/>
                      </a:rPr>
                      <m:t>(</m:t>
                    </m:r>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4" name="CuadroTexto 3">
              <a:extLst>
                <a:ext uri="{FF2B5EF4-FFF2-40B4-BE49-F238E27FC236}">
                  <a16:creationId xmlns="" xmlns:a16="http://schemas.microsoft.com/office/drawing/2014/main" xmlns:a14="http://schemas.microsoft.com/office/drawing/2010/main" id="{00000000-0008-0000-1000-000004000000}"/>
                </a:ext>
              </a:extLst>
            </xdr:cNvPr>
            <xdr:cNvSpPr txBox="1"/>
          </xdr:nvSpPr>
          <xdr:spPr>
            <a:xfrm>
              <a:off x="974932" y="20779407"/>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𝒖_𝒘 (</a:t>
              </a: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1</xdr:col>
      <xdr:colOff>202651</xdr:colOff>
      <xdr:row>61</xdr:row>
      <xdr:rowOff>265287</xdr:rowOff>
    </xdr:from>
    <xdr:ext cx="483915" cy="172227"/>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id="{00000000-0008-0000-1600-000005000000}"/>
                </a:ext>
              </a:extLst>
            </xdr:cNvPr>
            <xdr:cNvSpPr txBox="1"/>
          </xdr:nvSpPr>
          <xdr:spPr>
            <a:xfrm>
              <a:off x="1040851" y="2299193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5" name="CuadroTexto 4">
              <a:extLst>
                <a:ext uri="{FF2B5EF4-FFF2-40B4-BE49-F238E27FC236}">
                  <a16:creationId xmlns="" xmlns:a16="http://schemas.microsoft.com/office/drawing/2014/main" xmlns:a14="http://schemas.microsoft.com/office/drawing/2010/main" id="{00000000-0008-0000-1000-000005000000}"/>
                </a:ext>
              </a:extLst>
            </xdr:cNvPr>
            <xdr:cNvSpPr txBox="1"/>
          </xdr:nvSpPr>
          <xdr:spPr>
            <a:xfrm>
              <a:off x="1040851" y="2299193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𝒖(𝒎_𝒄𝒓)</a:t>
              </a:r>
              <a:endParaRPr lang="es-CO" sz="1100" b="1"/>
            </a:p>
          </xdr:txBody>
        </xdr:sp>
      </mc:Fallback>
    </mc:AlternateContent>
    <xdr:clientData/>
  </xdr:oneCellAnchor>
  <xdr:oneCellAnchor>
    <xdr:from>
      <xdr:col>1</xdr:col>
      <xdr:colOff>34166</xdr:colOff>
      <xdr:row>60</xdr:row>
      <xdr:rowOff>250203</xdr:rowOff>
    </xdr:from>
    <xdr:ext cx="689483" cy="172227"/>
    <mc:AlternateContent xmlns:mc="http://schemas.openxmlformats.org/markup-compatibility/2006" xmlns:a14="http://schemas.microsoft.com/office/drawing/2010/main">
      <mc:Choice Requires="a14">
        <xdr:sp macro="" textlink="">
          <xdr:nvSpPr>
            <xdr:cNvPr id="6" name="CuadroTexto 5">
              <a:extLst>
                <a:ext uri="{FF2B5EF4-FFF2-40B4-BE49-F238E27FC236}">
                  <a16:creationId xmlns:a16="http://schemas.microsoft.com/office/drawing/2014/main" id="{00000000-0008-0000-1600-000006000000}"/>
                </a:ext>
              </a:extLst>
            </xdr:cNvPr>
            <xdr:cNvSpPr txBox="1"/>
          </xdr:nvSpPr>
          <xdr:spPr>
            <a:xfrm>
              <a:off x="872366" y="22243428"/>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𝒊𝒏𝒔𝒕</m:t>
                        </m:r>
                      </m:sub>
                    </m:sSub>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0" i="1">
                        <a:latin typeface="Cambria Math" panose="02040503050406030204" pitchFamily="18" charset="0"/>
                      </a:rPr>
                      <m:t>)</m:t>
                    </m:r>
                  </m:oMath>
                </m:oMathPara>
              </a14:m>
              <a:endParaRPr lang="es-CO" sz="1100"/>
            </a:p>
          </xdr:txBody>
        </xdr:sp>
      </mc:Choice>
      <mc:Fallback xmlns="">
        <xdr:sp macro="" textlink="">
          <xdr:nvSpPr>
            <xdr:cNvPr id="6" name="CuadroTexto 5">
              <a:extLst>
                <a:ext uri="{FF2B5EF4-FFF2-40B4-BE49-F238E27FC236}">
                  <a16:creationId xmlns="" xmlns:a16="http://schemas.microsoft.com/office/drawing/2014/main" xmlns:a14="http://schemas.microsoft.com/office/drawing/2010/main" id="{00000000-0008-0000-1000-000006000000}"/>
                </a:ext>
              </a:extLst>
            </xdr:cNvPr>
            <xdr:cNvSpPr txBox="1"/>
          </xdr:nvSpPr>
          <xdr:spPr>
            <a:xfrm>
              <a:off x="872366" y="22243428"/>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𝒖_𝒊𝒏𝒔𝒕 (𝒎_𝒄𝒓</a:t>
              </a:r>
              <a:r>
                <a:rPr lang="es-CO" sz="1100" b="0" i="0">
                  <a:latin typeface="Cambria Math" panose="02040503050406030204" pitchFamily="18" charset="0"/>
                </a:rPr>
                <a:t>)</a:t>
              </a:r>
              <a:endParaRPr lang="es-CO" sz="1100"/>
            </a:p>
          </xdr:txBody>
        </xdr:sp>
      </mc:Fallback>
    </mc:AlternateContent>
    <xdr:clientData/>
  </xdr:oneCellAnchor>
  <xdr:oneCellAnchor>
    <xdr:from>
      <xdr:col>1</xdr:col>
      <xdr:colOff>183870</xdr:colOff>
      <xdr:row>62</xdr:row>
      <xdr:rowOff>264645</xdr:rowOff>
    </xdr:from>
    <xdr:ext cx="397353" cy="172227"/>
    <mc:AlternateContent xmlns:mc="http://schemas.openxmlformats.org/markup-compatibility/2006" xmlns:a14="http://schemas.microsoft.com/office/drawing/2010/main">
      <mc:Choice Requires="a14">
        <xdr:sp macro="" textlink="">
          <xdr:nvSpPr>
            <xdr:cNvPr id="7" name="CuadroTexto 6">
              <a:extLst>
                <a:ext uri="{FF2B5EF4-FFF2-40B4-BE49-F238E27FC236}">
                  <a16:creationId xmlns:a16="http://schemas.microsoft.com/office/drawing/2014/main" id="{00000000-0008-0000-1600-000007000000}"/>
                </a:ext>
              </a:extLst>
            </xdr:cNvPr>
            <xdr:cNvSpPr txBox="1"/>
          </xdr:nvSpPr>
          <xdr:spPr>
            <a:xfrm>
              <a:off x="1022070" y="23724720"/>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𝒂</m:t>
                        </m:r>
                      </m:sub>
                    </m:sSub>
                    <m:r>
                      <a:rPr lang="es-CO" sz="1100" b="1" i="1">
                        <a:latin typeface="Cambria Math" panose="02040503050406030204" pitchFamily="18" charset="0"/>
                      </a:rPr>
                      <m:t>)</m:t>
                    </m:r>
                  </m:oMath>
                </m:oMathPara>
              </a14:m>
              <a:endParaRPr lang="es-CO" sz="1100" b="1"/>
            </a:p>
          </xdr:txBody>
        </xdr:sp>
      </mc:Choice>
      <mc:Fallback xmlns="">
        <xdr:sp macro="" textlink="">
          <xdr:nvSpPr>
            <xdr:cNvPr id="7" name="CuadroTexto 6">
              <a:extLst>
                <a:ext uri="{FF2B5EF4-FFF2-40B4-BE49-F238E27FC236}">
                  <a16:creationId xmlns="" xmlns:a16="http://schemas.microsoft.com/office/drawing/2014/main" xmlns:a14="http://schemas.microsoft.com/office/drawing/2010/main" id="{00000000-0008-0000-1000-000007000000}"/>
                </a:ext>
              </a:extLst>
            </xdr:cNvPr>
            <xdr:cNvSpPr txBox="1"/>
          </xdr:nvSpPr>
          <xdr:spPr>
            <a:xfrm>
              <a:off x="1022070" y="23724720"/>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𝒂)</a:t>
              </a:r>
              <a:endParaRPr lang="es-CO" sz="1100" b="1"/>
            </a:p>
          </xdr:txBody>
        </xdr:sp>
      </mc:Fallback>
    </mc:AlternateContent>
    <xdr:clientData/>
  </xdr:oneCellAnchor>
  <xdr:oneCellAnchor>
    <xdr:from>
      <xdr:col>1</xdr:col>
      <xdr:colOff>186298</xdr:colOff>
      <xdr:row>63</xdr:row>
      <xdr:rowOff>266606</xdr:rowOff>
    </xdr:from>
    <xdr:ext cx="376642" cy="172227"/>
    <mc:AlternateContent xmlns:mc="http://schemas.openxmlformats.org/markup-compatibility/2006" xmlns:a14="http://schemas.microsoft.com/office/drawing/2010/main">
      <mc:Choice Requires="a14">
        <xdr:sp macro="" textlink="">
          <xdr:nvSpPr>
            <xdr:cNvPr id="8" name="CuadroTexto 7">
              <a:extLst>
                <a:ext uri="{FF2B5EF4-FFF2-40B4-BE49-F238E27FC236}">
                  <a16:creationId xmlns:a16="http://schemas.microsoft.com/office/drawing/2014/main" id="{00000000-0008-0000-1600-000008000000}"/>
                </a:ext>
              </a:extLst>
            </xdr:cNvPr>
            <xdr:cNvSpPr txBox="1"/>
          </xdr:nvSpPr>
          <xdr:spPr>
            <a:xfrm>
              <a:off x="1024498" y="244601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𝒕</m:t>
                        </m:r>
                      </m:sub>
                    </m:sSub>
                    <m:r>
                      <a:rPr lang="es-CO" sz="1100" b="1" i="1">
                        <a:latin typeface="Cambria Math" panose="02040503050406030204" pitchFamily="18" charset="0"/>
                      </a:rPr>
                      <m:t>)</m:t>
                    </m:r>
                  </m:oMath>
                </m:oMathPara>
              </a14:m>
              <a:endParaRPr lang="es-CO" sz="1100" b="1"/>
            </a:p>
          </xdr:txBody>
        </xdr:sp>
      </mc:Choice>
      <mc:Fallback xmlns="">
        <xdr:sp macro="" textlink="">
          <xdr:nvSpPr>
            <xdr:cNvPr id="8" name="CuadroTexto 7">
              <a:extLst>
                <a:ext uri="{FF2B5EF4-FFF2-40B4-BE49-F238E27FC236}">
                  <a16:creationId xmlns="" xmlns:a16="http://schemas.microsoft.com/office/drawing/2014/main" xmlns:a14="http://schemas.microsoft.com/office/drawing/2010/main" id="{00000000-0008-0000-1000-000008000000}"/>
                </a:ext>
              </a:extLst>
            </xdr:cNvPr>
            <xdr:cNvSpPr txBox="1"/>
          </xdr:nvSpPr>
          <xdr:spPr>
            <a:xfrm>
              <a:off x="1024498" y="244601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𝒕)</a:t>
              </a:r>
              <a:endParaRPr lang="es-CO" sz="1100" b="1"/>
            </a:p>
          </xdr:txBody>
        </xdr:sp>
      </mc:Fallback>
    </mc:AlternateContent>
    <xdr:clientData/>
  </xdr:oneCellAnchor>
  <xdr:oneCellAnchor>
    <xdr:from>
      <xdr:col>1</xdr:col>
      <xdr:colOff>186298</xdr:colOff>
      <xdr:row>64</xdr:row>
      <xdr:rowOff>222250</xdr:rowOff>
    </xdr:from>
    <xdr:ext cx="388696" cy="172227"/>
    <mc:AlternateContent xmlns:mc="http://schemas.openxmlformats.org/markup-compatibility/2006" xmlns:a14="http://schemas.microsoft.com/office/drawing/2010/main">
      <mc:Choice Requires="a14">
        <xdr:sp macro="" textlink="">
          <xdr:nvSpPr>
            <xdr:cNvPr id="9" name="CuadroTexto 8">
              <a:extLst>
                <a:ext uri="{FF2B5EF4-FFF2-40B4-BE49-F238E27FC236}">
                  <a16:creationId xmlns:a16="http://schemas.microsoft.com/office/drawing/2014/main" id="{00000000-0008-0000-1600-000009000000}"/>
                </a:ext>
              </a:extLst>
            </xdr:cNvPr>
            <xdr:cNvSpPr txBox="1"/>
          </xdr:nvSpPr>
          <xdr:spPr>
            <a:xfrm>
              <a:off x="1024498" y="25149175"/>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9" name="CuadroTexto 8">
              <a:extLst>
                <a:ext uri="{FF2B5EF4-FFF2-40B4-BE49-F238E27FC236}">
                  <a16:creationId xmlns="" xmlns:a16="http://schemas.microsoft.com/office/drawing/2014/main" xmlns:a14="http://schemas.microsoft.com/office/drawing/2010/main" id="{00000000-0008-0000-1000-000009000000}"/>
                </a:ext>
              </a:extLst>
            </xdr:cNvPr>
            <xdr:cNvSpPr txBox="1"/>
          </xdr:nvSpPr>
          <xdr:spPr>
            <a:xfrm>
              <a:off x="1024498" y="25149175"/>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𝒓)</a:t>
              </a:r>
              <a:endParaRPr lang="es-CO" sz="1100" b="1"/>
            </a:p>
          </xdr:txBody>
        </xdr:sp>
      </mc:Fallback>
    </mc:AlternateContent>
    <xdr:clientData/>
  </xdr:oneCellAnchor>
  <xdr:oneCellAnchor>
    <xdr:from>
      <xdr:col>1</xdr:col>
      <xdr:colOff>265579</xdr:colOff>
      <xdr:row>65</xdr:row>
      <xdr:rowOff>288458</xdr:rowOff>
    </xdr:from>
    <xdr:ext cx="191271" cy="172227"/>
    <mc:AlternateContent xmlns:mc="http://schemas.openxmlformats.org/markup-compatibility/2006" xmlns:a14="http://schemas.microsoft.com/office/drawing/2010/main">
      <mc:Choice Requires="a14">
        <xdr:sp macro="" textlink="">
          <xdr:nvSpPr>
            <xdr:cNvPr id="10" name="CuadroTexto 9">
              <a:extLst>
                <a:ext uri="{FF2B5EF4-FFF2-40B4-BE49-F238E27FC236}">
                  <a16:creationId xmlns:a16="http://schemas.microsoft.com/office/drawing/2014/main" id="{00000000-0008-0000-1600-00000A000000}"/>
                </a:ext>
              </a:extLst>
            </xdr:cNvPr>
            <xdr:cNvSpPr txBox="1"/>
          </xdr:nvSpPr>
          <xdr:spPr>
            <a:xfrm>
              <a:off x="1103779" y="2594880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𝒃</m:t>
                        </m:r>
                      </m:sub>
                    </m:sSub>
                  </m:oMath>
                </m:oMathPara>
              </a14:m>
              <a:endParaRPr lang="es-CO" sz="1100" b="1"/>
            </a:p>
          </xdr:txBody>
        </xdr:sp>
      </mc:Choice>
      <mc:Fallback xmlns="">
        <xdr:sp macro="" textlink="">
          <xdr:nvSpPr>
            <xdr:cNvPr id="10" name="CuadroTexto 9">
              <a:extLst>
                <a:ext uri="{FF2B5EF4-FFF2-40B4-BE49-F238E27FC236}">
                  <a16:creationId xmlns="" xmlns:a16="http://schemas.microsoft.com/office/drawing/2014/main" xmlns:a14="http://schemas.microsoft.com/office/drawing/2010/main" id="{00000000-0008-0000-1000-00000A000000}"/>
                </a:ext>
              </a:extLst>
            </xdr:cNvPr>
            <xdr:cNvSpPr txBox="1"/>
          </xdr:nvSpPr>
          <xdr:spPr>
            <a:xfrm>
              <a:off x="1103779" y="2594880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𝒖_𝒃</a:t>
              </a:r>
              <a:endParaRPr lang="es-CO" sz="1100" b="1"/>
            </a:p>
          </xdr:txBody>
        </xdr:sp>
      </mc:Fallback>
    </mc:AlternateContent>
    <xdr:clientData/>
  </xdr:oneCellAnchor>
  <xdr:oneCellAnchor>
    <xdr:from>
      <xdr:col>1</xdr:col>
      <xdr:colOff>261391</xdr:colOff>
      <xdr:row>66</xdr:row>
      <xdr:rowOff>294234</xdr:rowOff>
    </xdr:from>
    <xdr:ext cx="195053" cy="172227"/>
    <mc:AlternateContent xmlns:mc="http://schemas.openxmlformats.org/markup-compatibility/2006" xmlns:a14="http://schemas.microsoft.com/office/drawing/2010/main">
      <mc:Choice Requires="a14">
        <xdr:sp macro="" textlink="">
          <xdr:nvSpPr>
            <xdr:cNvPr id="11" name="CuadroTexto 10">
              <a:extLst>
                <a:ext uri="{FF2B5EF4-FFF2-40B4-BE49-F238E27FC236}">
                  <a16:creationId xmlns:a16="http://schemas.microsoft.com/office/drawing/2014/main" id="{00000000-0008-0000-1600-00000B000000}"/>
                </a:ext>
              </a:extLst>
            </xdr:cNvPr>
            <xdr:cNvSpPr txBox="1"/>
          </xdr:nvSpPr>
          <xdr:spPr>
            <a:xfrm>
              <a:off x="1099591" y="26688009"/>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𝒅</m:t>
                        </m:r>
                      </m:sub>
                    </m:sSub>
                  </m:oMath>
                </m:oMathPara>
              </a14:m>
              <a:endParaRPr lang="es-CO" sz="1100" b="1"/>
            </a:p>
          </xdr:txBody>
        </xdr:sp>
      </mc:Choice>
      <mc:Fallback xmlns="">
        <xdr:sp macro="" textlink="">
          <xdr:nvSpPr>
            <xdr:cNvPr id="11" name="CuadroTexto 10">
              <a:extLst>
                <a:ext uri="{FF2B5EF4-FFF2-40B4-BE49-F238E27FC236}">
                  <a16:creationId xmlns="" xmlns:a16="http://schemas.microsoft.com/office/drawing/2014/main" xmlns:a14="http://schemas.microsoft.com/office/drawing/2010/main" id="{00000000-0008-0000-1000-00000B000000}"/>
                </a:ext>
              </a:extLst>
            </xdr:cNvPr>
            <xdr:cNvSpPr txBox="1"/>
          </xdr:nvSpPr>
          <xdr:spPr>
            <a:xfrm>
              <a:off x="1099591" y="26688009"/>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𝒖_𝒅</a:t>
              </a:r>
              <a:endParaRPr lang="es-CO" sz="1100" b="1"/>
            </a:p>
          </xdr:txBody>
        </xdr:sp>
      </mc:Fallback>
    </mc:AlternateContent>
    <xdr:clientData/>
  </xdr:oneCellAnchor>
  <xdr:oneCellAnchor>
    <xdr:from>
      <xdr:col>5</xdr:col>
      <xdr:colOff>393571</xdr:colOff>
      <xdr:row>69</xdr:row>
      <xdr:rowOff>265119</xdr:rowOff>
    </xdr:from>
    <xdr:ext cx="529697" cy="172227"/>
    <mc:AlternateContent xmlns:mc="http://schemas.openxmlformats.org/markup-compatibility/2006" xmlns:a14="http://schemas.microsoft.com/office/drawing/2010/main">
      <mc:Choice Requires="a14">
        <xdr:sp macro="" textlink="">
          <xdr:nvSpPr>
            <xdr:cNvPr id="12" name="CuadroTexto 11">
              <a:extLst>
                <a:ext uri="{FF2B5EF4-FFF2-40B4-BE49-F238E27FC236}">
                  <a16:creationId xmlns:a16="http://schemas.microsoft.com/office/drawing/2014/main" id="{00000000-0008-0000-1600-00000C000000}"/>
                </a:ext>
              </a:extLst>
            </xdr:cNvPr>
            <xdr:cNvSpPr txBox="1"/>
          </xdr:nvSpPr>
          <xdr:spPr>
            <a:xfrm>
              <a:off x="5251321" y="28220994"/>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𝒄</m:t>
                        </m:r>
                      </m:sub>
                    </m:sSub>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12" name="CuadroTexto 11">
              <a:extLst>
                <a:ext uri="{FF2B5EF4-FFF2-40B4-BE49-F238E27FC236}">
                  <a16:creationId xmlns="" xmlns:a16="http://schemas.microsoft.com/office/drawing/2014/main" xmlns:a14="http://schemas.microsoft.com/office/drawing/2010/main" id="{00000000-0008-0000-1000-00000C000000}"/>
                </a:ext>
              </a:extLst>
            </xdr:cNvPr>
            <xdr:cNvSpPr txBox="1"/>
          </xdr:nvSpPr>
          <xdr:spPr>
            <a:xfrm>
              <a:off x="5251321" y="28220994"/>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𝒖_𝒄 (</a:t>
              </a:r>
              <a:r>
                <a:rPr lang="es-CO" sz="1100" b="1" i="0">
                  <a:latin typeface="Cambria Math" panose="02040503050406030204" pitchFamily="18" charset="0"/>
                  <a:ea typeface="Cambria Math" panose="02040503050406030204" pitchFamily="18" charset="0"/>
                </a:rPr>
                <a:t>𝒎_𝒄𝒕)</a:t>
              </a:r>
              <a:endParaRPr lang="es-CO" sz="1100" b="1"/>
            </a:p>
          </xdr:txBody>
        </xdr:sp>
      </mc:Fallback>
    </mc:AlternateContent>
    <xdr:clientData/>
  </xdr:oneCellAnchor>
  <xdr:oneCellAnchor>
    <xdr:from>
      <xdr:col>5</xdr:col>
      <xdr:colOff>243965</xdr:colOff>
      <xdr:row>70</xdr:row>
      <xdr:rowOff>130277</xdr:rowOff>
    </xdr:from>
    <xdr:ext cx="780598" cy="172227"/>
    <mc:AlternateContent xmlns:mc="http://schemas.openxmlformats.org/markup-compatibility/2006" xmlns:a14="http://schemas.microsoft.com/office/drawing/2010/main">
      <mc:Choice Requires="a14">
        <xdr:sp macro="" textlink="">
          <xdr:nvSpPr>
            <xdr:cNvPr id="13" name="CuadroTexto 12">
              <a:extLst>
                <a:ext uri="{FF2B5EF4-FFF2-40B4-BE49-F238E27FC236}">
                  <a16:creationId xmlns:a16="http://schemas.microsoft.com/office/drawing/2014/main" id="{00000000-0008-0000-1600-00000D000000}"/>
                </a:ext>
              </a:extLst>
            </xdr:cNvPr>
            <xdr:cNvSpPr txBox="1"/>
          </xdr:nvSpPr>
          <xdr:spPr>
            <a:xfrm>
              <a:off x="5101715" y="2874337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100" b="1" i="1">
                      <a:latin typeface="Cambria Math" panose="02040503050406030204" pitchFamily="18" charset="0"/>
                    </a:rPr>
                    <m:t>𝑼</m:t>
                  </m:r>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a14:m>
              <a:r>
                <a:rPr lang="es-CO" sz="1100" b="1"/>
                <a:t> (k=2)</a:t>
              </a:r>
            </a:p>
          </xdr:txBody>
        </xdr:sp>
      </mc:Choice>
      <mc:Fallback xmlns="">
        <xdr:sp macro="" textlink="">
          <xdr:nvSpPr>
            <xdr:cNvPr id="13" name="CuadroTexto 12">
              <a:extLst>
                <a:ext uri="{FF2B5EF4-FFF2-40B4-BE49-F238E27FC236}">
                  <a16:creationId xmlns="" xmlns:a16="http://schemas.microsoft.com/office/drawing/2014/main" xmlns:a14="http://schemas.microsoft.com/office/drawing/2010/main" id="{00000000-0008-0000-1000-00000D000000}"/>
                </a:ext>
              </a:extLst>
            </xdr:cNvPr>
            <xdr:cNvSpPr txBox="1"/>
          </xdr:nvSpPr>
          <xdr:spPr>
            <a:xfrm>
              <a:off x="5101715" y="2874337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100" b="1" i="0">
                  <a:latin typeface="Cambria Math" panose="02040503050406030204" pitchFamily="18" charset="0"/>
                </a:rPr>
                <a:t>𝑼(</a:t>
              </a:r>
              <a:r>
                <a:rPr lang="es-CO" sz="1100" b="1" i="0">
                  <a:latin typeface="Cambria Math" panose="02040503050406030204" pitchFamily="18" charset="0"/>
                  <a:ea typeface="Cambria Math" panose="02040503050406030204" pitchFamily="18" charset="0"/>
                </a:rPr>
                <a:t>𝒎_𝒄𝒕)</a:t>
              </a:r>
              <a:r>
                <a:rPr lang="es-CO" sz="1100" b="1"/>
                <a:t> (k=2)</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14" name="CuadroTexto 13">
              <a:extLst>
                <a:ext uri="{FF2B5EF4-FFF2-40B4-BE49-F238E27FC236}">
                  <a16:creationId xmlns:a16="http://schemas.microsoft.com/office/drawing/2014/main" id="{00000000-0008-0000-1600-00000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14" name="CuadroTexto 13">
              <a:extLst>
                <a:ext uri="{FF2B5EF4-FFF2-40B4-BE49-F238E27FC236}">
                  <a16:creationId xmlns="" xmlns:a16="http://schemas.microsoft.com/office/drawing/2014/main" xmlns:a14="http://schemas.microsoft.com/office/drawing/2010/main" id="{00000000-0008-0000-1000-00000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8</xdr:col>
      <xdr:colOff>541269</xdr:colOff>
      <xdr:row>52</xdr:row>
      <xdr:rowOff>78683</xdr:rowOff>
    </xdr:from>
    <xdr:ext cx="304571" cy="172227"/>
    <mc:AlternateContent xmlns:mc="http://schemas.openxmlformats.org/markup-compatibility/2006" xmlns:a14="http://schemas.microsoft.com/office/drawing/2010/main">
      <mc:Choice Requires="a14">
        <xdr:sp macro="" textlink="">
          <xdr:nvSpPr>
            <xdr:cNvPr id="15" name="CuadroTexto 14">
              <a:extLst>
                <a:ext uri="{FF2B5EF4-FFF2-40B4-BE49-F238E27FC236}">
                  <a16:creationId xmlns:a16="http://schemas.microsoft.com/office/drawing/2014/main" id="{00000000-0008-0000-1600-00000F000000}"/>
                </a:ext>
              </a:extLst>
            </xdr:cNvPr>
            <xdr:cNvSpPr txBox="1"/>
          </xdr:nvSpPr>
          <xdr:spPr>
            <a:xfrm>
              <a:off x="9313794" y="18623858"/>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oMath>
                </m:oMathPara>
              </a14:m>
              <a:endParaRPr lang="es-CO" sz="1100" b="1"/>
            </a:p>
          </xdr:txBody>
        </xdr:sp>
      </mc:Choice>
      <mc:Fallback xmlns="">
        <xdr:sp macro="" textlink="">
          <xdr:nvSpPr>
            <xdr:cNvPr id="15" name="CuadroTexto 14">
              <a:extLst>
                <a:ext uri="{FF2B5EF4-FFF2-40B4-BE49-F238E27FC236}">
                  <a16:creationId xmlns="" xmlns:a16="http://schemas.microsoft.com/office/drawing/2014/main" xmlns:a14="http://schemas.microsoft.com/office/drawing/2010/main" id="{00000000-0008-0000-1000-00000F000000}"/>
                </a:ext>
              </a:extLst>
            </xdr:cNvPr>
            <xdr:cNvSpPr txBox="1"/>
          </xdr:nvSpPr>
          <xdr:spPr>
            <a:xfrm>
              <a:off x="9313794" y="18623858"/>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4</xdr:col>
      <xdr:colOff>155713</xdr:colOff>
      <xdr:row>39</xdr:row>
      <xdr:rowOff>106017</xdr:rowOff>
    </xdr:from>
    <xdr:ext cx="65" cy="172227"/>
    <xdr:sp macro="" textlink="">
      <xdr:nvSpPr>
        <xdr:cNvPr id="16" name="CuadroTexto 15">
          <a:extLst>
            <a:ext uri="{FF2B5EF4-FFF2-40B4-BE49-F238E27FC236}">
              <a16:creationId xmlns:a16="http://schemas.microsoft.com/office/drawing/2014/main" id="{00000000-0008-0000-1600-000010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17" name="CuadroTexto 16">
              <a:extLst>
                <a:ext uri="{FF2B5EF4-FFF2-40B4-BE49-F238E27FC236}">
                  <a16:creationId xmlns:a16="http://schemas.microsoft.com/office/drawing/2014/main" id="{00000000-0008-0000-1600-000011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7" name="CuadroTexto 16">
              <a:extLst>
                <a:ext uri="{FF2B5EF4-FFF2-40B4-BE49-F238E27FC236}">
                  <a16:creationId xmlns="" xmlns:a16="http://schemas.microsoft.com/office/drawing/2014/main" xmlns:a14="http://schemas.microsoft.com/office/drawing/2010/main" id="{00000000-0008-0000-1000-000011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18" name="CuadroTexto 17">
              <a:extLst>
                <a:ext uri="{FF2B5EF4-FFF2-40B4-BE49-F238E27FC236}">
                  <a16:creationId xmlns:a16="http://schemas.microsoft.com/office/drawing/2014/main" id="{00000000-0008-0000-1600-000012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18" name="CuadroTexto 17">
              <a:extLst>
                <a:ext uri="{FF2B5EF4-FFF2-40B4-BE49-F238E27FC236}">
                  <a16:creationId xmlns="" xmlns:a16="http://schemas.microsoft.com/office/drawing/2014/main" xmlns:a14="http://schemas.microsoft.com/office/drawing/2010/main" id="{00000000-0008-0000-1000-000012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19" name="CuadroTexto 18">
              <a:extLst>
                <a:ext uri="{FF2B5EF4-FFF2-40B4-BE49-F238E27FC236}">
                  <a16:creationId xmlns:a16="http://schemas.microsoft.com/office/drawing/2014/main" id="{00000000-0008-0000-1600-000013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9" name="CuadroTexto 18">
              <a:extLst>
                <a:ext uri="{FF2B5EF4-FFF2-40B4-BE49-F238E27FC236}">
                  <a16:creationId xmlns="" xmlns:a16="http://schemas.microsoft.com/office/drawing/2014/main" xmlns:a14="http://schemas.microsoft.com/office/drawing/2010/main" id="{00000000-0008-0000-1000-000013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0" name="CuadroTexto 19">
              <a:extLst>
                <a:ext uri="{FF2B5EF4-FFF2-40B4-BE49-F238E27FC236}">
                  <a16:creationId xmlns:a16="http://schemas.microsoft.com/office/drawing/2014/main" id="{00000000-0008-0000-1600-000014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0" name="CuadroTexto 19">
              <a:extLst>
                <a:ext uri="{FF2B5EF4-FFF2-40B4-BE49-F238E27FC236}">
                  <a16:creationId xmlns="" xmlns:a16="http://schemas.microsoft.com/office/drawing/2014/main" xmlns:a14="http://schemas.microsoft.com/office/drawing/2010/main" id="{00000000-0008-0000-1000-000014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1" name="CuadroTexto 20">
          <a:extLst>
            <a:ext uri="{FF2B5EF4-FFF2-40B4-BE49-F238E27FC236}">
              <a16:creationId xmlns:a16="http://schemas.microsoft.com/office/drawing/2014/main" id="{00000000-0008-0000-1600-000015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3</xdr:col>
      <xdr:colOff>236456</xdr:colOff>
      <xdr:row>73</xdr:row>
      <xdr:rowOff>141002</xdr:rowOff>
    </xdr:from>
    <xdr:ext cx="730521" cy="219163"/>
    <mc:AlternateContent xmlns:mc="http://schemas.openxmlformats.org/markup-compatibility/2006" xmlns:a14="http://schemas.microsoft.com/office/drawing/2010/main">
      <mc:Choice Requires="a14">
        <xdr:sp macro="" textlink="">
          <xdr:nvSpPr>
            <xdr:cNvPr id="22" name="CuadroTexto 21">
              <a:extLst>
                <a:ext uri="{FF2B5EF4-FFF2-40B4-BE49-F238E27FC236}">
                  <a16:creationId xmlns:a16="http://schemas.microsoft.com/office/drawing/2014/main" id="{00000000-0008-0000-1600-000016000000}"/>
                </a:ext>
              </a:extLst>
            </xdr:cNvPr>
            <xdr:cNvSpPr txBox="1"/>
          </xdr:nvSpPr>
          <xdr:spPr>
            <a:xfrm>
              <a:off x="2922506" y="30059027"/>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m:t>
                  </m:r>
                  <m:sSub>
                    <m:sSubPr>
                      <m:ctrlPr>
                        <a:rPr lang="es-CO" sz="1400" b="1" i="1">
                          <a:latin typeface="Cambria Math" panose="02040503050406030204" pitchFamily="18" charset="0"/>
                          <a:ea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𝒎</m:t>
                      </m:r>
                    </m:e>
                    <m:sub>
                      <m:r>
                        <a:rPr lang="es-CO" sz="1400" b="1" i="1">
                          <a:latin typeface="Cambria Math" panose="02040503050406030204" pitchFamily="18" charset="0"/>
                          <a:ea typeface="Cambria Math" panose="02040503050406030204" pitchFamily="18" charset="0"/>
                        </a:rPr>
                        <m:t>𝒄</m:t>
                      </m:r>
                    </m:sub>
                  </m:sSub>
                </m:oMath>
              </a14:m>
              <a:r>
                <a:rPr lang="es-CO" sz="1400" b="1" i="1"/>
                <a:t> (mg</a:t>
              </a:r>
              <a:r>
                <a:rPr lang="es-CO" sz="1200" b="1" i="0"/>
                <a:t>)</a:t>
              </a:r>
            </a:p>
          </xdr:txBody>
        </xdr:sp>
      </mc:Choice>
      <mc:Fallback xmlns="">
        <xdr:sp macro="" textlink="">
          <xdr:nvSpPr>
            <xdr:cNvPr id="22" name="CuadroTexto 21">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2922506" y="30059027"/>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400" b="1" i="0">
                  <a:latin typeface="Cambria Math" panose="02040503050406030204" pitchFamily="18" charset="0"/>
                  <a:ea typeface="Cambria Math" panose="02040503050406030204" pitchFamily="18" charset="0"/>
                </a:rPr>
                <a:t>∆𝒎_𝒄</a:t>
              </a:r>
              <a:r>
                <a:rPr lang="es-CO" sz="1400" b="1" i="1"/>
                <a:t> (mg</a:t>
              </a:r>
              <a:r>
                <a:rPr lang="es-CO" sz="1200" b="1" i="0"/>
                <a:t>)</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23" name="CuadroTexto 22">
              <a:extLst>
                <a:ext uri="{FF2B5EF4-FFF2-40B4-BE49-F238E27FC236}">
                  <a16:creationId xmlns:a16="http://schemas.microsoft.com/office/drawing/2014/main" id="{00000000-0008-0000-1600-000017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23" name="CuadroTexto 22">
              <a:extLst>
                <a:ext uri="{FF2B5EF4-FFF2-40B4-BE49-F238E27FC236}">
                  <a16:creationId xmlns="" xmlns:a16="http://schemas.microsoft.com/office/drawing/2014/main" xmlns:a14="http://schemas.microsoft.com/office/drawing/2010/main" id="{00000000-0008-0000-1000-000023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24" name="CuadroTexto 23">
          <a:extLst>
            <a:ext uri="{FF2B5EF4-FFF2-40B4-BE49-F238E27FC236}">
              <a16:creationId xmlns:a16="http://schemas.microsoft.com/office/drawing/2014/main" id="{00000000-0008-0000-1600-000018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25" name="CuadroTexto 24">
              <a:extLst>
                <a:ext uri="{FF2B5EF4-FFF2-40B4-BE49-F238E27FC236}">
                  <a16:creationId xmlns:a16="http://schemas.microsoft.com/office/drawing/2014/main" id="{00000000-0008-0000-1600-000019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5" name="CuadroTexto 24">
              <a:extLst>
                <a:ext uri="{FF2B5EF4-FFF2-40B4-BE49-F238E27FC236}">
                  <a16:creationId xmlns="" xmlns:a16="http://schemas.microsoft.com/office/drawing/2014/main" xmlns:a14="http://schemas.microsoft.com/office/drawing/2010/main" id="{00000000-0008-0000-1000-000026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26" name="CuadroTexto 25">
              <a:extLst>
                <a:ext uri="{FF2B5EF4-FFF2-40B4-BE49-F238E27FC236}">
                  <a16:creationId xmlns:a16="http://schemas.microsoft.com/office/drawing/2014/main" id="{00000000-0008-0000-1600-00001A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6" name="CuadroTexto 25">
              <a:extLst>
                <a:ext uri="{FF2B5EF4-FFF2-40B4-BE49-F238E27FC236}">
                  <a16:creationId xmlns="" xmlns:a16="http://schemas.microsoft.com/office/drawing/2014/main" xmlns:a14="http://schemas.microsoft.com/office/drawing/2010/main" id="{00000000-0008-0000-1000-000027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27" name="CuadroTexto 26">
              <a:extLst>
                <a:ext uri="{FF2B5EF4-FFF2-40B4-BE49-F238E27FC236}">
                  <a16:creationId xmlns:a16="http://schemas.microsoft.com/office/drawing/2014/main" id="{00000000-0008-0000-1600-00001B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7" name="CuadroTexto 26">
              <a:extLst>
                <a:ext uri="{FF2B5EF4-FFF2-40B4-BE49-F238E27FC236}">
                  <a16:creationId xmlns="" xmlns:a16="http://schemas.microsoft.com/office/drawing/2014/main" xmlns:a14="http://schemas.microsoft.com/office/drawing/2010/main" id="{00000000-0008-0000-1000-000028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8" name="CuadroTexto 27">
              <a:extLst>
                <a:ext uri="{FF2B5EF4-FFF2-40B4-BE49-F238E27FC236}">
                  <a16:creationId xmlns:a16="http://schemas.microsoft.com/office/drawing/2014/main" id="{00000000-0008-0000-1600-00001C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8" name="CuadroTexto 27">
              <a:extLst>
                <a:ext uri="{FF2B5EF4-FFF2-40B4-BE49-F238E27FC236}">
                  <a16:creationId xmlns="" xmlns:a16="http://schemas.microsoft.com/office/drawing/2014/main" xmlns:a14="http://schemas.microsoft.com/office/drawing/2010/main" id="{00000000-0008-0000-1000-000029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9" name="CuadroTexto 28">
          <a:extLst>
            <a:ext uri="{FF2B5EF4-FFF2-40B4-BE49-F238E27FC236}">
              <a16:creationId xmlns:a16="http://schemas.microsoft.com/office/drawing/2014/main" id="{00000000-0008-0000-1600-00001D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30" name="CuadroTexto 29">
              <a:extLst>
                <a:ext uri="{FF2B5EF4-FFF2-40B4-BE49-F238E27FC236}">
                  <a16:creationId xmlns:a16="http://schemas.microsoft.com/office/drawing/2014/main" id="{00000000-0008-0000-1600-00001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30" name="CuadroTexto 29">
              <a:extLst>
                <a:ext uri="{FF2B5EF4-FFF2-40B4-BE49-F238E27FC236}">
                  <a16:creationId xmlns="" xmlns:a16="http://schemas.microsoft.com/office/drawing/2014/main" xmlns:a14="http://schemas.microsoft.com/office/drawing/2010/main" id="{00000000-0008-0000-1000-000038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31" name="CuadroTexto 30">
          <a:extLst>
            <a:ext uri="{FF2B5EF4-FFF2-40B4-BE49-F238E27FC236}">
              <a16:creationId xmlns:a16="http://schemas.microsoft.com/office/drawing/2014/main" id="{00000000-0008-0000-1600-00001F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32" name="CuadroTexto 31">
              <a:extLst>
                <a:ext uri="{FF2B5EF4-FFF2-40B4-BE49-F238E27FC236}">
                  <a16:creationId xmlns:a16="http://schemas.microsoft.com/office/drawing/2014/main" id="{00000000-0008-0000-1600-000020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2" name="CuadroTexto 31">
              <a:extLst>
                <a:ext uri="{FF2B5EF4-FFF2-40B4-BE49-F238E27FC236}">
                  <a16:creationId xmlns="" xmlns:a16="http://schemas.microsoft.com/office/drawing/2014/main" xmlns:a14="http://schemas.microsoft.com/office/drawing/2010/main" id="{00000000-0008-0000-1000-00003B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33" name="CuadroTexto 32">
              <a:extLst>
                <a:ext uri="{FF2B5EF4-FFF2-40B4-BE49-F238E27FC236}">
                  <a16:creationId xmlns:a16="http://schemas.microsoft.com/office/drawing/2014/main" id="{00000000-0008-0000-1600-000021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3" name="CuadroTexto 32">
              <a:extLst>
                <a:ext uri="{FF2B5EF4-FFF2-40B4-BE49-F238E27FC236}">
                  <a16:creationId xmlns="" xmlns:a16="http://schemas.microsoft.com/office/drawing/2014/main" xmlns:a14="http://schemas.microsoft.com/office/drawing/2010/main" id="{00000000-0008-0000-1000-00003C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34" name="CuadroTexto 33">
              <a:extLst>
                <a:ext uri="{FF2B5EF4-FFF2-40B4-BE49-F238E27FC236}">
                  <a16:creationId xmlns:a16="http://schemas.microsoft.com/office/drawing/2014/main" id="{00000000-0008-0000-1600-000022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4" name="CuadroTexto 33">
              <a:extLst>
                <a:ext uri="{FF2B5EF4-FFF2-40B4-BE49-F238E27FC236}">
                  <a16:creationId xmlns="" xmlns:a16="http://schemas.microsoft.com/office/drawing/2014/main" xmlns:a14="http://schemas.microsoft.com/office/drawing/2010/main" id="{00000000-0008-0000-1000-00003D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35" name="CuadroTexto 34">
              <a:extLst>
                <a:ext uri="{FF2B5EF4-FFF2-40B4-BE49-F238E27FC236}">
                  <a16:creationId xmlns:a16="http://schemas.microsoft.com/office/drawing/2014/main" id="{00000000-0008-0000-1600-000023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5" name="CuadroTexto 34">
              <a:extLst>
                <a:ext uri="{FF2B5EF4-FFF2-40B4-BE49-F238E27FC236}">
                  <a16:creationId xmlns="" xmlns:a16="http://schemas.microsoft.com/office/drawing/2014/main" xmlns:a14="http://schemas.microsoft.com/office/drawing/2010/main" id="{00000000-0008-0000-1000-00003E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36" name="CuadroTexto 35">
          <a:extLst>
            <a:ext uri="{FF2B5EF4-FFF2-40B4-BE49-F238E27FC236}">
              <a16:creationId xmlns:a16="http://schemas.microsoft.com/office/drawing/2014/main" id="{00000000-0008-0000-1600-000024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11</xdr:col>
      <xdr:colOff>628650</xdr:colOff>
      <xdr:row>61</xdr:row>
      <xdr:rowOff>0</xdr:rowOff>
    </xdr:from>
    <xdr:ext cx="65" cy="172227"/>
    <xdr:sp macro="" textlink="">
      <xdr:nvSpPr>
        <xdr:cNvPr id="38" name="CuadroTexto 37">
          <a:extLst>
            <a:ext uri="{FF2B5EF4-FFF2-40B4-BE49-F238E27FC236}">
              <a16:creationId xmlns:a16="http://schemas.microsoft.com/office/drawing/2014/main" id="{00000000-0008-0000-1600-000026000000}"/>
            </a:ext>
          </a:extLst>
        </xdr:cNvPr>
        <xdr:cNvSpPr txBox="1"/>
      </xdr:nvSpPr>
      <xdr:spPr>
        <a:xfrm>
          <a:off x="12001500" y="2272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5</xdr:col>
      <xdr:colOff>539750</xdr:colOff>
      <xdr:row>73</xdr:row>
      <xdr:rowOff>158749</xdr:rowOff>
    </xdr:from>
    <xdr:ext cx="984250" cy="210507"/>
    <mc:AlternateContent xmlns:mc="http://schemas.openxmlformats.org/markup-compatibility/2006" xmlns:a14="http://schemas.microsoft.com/office/drawing/2010/main">
      <mc:Choice Requires="a14">
        <xdr:sp macro="" textlink="">
          <xdr:nvSpPr>
            <xdr:cNvPr id="39" name="CuadroTexto 38">
              <a:extLst>
                <a:ext uri="{FF2B5EF4-FFF2-40B4-BE49-F238E27FC236}">
                  <a16:creationId xmlns:a16="http://schemas.microsoft.com/office/drawing/2014/main" id="{00000000-0008-0000-1600-000027000000}"/>
                </a:ext>
              </a:extLst>
            </xdr:cNvPr>
            <xdr:cNvSpPr txBox="1"/>
          </xdr:nvSpPr>
          <xdr:spPr>
            <a:xfrm>
              <a:off x="5397500" y="30076774"/>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𝒆</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39" name="CuadroTexto 38">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5397500" y="30076774"/>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𝒆 𝒄𝒕</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4</xdr:col>
      <xdr:colOff>52917</xdr:colOff>
      <xdr:row>73</xdr:row>
      <xdr:rowOff>148167</xdr:rowOff>
    </xdr:from>
    <xdr:ext cx="984250" cy="210507"/>
    <mc:AlternateContent xmlns:mc="http://schemas.openxmlformats.org/markup-compatibility/2006" xmlns:a14="http://schemas.microsoft.com/office/drawing/2010/main">
      <mc:Choice Requires="a14">
        <xdr:sp macro="" textlink="">
          <xdr:nvSpPr>
            <xdr:cNvPr id="40" name="CuadroTexto 39">
              <a:extLst>
                <a:ext uri="{FF2B5EF4-FFF2-40B4-BE49-F238E27FC236}">
                  <a16:creationId xmlns:a16="http://schemas.microsoft.com/office/drawing/2014/main" id="{00000000-0008-0000-1600-000028000000}"/>
                </a:ext>
              </a:extLst>
            </xdr:cNvPr>
            <xdr:cNvSpPr txBox="1"/>
          </xdr:nvSpPr>
          <xdr:spPr>
            <a:xfrm>
              <a:off x="3872442" y="30066192"/>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0" name="CuadroTexto 39">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3872442" y="30066192"/>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𝒄𝒕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1</xdr:col>
      <xdr:colOff>-1</xdr:colOff>
      <xdr:row>73</xdr:row>
      <xdr:rowOff>107157</xdr:rowOff>
    </xdr:from>
    <xdr:ext cx="714376" cy="210507"/>
    <mc:AlternateContent xmlns:mc="http://schemas.openxmlformats.org/markup-compatibility/2006" xmlns:a14="http://schemas.microsoft.com/office/drawing/2010/main">
      <mc:Choice Requires="a14">
        <xdr:sp macro="" textlink="">
          <xdr:nvSpPr>
            <xdr:cNvPr id="42" name="CuadroTexto 41">
              <a:extLst>
                <a:ext uri="{FF2B5EF4-FFF2-40B4-BE49-F238E27FC236}">
                  <a16:creationId xmlns:a16="http://schemas.microsoft.com/office/drawing/2014/main" id="{00000000-0008-0000-1600-00002A000000}"/>
                </a:ext>
              </a:extLst>
            </xdr:cNvPr>
            <xdr:cNvSpPr txBox="1"/>
          </xdr:nvSpPr>
          <xdr:spPr>
            <a:xfrm>
              <a:off x="976312" y="30218063"/>
              <a:ext cx="714376"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𝑵𝒓</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2" name="CuadroTexto 41">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976312" y="30218063"/>
              <a:ext cx="714376"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𝑵𝒓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8</xdr:col>
      <xdr:colOff>624417</xdr:colOff>
      <xdr:row>73</xdr:row>
      <xdr:rowOff>285751</xdr:rowOff>
    </xdr:from>
    <xdr:ext cx="1524000" cy="210507"/>
    <mc:AlternateContent xmlns:mc="http://schemas.openxmlformats.org/markup-compatibility/2006" xmlns:a14="http://schemas.microsoft.com/office/drawing/2010/main">
      <mc:Choice Requires="a14">
        <xdr:sp macro="" textlink="">
          <xdr:nvSpPr>
            <xdr:cNvPr id="43" name="CuadroTexto 42">
              <a:extLst>
                <a:ext uri="{FF2B5EF4-FFF2-40B4-BE49-F238E27FC236}">
                  <a16:creationId xmlns:a16="http://schemas.microsoft.com/office/drawing/2014/main" id="{00000000-0008-0000-1600-00002B000000}"/>
                </a:ext>
              </a:extLst>
            </xdr:cNvPr>
            <xdr:cNvSpPr txBox="1"/>
          </xdr:nvSpPr>
          <xdr:spPr>
            <a:xfrm>
              <a:off x="9396942" y="30203776"/>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𝑼</m:t>
                  </m:r>
                  <m:r>
                    <a:rPr lang="es-CO" sz="1400" b="1" i="1">
                      <a:latin typeface="Cambria Math" panose="02040503050406030204" pitchFamily="18" charset="0"/>
                      <a:ea typeface="Cambria Math" panose="02040503050406030204" pitchFamily="18" charset="0"/>
                    </a:rPr>
                    <m:t> </m:t>
                  </m:r>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 </m:t>
                  </m:r>
                  <m:r>
                    <a:rPr lang="es-CO" sz="1400" b="1" i="1">
                      <a:latin typeface="Cambria Math" panose="02040503050406030204" pitchFamily="18" charset="0"/>
                      <a:ea typeface="Cambria Math" panose="02040503050406030204" pitchFamily="18" charset="0"/>
                    </a:rPr>
                    <m:t>𝒌</m:t>
                  </m:r>
                  <m:r>
                    <a:rPr lang="es-CO" sz="1400" b="1" i="1">
                      <a:latin typeface="Cambria Math" panose="02040503050406030204" pitchFamily="18" charset="0"/>
                      <a:ea typeface="Cambria Math" panose="02040503050406030204" pitchFamily="18" charset="0"/>
                    </a:rPr>
                    <m:t>=</m:t>
                  </m:r>
                  <m:r>
                    <a:rPr lang="es-CO" sz="1400" b="1" i="1">
                      <a:latin typeface="Cambria Math" panose="02040503050406030204" pitchFamily="18" charset="0"/>
                      <a:ea typeface="Cambria Math" panose="02040503050406030204" pitchFamily="18" charset="0"/>
                    </a:rPr>
                    <m:t>𝟐</m:t>
                  </m:r>
                </m:oMath>
              </a14:m>
              <a:r>
                <a:rPr lang="es-CO" sz="1400" b="1" i="1">
                  <a:latin typeface="Arial" panose="020B0604020202020204" pitchFamily="34" charset="0"/>
                  <a:cs typeface="Arial" panose="020B0604020202020204" pitchFamily="34" charset="0"/>
                </a:rPr>
                <a:t>)</a:t>
              </a:r>
            </a:p>
          </xdr:txBody>
        </xdr:sp>
      </mc:Choice>
      <mc:Fallback xmlns="">
        <xdr:sp macro="" textlink="">
          <xdr:nvSpPr>
            <xdr:cNvPr id="43" name="CuadroTexto 42">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9396942" y="30203776"/>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0">
                  <a:latin typeface="Cambria Math" panose="02040503050406030204" pitchFamily="18" charset="0"/>
                  <a:ea typeface="Cambria Math" panose="02040503050406030204" pitchFamily="18" charset="0"/>
                </a:rPr>
                <a:t>𝑼 </a:t>
              </a:r>
              <a:r>
                <a:rPr lang="es-CO" sz="1400" b="1" i="0">
                  <a:latin typeface="Cambria Math"/>
                  <a:ea typeface="Cambria Math" panose="02040503050406030204" pitchFamily="18" charset="0"/>
                </a:rPr>
                <a:t>(</a:t>
              </a:r>
              <a:r>
                <a:rPr lang="es-CO" sz="1400" b="1" i="0">
                  <a:latin typeface="Cambria Math" panose="02040503050406030204" pitchFamily="18" charset="0"/>
                  <a:ea typeface="Cambria Math" panose="02040503050406030204" pitchFamily="18" charset="0"/>
                </a:rPr>
                <a:t> 𝒎 𝒄𝒕 </a:t>
              </a:r>
              <a:r>
                <a:rPr lang="es-CO" sz="1400" b="1" i="0">
                  <a:latin typeface="Cambria Math"/>
                  <a:ea typeface="Cambria Math" panose="02040503050406030204" pitchFamily="18" charset="0"/>
                </a:rPr>
                <a:t>)</a:t>
              </a:r>
              <a:r>
                <a:rPr lang="es-CO" sz="1400" b="1" i="0">
                  <a:latin typeface="Cambria Math" panose="02040503050406030204" pitchFamily="18" charset="0"/>
                  <a:ea typeface="Cambria Math" panose="02040503050406030204" pitchFamily="18" charset="0"/>
                </a:rPr>
                <a:t>  ( 𝒌=𝟐</a:t>
              </a:r>
              <a:r>
                <a:rPr lang="es-CO" sz="1400" b="1" i="1">
                  <a:latin typeface="Arial" panose="020B0604020202020204" pitchFamily="34" charset="0"/>
                  <a:cs typeface="Arial" panose="020B0604020202020204" pitchFamily="34" charset="0"/>
                </a:rPr>
                <a:t>)</a:t>
              </a:r>
            </a:p>
          </xdr:txBody>
        </xdr:sp>
      </mc:Fallback>
    </mc:AlternateContent>
    <xdr:clientData/>
  </xdr:oneCellAnchor>
  <xdr:oneCellAnchor>
    <xdr:from>
      <xdr:col>9</xdr:col>
      <xdr:colOff>603252</xdr:colOff>
      <xdr:row>74</xdr:row>
      <xdr:rowOff>84667</xdr:rowOff>
    </xdr:from>
    <xdr:ext cx="465666" cy="219163"/>
    <xdr:sp macro="" textlink="">
      <xdr:nvSpPr>
        <xdr:cNvPr id="44" name="CuadroTexto 43">
          <a:extLst>
            <a:ext uri="{FF2B5EF4-FFF2-40B4-BE49-F238E27FC236}">
              <a16:creationId xmlns:a16="http://schemas.microsoft.com/office/drawing/2014/main" id="{00000000-0008-0000-1600-00002C000000}"/>
            </a:ext>
          </a:extLst>
        </xdr:cNvPr>
        <xdr:cNvSpPr txBox="1"/>
      </xdr:nvSpPr>
      <xdr:spPr>
        <a:xfrm>
          <a:off x="10299702" y="30517042"/>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9</xdr:col>
      <xdr:colOff>571499</xdr:colOff>
      <xdr:row>75</xdr:row>
      <xdr:rowOff>116416</xdr:rowOff>
    </xdr:from>
    <xdr:ext cx="359835" cy="219163"/>
    <xdr:sp macro="" textlink="">
      <xdr:nvSpPr>
        <xdr:cNvPr id="45" name="CuadroTexto 44">
          <a:extLst>
            <a:ext uri="{FF2B5EF4-FFF2-40B4-BE49-F238E27FC236}">
              <a16:creationId xmlns:a16="http://schemas.microsoft.com/office/drawing/2014/main" id="{00000000-0008-0000-1600-00002D000000}"/>
            </a:ext>
          </a:extLst>
        </xdr:cNvPr>
        <xdr:cNvSpPr txBox="1"/>
      </xdr:nvSpPr>
      <xdr:spPr>
        <a:xfrm>
          <a:off x="10267949" y="30986941"/>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6</xdr:col>
      <xdr:colOff>275167</xdr:colOff>
      <xdr:row>74</xdr:row>
      <xdr:rowOff>148166</xdr:rowOff>
    </xdr:from>
    <xdr:ext cx="465666" cy="219163"/>
    <xdr:sp macro="" textlink="">
      <xdr:nvSpPr>
        <xdr:cNvPr id="46" name="CuadroTexto 45">
          <a:extLst>
            <a:ext uri="{FF2B5EF4-FFF2-40B4-BE49-F238E27FC236}">
              <a16:creationId xmlns:a16="http://schemas.microsoft.com/office/drawing/2014/main" id="{00000000-0008-0000-1600-00002E000000}"/>
            </a:ext>
          </a:extLst>
        </xdr:cNvPr>
        <xdr:cNvSpPr txBox="1"/>
      </xdr:nvSpPr>
      <xdr:spPr>
        <a:xfrm>
          <a:off x="6371167" y="30580541"/>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6</xdr:col>
      <xdr:colOff>328083</xdr:colOff>
      <xdr:row>75</xdr:row>
      <xdr:rowOff>84667</xdr:rowOff>
    </xdr:from>
    <xdr:ext cx="359835" cy="219163"/>
    <xdr:sp macro="" textlink="">
      <xdr:nvSpPr>
        <xdr:cNvPr id="47" name="CuadroTexto 46">
          <a:extLst>
            <a:ext uri="{FF2B5EF4-FFF2-40B4-BE49-F238E27FC236}">
              <a16:creationId xmlns:a16="http://schemas.microsoft.com/office/drawing/2014/main" id="{00000000-0008-0000-1600-00002F000000}"/>
            </a:ext>
          </a:extLst>
        </xdr:cNvPr>
        <xdr:cNvSpPr txBox="1"/>
      </xdr:nvSpPr>
      <xdr:spPr>
        <a:xfrm>
          <a:off x="6424083" y="30955192"/>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3</xdr:col>
      <xdr:colOff>560916</xdr:colOff>
      <xdr:row>72</xdr:row>
      <xdr:rowOff>74084</xdr:rowOff>
    </xdr:from>
    <xdr:ext cx="1524000" cy="210507"/>
    <mc:AlternateContent xmlns:mc="http://schemas.openxmlformats.org/markup-compatibility/2006" xmlns:a14="http://schemas.microsoft.com/office/drawing/2010/main">
      <mc:Choice Requires="a14">
        <xdr:sp macro="" textlink="">
          <xdr:nvSpPr>
            <xdr:cNvPr id="48" name="CuadroTexto 47">
              <a:extLst>
                <a:ext uri="{FF2B5EF4-FFF2-40B4-BE49-F238E27FC236}">
                  <a16:creationId xmlns:a16="http://schemas.microsoft.com/office/drawing/2014/main" id="{00000000-0008-0000-1600-000030000000}"/>
                </a:ext>
              </a:extLst>
            </xdr:cNvPr>
            <xdr:cNvSpPr txBox="1"/>
          </xdr:nvSpPr>
          <xdr:spPr>
            <a:xfrm>
              <a:off x="3246966" y="29553959"/>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m:t>
                    </m:r>
                  </m:oMath>
                </m:oMathPara>
              </a14:m>
              <a:endParaRPr lang="es-CO" sz="1400" b="1" i="1">
                <a:latin typeface="Arial" panose="020B0604020202020204" pitchFamily="34" charset="0"/>
                <a:cs typeface="Arial" panose="020B0604020202020204" pitchFamily="34" charset="0"/>
              </a:endParaRPr>
            </a:p>
          </xdr:txBody>
        </xdr:sp>
      </mc:Choice>
      <mc:Fallback xmlns="">
        <xdr:sp macro="" textlink="">
          <xdr:nvSpPr>
            <xdr:cNvPr id="48" name="CuadroTexto 47">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3246966" y="29553959"/>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 𝒎 𝒄𝒕 )   </a:t>
              </a:r>
              <a:endParaRPr lang="es-CO" sz="1400" b="1" i="1">
                <a:latin typeface="Arial" panose="020B0604020202020204" pitchFamily="34" charset="0"/>
                <a:cs typeface="Arial" panose="020B0604020202020204" pitchFamily="34" charset="0"/>
              </a:endParaRPr>
            </a:p>
          </xdr:txBody>
        </xdr:sp>
      </mc:Fallback>
    </mc:AlternateContent>
    <xdr:clientData/>
  </xdr:oneCellAnchor>
  <xdr:oneCellAnchor>
    <xdr:from>
      <xdr:col>7</xdr:col>
      <xdr:colOff>411956</xdr:colOff>
      <xdr:row>71</xdr:row>
      <xdr:rowOff>406003</xdr:rowOff>
    </xdr:from>
    <xdr:ext cx="65" cy="172227"/>
    <xdr:sp macro="" textlink="">
      <xdr:nvSpPr>
        <xdr:cNvPr id="49" name="CuadroTexto 48">
          <a:extLst>
            <a:ext uri="{FF2B5EF4-FFF2-40B4-BE49-F238E27FC236}">
              <a16:creationId xmlns:a16="http://schemas.microsoft.com/office/drawing/2014/main" id="{00000000-0008-0000-1600-000031000000}"/>
            </a:ext>
          </a:extLst>
        </xdr:cNvPr>
        <xdr:cNvSpPr txBox="1"/>
      </xdr:nvSpPr>
      <xdr:spPr>
        <a:xfrm>
          <a:off x="7555706" y="29457253"/>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51" name="CuadroTexto 50">
              <a:extLst>
                <a:ext uri="{FF2B5EF4-FFF2-40B4-BE49-F238E27FC236}">
                  <a16:creationId xmlns:a16="http://schemas.microsoft.com/office/drawing/2014/main" id="{00000000-0008-0000-1600-000033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51" name="CuadroTexto 50">
              <a:extLst>
                <a:ext uri="{FF2B5EF4-FFF2-40B4-BE49-F238E27FC236}">
                  <a16:creationId xmlns:a16="http://schemas.microsoft.com/office/drawing/2014/main" id="{A3E7DFC7-1B51-42A7-A543-32F8A21BC0D6}"/>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52" name="CuadroTexto 51">
              <a:extLst>
                <a:ext uri="{FF2B5EF4-FFF2-40B4-BE49-F238E27FC236}">
                  <a16:creationId xmlns:a16="http://schemas.microsoft.com/office/drawing/2014/main" id="{00000000-0008-0000-1600-000034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52" name="CuadroTexto 51">
              <a:extLst>
                <a:ext uri="{FF2B5EF4-FFF2-40B4-BE49-F238E27FC236}">
                  <a16:creationId xmlns:a16="http://schemas.microsoft.com/office/drawing/2014/main" id="{59AF8408-2110-4668-98F0-DCFA1C7F88F3}"/>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twoCellAnchor>
    <xdr:from>
      <xdr:col>7</xdr:col>
      <xdr:colOff>833438</xdr:colOff>
      <xdr:row>62</xdr:row>
      <xdr:rowOff>190500</xdr:rowOff>
    </xdr:from>
    <xdr:to>
      <xdr:col>11</xdr:col>
      <xdr:colOff>769937</xdr:colOff>
      <xdr:row>64</xdr:row>
      <xdr:rowOff>460375</xdr:rowOff>
    </xdr:to>
    <xdr:graphicFrame macro="">
      <xdr:nvGraphicFramePr>
        <xdr:cNvPr id="53" name="Gráfico 52">
          <a:extLst>
            <a:ext uri="{FF2B5EF4-FFF2-40B4-BE49-F238E27FC236}">
              <a16:creationId xmlns:a16="http://schemas.microsoft.com/office/drawing/2014/main" id="{00000000-0008-0000-1600-00003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214313</xdr:colOff>
      <xdr:row>0</xdr:row>
      <xdr:rowOff>71437</xdr:rowOff>
    </xdr:from>
    <xdr:to>
      <xdr:col>1</xdr:col>
      <xdr:colOff>613586</xdr:colOff>
      <xdr:row>0</xdr:row>
      <xdr:rowOff>714374</xdr:rowOff>
    </xdr:to>
    <xdr:pic>
      <xdr:nvPicPr>
        <xdr:cNvPr id="54" name="53 Imagen">
          <a:extLst>
            <a:ext uri="{FF2B5EF4-FFF2-40B4-BE49-F238E27FC236}">
              <a16:creationId xmlns:a16="http://schemas.microsoft.com/office/drawing/2014/main" id="{00000000-0008-0000-1600-000036000000}"/>
            </a:ext>
          </a:extLst>
        </xdr:cNvPr>
        <xdr:cNvPicPr>
          <a:picLocks noChangeAspect="1"/>
        </xdr:cNvPicPr>
      </xdr:nvPicPr>
      <xdr:blipFill>
        <a:blip xmlns:r="http://schemas.openxmlformats.org/officeDocument/2006/relationships" r:embed="rId2"/>
        <a:stretch>
          <a:fillRect/>
        </a:stretch>
      </xdr:blipFill>
      <xdr:spPr>
        <a:xfrm>
          <a:off x="214313" y="71437"/>
          <a:ext cx="1375586" cy="642937"/>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oneCellAnchor>
    <xdr:from>
      <xdr:col>1</xdr:col>
      <xdr:colOff>285935</xdr:colOff>
      <xdr:row>42</xdr:row>
      <xdr:rowOff>169517</xdr:rowOff>
    </xdr:from>
    <xdr:ext cx="177356" cy="176202"/>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00000000-0008-0000-1700-000003000000}"/>
                </a:ext>
              </a:extLst>
            </xdr:cNvPr>
            <xdr:cNvSpPr txBox="1"/>
          </xdr:nvSpPr>
          <xdr:spPr>
            <a:xfrm>
              <a:off x="1124135" y="14980892"/>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bg1"/>
                            </a:solidFill>
                            <a:latin typeface="Cambria Math" panose="02040503050406030204" pitchFamily="18" charset="0"/>
                          </a:rPr>
                        </m:ctrlPr>
                      </m:accPr>
                      <m:e>
                        <m:r>
                          <a:rPr lang="es-CO" sz="1100" b="1" i="1">
                            <a:solidFill>
                              <a:schemeClr val="bg1"/>
                            </a:solidFill>
                            <a:latin typeface="Cambria Math" panose="02040503050406030204" pitchFamily="18" charset="0"/>
                            <a:ea typeface="Cambria Math" panose="02040503050406030204" pitchFamily="18" charset="0"/>
                          </a:rPr>
                          <m:t>∆</m:t>
                        </m:r>
                        <m:r>
                          <a:rPr lang="es-CO" sz="1100" b="1" i="1">
                            <a:solidFill>
                              <a:schemeClr val="bg1"/>
                            </a:solidFill>
                            <a:latin typeface="Cambria Math" panose="02040503050406030204" pitchFamily="18" charset="0"/>
                            <a:ea typeface="Cambria Math" panose="02040503050406030204" pitchFamily="18" charset="0"/>
                          </a:rPr>
                          <m:t>𝑰</m:t>
                        </m:r>
                      </m:e>
                    </m:acc>
                  </m:oMath>
                </m:oMathPara>
              </a14:m>
              <a:endParaRPr lang="es-CO" sz="1100" b="1">
                <a:solidFill>
                  <a:schemeClr val="bg1"/>
                </a:solidFill>
              </a:endParaRPr>
            </a:p>
          </xdr:txBody>
        </xdr:sp>
      </mc:Choice>
      <mc:Fallback xmlns="">
        <xdr:sp macro="" textlink="">
          <xdr:nvSpPr>
            <xdr:cNvPr id="3" name="CuadroTexto 2">
              <a:extLst>
                <a:ext uri="{FF2B5EF4-FFF2-40B4-BE49-F238E27FC236}">
                  <a16:creationId xmlns="" xmlns:a16="http://schemas.microsoft.com/office/drawing/2014/main" xmlns:a14="http://schemas.microsoft.com/office/drawing/2010/main" id="{00000000-0008-0000-1000-000003000000}"/>
                </a:ext>
              </a:extLst>
            </xdr:cNvPr>
            <xdr:cNvSpPr txBox="1"/>
          </xdr:nvSpPr>
          <xdr:spPr>
            <a:xfrm>
              <a:off x="1124135" y="14980892"/>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bg1"/>
                  </a:solidFill>
                  <a:latin typeface="Cambria Math" panose="02040503050406030204" pitchFamily="18" charset="0"/>
                </a:rPr>
                <a:t>(</a:t>
              </a:r>
              <a:r>
                <a:rPr lang="es-CO" sz="1100" b="1" i="0">
                  <a:solidFill>
                    <a:schemeClr val="bg1"/>
                  </a:solidFill>
                  <a:latin typeface="Cambria Math" panose="02040503050406030204" pitchFamily="18" charset="0"/>
                  <a:ea typeface="Cambria Math" panose="02040503050406030204" pitchFamily="18" charset="0"/>
                </a:rPr>
                <a:t>∆𝑰) ̅</a:t>
              </a:r>
              <a:endParaRPr lang="es-CO" sz="1100" b="1">
                <a:solidFill>
                  <a:schemeClr val="bg1"/>
                </a:solidFill>
              </a:endParaRPr>
            </a:p>
          </xdr:txBody>
        </xdr:sp>
      </mc:Fallback>
    </mc:AlternateContent>
    <xdr:clientData/>
  </xdr:oneCellAnchor>
  <xdr:oneCellAnchor>
    <xdr:from>
      <xdr:col>1</xdr:col>
      <xdr:colOff>136732</xdr:colOff>
      <xdr:row>58</xdr:row>
      <xdr:rowOff>253032</xdr:rowOff>
    </xdr:from>
    <xdr:ext cx="599716" cy="172227"/>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id="{00000000-0008-0000-1700-000004000000}"/>
                </a:ext>
              </a:extLst>
            </xdr:cNvPr>
            <xdr:cNvSpPr txBox="1"/>
          </xdr:nvSpPr>
          <xdr:spPr>
            <a:xfrm>
              <a:off x="974932" y="20779407"/>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𝒘</m:t>
                        </m:r>
                      </m:sub>
                    </m:sSub>
                    <m:r>
                      <a:rPr lang="es-CO" sz="1100" b="1" i="1">
                        <a:latin typeface="Cambria Math" panose="02040503050406030204" pitchFamily="18" charset="0"/>
                      </a:rPr>
                      <m:t>(</m:t>
                    </m:r>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4" name="CuadroTexto 3">
              <a:extLst>
                <a:ext uri="{FF2B5EF4-FFF2-40B4-BE49-F238E27FC236}">
                  <a16:creationId xmlns="" xmlns:a16="http://schemas.microsoft.com/office/drawing/2014/main" xmlns:a14="http://schemas.microsoft.com/office/drawing/2010/main" id="{00000000-0008-0000-1000-000004000000}"/>
                </a:ext>
              </a:extLst>
            </xdr:cNvPr>
            <xdr:cNvSpPr txBox="1"/>
          </xdr:nvSpPr>
          <xdr:spPr>
            <a:xfrm>
              <a:off x="974932" y="20779407"/>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𝒖_𝒘 (</a:t>
              </a: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1</xdr:col>
      <xdr:colOff>202651</xdr:colOff>
      <xdr:row>61</xdr:row>
      <xdr:rowOff>265287</xdr:rowOff>
    </xdr:from>
    <xdr:ext cx="483915" cy="172227"/>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id="{00000000-0008-0000-1700-000005000000}"/>
                </a:ext>
              </a:extLst>
            </xdr:cNvPr>
            <xdr:cNvSpPr txBox="1"/>
          </xdr:nvSpPr>
          <xdr:spPr>
            <a:xfrm>
              <a:off x="1040851" y="2299193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5" name="CuadroTexto 4">
              <a:extLst>
                <a:ext uri="{FF2B5EF4-FFF2-40B4-BE49-F238E27FC236}">
                  <a16:creationId xmlns="" xmlns:a16="http://schemas.microsoft.com/office/drawing/2014/main" xmlns:a14="http://schemas.microsoft.com/office/drawing/2010/main" id="{00000000-0008-0000-1000-000005000000}"/>
                </a:ext>
              </a:extLst>
            </xdr:cNvPr>
            <xdr:cNvSpPr txBox="1"/>
          </xdr:nvSpPr>
          <xdr:spPr>
            <a:xfrm>
              <a:off x="1040851" y="2299193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𝒖(𝒎_𝒄𝒓)</a:t>
              </a:r>
              <a:endParaRPr lang="es-CO" sz="1100" b="1"/>
            </a:p>
          </xdr:txBody>
        </xdr:sp>
      </mc:Fallback>
    </mc:AlternateContent>
    <xdr:clientData/>
  </xdr:oneCellAnchor>
  <xdr:oneCellAnchor>
    <xdr:from>
      <xdr:col>1</xdr:col>
      <xdr:colOff>34166</xdr:colOff>
      <xdr:row>60</xdr:row>
      <xdr:rowOff>250203</xdr:rowOff>
    </xdr:from>
    <xdr:ext cx="689483" cy="172227"/>
    <mc:AlternateContent xmlns:mc="http://schemas.openxmlformats.org/markup-compatibility/2006" xmlns:a14="http://schemas.microsoft.com/office/drawing/2010/main">
      <mc:Choice Requires="a14">
        <xdr:sp macro="" textlink="">
          <xdr:nvSpPr>
            <xdr:cNvPr id="6" name="CuadroTexto 5">
              <a:extLst>
                <a:ext uri="{FF2B5EF4-FFF2-40B4-BE49-F238E27FC236}">
                  <a16:creationId xmlns:a16="http://schemas.microsoft.com/office/drawing/2014/main" id="{00000000-0008-0000-1700-000006000000}"/>
                </a:ext>
              </a:extLst>
            </xdr:cNvPr>
            <xdr:cNvSpPr txBox="1"/>
          </xdr:nvSpPr>
          <xdr:spPr>
            <a:xfrm>
              <a:off x="872366" y="22243428"/>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𝒊𝒏𝒔𝒕</m:t>
                        </m:r>
                      </m:sub>
                    </m:sSub>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0" i="1">
                        <a:latin typeface="Cambria Math" panose="02040503050406030204" pitchFamily="18" charset="0"/>
                      </a:rPr>
                      <m:t>)</m:t>
                    </m:r>
                  </m:oMath>
                </m:oMathPara>
              </a14:m>
              <a:endParaRPr lang="es-CO" sz="1100"/>
            </a:p>
          </xdr:txBody>
        </xdr:sp>
      </mc:Choice>
      <mc:Fallback xmlns="">
        <xdr:sp macro="" textlink="">
          <xdr:nvSpPr>
            <xdr:cNvPr id="6" name="CuadroTexto 5">
              <a:extLst>
                <a:ext uri="{FF2B5EF4-FFF2-40B4-BE49-F238E27FC236}">
                  <a16:creationId xmlns="" xmlns:a16="http://schemas.microsoft.com/office/drawing/2014/main" xmlns:a14="http://schemas.microsoft.com/office/drawing/2010/main" id="{00000000-0008-0000-1000-000006000000}"/>
                </a:ext>
              </a:extLst>
            </xdr:cNvPr>
            <xdr:cNvSpPr txBox="1"/>
          </xdr:nvSpPr>
          <xdr:spPr>
            <a:xfrm>
              <a:off x="872366" y="22243428"/>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𝒖_𝒊𝒏𝒔𝒕 (𝒎_𝒄𝒓</a:t>
              </a:r>
              <a:r>
                <a:rPr lang="es-CO" sz="1100" b="0" i="0">
                  <a:latin typeface="Cambria Math" panose="02040503050406030204" pitchFamily="18" charset="0"/>
                </a:rPr>
                <a:t>)</a:t>
              </a:r>
              <a:endParaRPr lang="es-CO" sz="1100"/>
            </a:p>
          </xdr:txBody>
        </xdr:sp>
      </mc:Fallback>
    </mc:AlternateContent>
    <xdr:clientData/>
  </xdr:oneCellAnchor>
  <xdr:oneCellAnchor>
    <xdr:from>
      <xdr:col>1</xdr:col>
      <xdr:colOff>183870</xdr:colOff>
      <xdr:row>62</xdr:row>
      <xdr:rowOff>264645</xdr:rowOff>
    </xdr:from>
    <xdr:ext cx="397353" cy="172227"/>
    <mc:AlternateContent xmlns:mc="http://schemas.openxmlformats.org/markup-compatibility/2006" xmlns:a14="http://schemas.microsoft.com/office/drawing/2010/main">
      <mc:Choice Requires="a14">
        <xdr:sp macro="" textlink="">
          <xdr:nvSpPr>
            <xdr:cNvPr id="7" name="CuadroTexto 6">
              <a:extLst>
                <a:ext uri="{FF2B5EF4-FFF2-40B4-BE49-F238E27FC236}">
                  <a16:creationId xmlns:a16="http://schemas.microsoft.com/office/drawing/2014/main" id="{00000000-0008-0000-1700-000007000000}"/>
                </a:ext>
              </a:extLst>
            </xdr:cNvPr>
            <xdr:cNvSpPr txBox="1"/>
          </xdr:nvSpPr>
          <xdr:spPr>
            <a:xfrm>
              <a:off x="1022070" y="23724720"/>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𝒂</m:t>
                        </m:r>
                      </m:sub>
                    </m:sSub>
                    <m:r>
                      <a:rPr lang="es-CO" sz="1100" b="1" i="1">
                        <a:latin typeface="Cambria Math" panose="02040503050406030204" pitchFamily="18" charset="0"/>
                      </a:rPr>
                      <m:t>)</m:t>
                    </m:r>
                  </m:oMath>
                </m:oMathPara>
              </a14:m>
              <a:endParaRPr lang="es-CO" sz="1100" b="1"/>
            </a:p>
          </xdr:txBody>
        </xdr:sp>
      </mc:Choice>
      <mc:Fallback xmlns="">
        <xdr:sp macro="" textlink="">
          <xdr:nvSpPr>
            <xdr:cNvPr id="7" name="CuadroTexto 6">
              <a:extLst>
                <a:ext uri="{FF2B5EF4-FFF2-40B4-BE49-F238E27FC236}">
                  <a16:creationId xmlns="" xmlns:a16="http://schemas.microsoft.com/office/drawing/2014/main" xmlns:a14="http://schemas.microsoft.com/office/drawing/2010/main" id="{00000000-0008-0000-1000-000007000000}"/>
                </a:ext>
              </a:extLst>
            </xdr:cNvPr>
            <xdr:cNvSpPr txBox="1"/>
          </xdr:nvSpPr>
          <xdr:spPr>
            <a:xfrm>
              <a:off x="1022070" y="23724720"/>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𝒂)</a:t>
              </a:r>
              <a:endParaRPr lang="es-CO" sz="1100" b="1"/>
            </a:p>
          </xdr:txBody>
        </xdr:sp>
      </mc:Fallback>
    </mc:AlternateContent>
    <xdr:clientData/>
  </xdr:oneCellAnchor>
  <xdr:oneCellAnchor>
    <xdr:from>
      <xdr:col>1</xdr:col>
      <xdr:colOff>186298</xdr:colOff>
      <xdr:row>63</xdr:row>
      <xdr:rowOff>266606</xdr:rowOff>
    </xdr:from>
    <xdr:ext cx="376642" cy="172227"/>
    <mc:AlternateContent xmlns:mc="http://schemas.openxmlformats.org/markup-compatibility/2006" xmlns:a14="http://schemas.microsoft.com/office/drawing/2010/main">
      <mc:Choice Requires="a14">
        <xdr:sp macro="" textlink="">
          <xdr:nvSpPr>
            <xdr:cNvPr id="8" name="CuadroTexto 7">
              <a:extLst>
                <a:ext uri="{FF2B5EF4-FFF2-40B4-BE49-F238E27FC236}">
                  <a16:creationId xmlns:a16="http://schemas.microsoft.com/office/drawing/2014/main" id="{00000000-0008-0000-1700-000008000000}"/>
                </a:ext>
              </a:extLst>
            </xdr:cNvPr>
            <xdr:cNvSpPr txBox="1"/>
          </xdr:nvSpPr>
          <xdr:spPr>
            <a:xfrm>
              <a:off x="1024498" y="244601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𝒕</m:t>
                        </m:r>
                      </m:sub>
                    </m:sSub>
                    <m:r>
                      <a:rPr lang="es-CO" sz="1100" b="1" i="1">
                        <a:latin typeface="Cambria Math" panose="02040503050406030204" pitchFamily="18" charset="0"/>
                      </a:rPr>
                      <m:t>)</m:t>
                    </m:r>
                  </m:oMath>
                </m:oMathPara>
              </a14:m>
              <a:endParaRPr lang="es-CO" sz="1100" b="1"/>
            </a:p>
          </xdr:txBody>
        </xdr:sp>
      </mc:Choice>
      <mc:Fallback xmlns="">
        <xdr:sp macro="" textlink="">
          <xdr:nvSpPr>
            <xdr:cNvPr id="8" name="CuadroTexto 7">
              <a:extLst>
                <a:ext uri="{FF2B5EF4-FFF2-40B4-BE49-F238E27FC236}">
                  <a16:creationId xmlns="" xmlns:a16="http://schemas.microsoft.com/office/drawing/2014/main" xmlns:a14="http://schemas.microsoft.com/office/drawing/2010/main" id="{00000000-0008-0000-1000-000008000000}"/>
                </a:ext>
              </a:extLst>
            </xdr:cNvPr>
            <xdr:cNvSpPr txBox="1"/>
          </xdr:nvSpPr>
          <xdr:spPr>
            <a:xfrm>
              <a:off x="1024498" y="244601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𝒕)</a:t>
              </a:r>
              <a:endParaRPr lang="es-CO" sz="1100" b="1"/>
            </a:p>
          </xdr:txBody>
        </xdr:sp>
      </mc:Fallback>
    </mc:AlternateContent>
    <xdr:clientData/>
  </xdr:oneCellAnchor>
  <xdr:oneCellAnchor>
    <xdr:from>
      <xdr:col>1</xdr:col>
      <xdr:colOff>186298</xdr:colOff>
      <xdr:row>64</xdr:row>
      <xdr:rowOff>222250</xdr:rowOff>
    </xdr:from>
    <xdr:ext cx="388696" cy="172227"/>
    <mc:AlternateContent xmlns:mc="http://schemas.openxmlformats.org/markup-compatibility/2006" xmlns:a14="http://schemas.microsoft.com/office/drawing/2010/main">
      <mc:Choice Requires="a14">
        <xdr:sp macro="" textlink="">
          <xdr:nvSpPr>
            <xdr:cNvPr id="9" name="CuadroTexto 8">
              <a:extLst>
                <a:ext uri="{FF2B5EF4-FFF2-40B4-BE49-F238E27FC236}">
                  <a16:creationId xmlns:a16="http://schemas.microsoft.com/office/drawing/2014/main" id="{00000000-0008-0000-1700-000009000000}"/>
                </a:ext>
              </a:extLst>
            </xdr:cNvPr>
            <xdr:cNvSpPr txBox="1"/>
          </xdr:nvSpPr>
          <xdr:spPr>
            <a:xfrm>
              <a:off x="1024498" y="25149175"/>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9" name="CuadroTexto 8">
              <a:extLst>
                <a:ext uri="{FF2B5EF4-FFF2-40B4-BE49-F238E27FC236}">
                  <a16:creationId xmlns="" xmlns:a16="http://schemas.microsoft.com/office/drawing/2014/main" xmlns:a14="http://schemas.microsoft.com/office/drawing/2010/main" id="{00000000-0008-0000-1000-000009000000}"/>
                </a:ext>
              </a:extLst>
            </xdr:cNvPr>
            <xdr:cNvSpPr txBox="1"/>
          </xdr:nvSpPr>
          <xdr:spPr>
            <a:xfrm>
              <a:off x="1024498" y="25149175"/>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𝒓)</a:t>
              </a:r>
              <a:endParaRPr lang="es-CO" sz="1100" b="1"/>
            </a:p>
          </xdr:txBody>
        </xdr:sp>
      </mc:Fallback>
    </mc:AlternateContent>
    <xdr:clientData/>
  </xdr:oneCellAnchor>
  <xdr:oneCellAnchor>
    <xdr:from>
      <xdr:col>1</xdr:col>
      <xdr:colOff>265579</xdr:colOff>
      <xdr:row>65</xdr:row>
      <xdr:rowOff>288458</xdr:rowOff>
    </xdr:from>
    <xdr:ext cx="191271" cy="172227"/>
    <mc:AlternateContent xmlns:mc="http://schemas.openxmlformats.org/markup-compatibility/2006" xmlns:a14="http://schemas.microsoft.com/office/drawing/2010/main">
      <mc:Choice Requires="a14">
        <xdr:sp macro="" textlink="">
          <xdr:nvSpPr>
            <xdr:cNvPr id="10" name="CuadroTexto 9">
              <a:extLst>
                <a:ext uri="{FF2B5EF4-FFF2-40B4-BE49-F238E27FC236}">
                  <a16:creationId xmlns:a16="http://schemas.microsoft.com/office/drawing/2014/main" id="{00000000-0008-0000-1700-00000A000000}"/>
                </a:ext>
              </a:extLst>
            </xdr:cNvPr>
            <xdr:cNvSpPr txBox="1"/>
          </xdr:nvSpPr>
          <xdr:spPr>
            <a:xfrm>
              <a:off x="1103779" y="2594880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𝒃</m:t>
                        </m:r>
                      </m:sub>
                    </m:sSub>
                  </m:oMath>
                </m:oMathPara>
              </a14:m>
              <a:endParaRPr lang="es-CO" sz="1100" b="1"/>
            </a:p>
          </xdr:txBody>
        </xdr:sp>
      </mc:Choice>
      <mc:Fallback xmlns="">
        <xdr:sp macro="" textlink="">
          <xdr:nvSpPr>
            <xdr:cNvPr id="10" name="CuadroTexto 9">
              <a:extLst>
                <a:ext uri="{FF2B5EF4-FFF2-40B4-BE49-F238E27FC236}">
                  <a16:creationId xmlns="" xmlns:a16="http://schemas.microsoft.com/office/drawing/2014/main" xmlns:a14="http://schemas.microsoft.com/office/drawing/2010/main" id="{00000000-0008-0000-1000-00000A000000}"/>
                </a:ext>
              </a:extLst>
            </xdr:cNvPr>
            <xdr:cNvSpPr txBox="1"/>
          </xdr:nvSpPr>
          <xdr:spPr>
            <a:xfrm>
              <a:off x="1103779" y="2594880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𝒖_𝒃</a:t>
              </a:r>
              <a:endParaRPr lang="es-CO" sz="1100" b="1"/>
            </a:p>
          </xdr:txBody>
        </xdr:sp>
      </mc:Fallback>
    </mc:AlternateContent>
    <xdr:clientData/>
  </xdr:oneCellAnchor>
  <xdr:oneCellAnchor>
    <xdr:from>
      <xdr:col>1</xdr:col>
      <xdr:colOff>261391</xdr:colOff>
      <xdr:row>66</xdr:row>
      <xdr:rowOff>294234</xdr:rowOff>
    </xdr:from>
    <xdr:ext cx="195053" cy="172227"/>
    <mc:AlternateContent xmlns:mc="http://schemas.openxmlformats.org/markup-compatibility/2006" xmlns:a14="http://schemas.microsoft.com/office/drawing/2010/main">
      <mc:Choice Requires="a14">
        <xdr:sp macro="" textlink="">
          <xdr:nvSpPr>
            <xdr:cNvPr id="11" name="CuadroTexto 10">
              <a:extLst>
                <a:ext uri="{FF2B5EF4-FFF2-40B4-BE49-F238E27FC236}">
                  <a16:creationId xmlns:a16="http://schemas.microsoft.com/office/drawing/2014/main" id="{00000000-0008-0000-1700-00000B000000}"/>
                </a:ext>
              </a:extLst>
            </xdr:cNvPr>
            <xdr:cNvSpPr txBox="1"/>
          </xdr:nvSpPr>
          <xdr:spPr>
            <a:xfrm>
              <a:off x="1099591" y="26688009"/>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𝒅</m:t>
                        </m:r>
                      </m:sub>
                    </m:sSub>
                  </m:oMath>
                </m:oMathPara>
              </a14:m>
              <a:endParaRPr lang="es-CO" sz="1100" b="1"/>
            </a:p>
          </xdr:txBody>
        </xdr:sp>
      </mc:Choice>
      <mc:Fallback xmlns="">
        <xdr:sp macro="" textlink="">
          <xdr:nvSpPr>
            <xdr:cNvPr id="11" name="CuadroTexto 10">
              <a:extLst>
                <a:ext uri="{FF2B5EF4-FFF2-40B4-BE49-F238E27FC236}">
                  <a16:creationId xmlns="" xmlns:a16="http://schemas.microsoft.com/office/drawing/2014/main" xmlns:a14="http://schemas.microsoft.com/office/drawing/2010/main" id="{00000000-0008-0000-1000-00000B000000}"/>
                </a:ext>
              </a:extLst>
            </xdr:cNvPr>
            <xdr:cNvSpPr txBox="1"/>
          </xdr:nvSpPr>
          <xdr:spPr>
            <a:xfrm>
              <a:off x="1099591" y="26688009"/>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𝒖_𝒅</a:t>
              </a:r>
              <a:endParaRPr lang="es-CO" sz="1100" b="1"/>
            </a:p>
          </xdr:txBody>
        </xdr:sp>
      </mc:Fallback>
    </mc:AlternateContent>
    <xdr:clientData/>
  </xdr:oneCellAnchor>
  <xdr:oneCellAnchor>
    <xdr:from>
      <xdr:col>5</xdr:col>
      <xdr:colOff>393571</xdr:colOff>
      <xdr:row>69</xdr:row>
      <xdr:rowOff>265119</xdr:rowOff>
    </xdr:from>
    <xdr:ext cx="529697" cy="172227"/>
    <mc:AlternateContent xmlns:mc="http://schemas.openxmlformats.org/markup-compatibility/2006" xmlns:a14="http://schemas.microsoft.com/office/drawing/2010/main">
      <mc:Choice Requires="a14">
        <xdr:sp macro="" textlink="">
          <xdr:nvSpPr>
            <xdr:cNvPr id="12" name="CuadroTexto 11">
              <a:extLst>
                <a:ext uri="{FF2B5EF4-FFF2-40B4-BE49-F238E27FC236}">
                  <a16:creationId xmlns:a16="http://schemas.microsoft.com/office/drawing/2014/main" id="{00000000-0008-0000-1700-00000C000000}"/>
                </a:ext>
              </a:extLst>
            </xdr:cNvPr>
            <xdr:cNvSpPr txBox="1"/>
          </xdr:nvSpPr>
          <xdr:spPr>
            <a:xfrm>
              <a:off x="5251321" y="28220994"/>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𝒄</m:t>
                        </m:r>
                      </m:sub>
                    </m:sSub>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12" name="CuadroTexto 11">
              <a:extLst>
                <a:ext uri="{FF2B5EF4-FFF2-40B4-BE49-F238E27FC236}">
                  <a16:creationId xmlns="" xmlns:a16="http://schemas.microsoft.com/office/drawing/2014/main" xmlns:a14="http://schemas.microsoft.com/office/drawing/2010/main" id="{00000000-0008-0000-1000-00000C000000}"/>
                </a:ext>
              </a:extLst>
            </xdr:cNvPr>
            <xdr:cNvSpPr txBox="1"/>
          </xdr:nvSpPr>
          <xdr:spPr>
            <a:xfrm>
              <a:off x="5251321" y="28220994"/>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𝒖_𝒄 (</a:t>
              </a:r>
              <a:r>
                <a:rPr lang="es-CO" sz="1100" b="1" i="0">
                  <a:latin typeface="Cambria Math" panose="02040503050406030204" pitchFamily="18" charset="0"/>
                  <a:ea typeface="Cambria Math" panose="02040503050406030204" pitchFamily="18" charset="0"/>
                </a:rPr>
                <a:t>𝒎_𝒄𝒕)</a:t>
              </a:r>
              <a:endParaRPr lang="es-CO" sz="1100" b="1"/>
            </a:p>
          </xdr:txBody>
        </xdr:sp>
      </mc:Fallback>
    </mc:AlternateContent>
    <xdr:clientData/>
  </xdr:oneCellAnchor>
  <xdr:oneCellAnchor>
    <xdr:from>
      <xdr:col>5</xdr:col>
      <xdr:colOff>243965</xdr:colOff>
      <xdr:row>70</xdr:row>
      <xdr:rowOff>130277</xdr:rowOff>
    </xdr:from>
    <xdr:ext cx="780598" cy="172227"/>
    <mc:AlternateContent xmlns:mc="http://schemas.openxmlformats.org/markup-compatibility/2006" xmlns:a14="http://schemas.microsoft.com/office/drawing/2010/main">
      <mc:Choice Requires="a14">
        <xdr:sp macro="" textlink="">
          <xdr:nvSpPr>
            <xdr:cNvPr id="13" name="CuadroTexto 12">
              <a:extLst>
                <a:ext uri="{FF2B5EF4-FFF2-40B4-BE49-F238E27FC236}">
                  <a16:creationId xmlns:a16="http://schemas.microsoft.com/office/drawing/2014/main" id="{00000000-0008-0000-1700-00000D000000}"/>
                </a:ext>
              </a:extLst>
            </xdr:cNvPr>
            <xdr:cNvSpPr txBox="1"/>
          </xdr:nvSpPr>
          <xdr:spPr>
            <a:xfrm>
              <a:off x="5101715" y="2874337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100" b="1" i="1">
                      <a:latin typeface="Cambria Math" panose="02040503050406030204" pitchFamily="18" charset="0"/>
                    </a:rPr>
                    <m:t>𝑼</m:t>
                  </m:r>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a14:m>
              <a:r>
                <a:rPr lang="es-CO" sz="1100" b="1"/>
                <a:t> (k=2)</a:t>
              </a:r>
            </a:p>
          </xdr:txBody>
        </xdr:sp>
      </mc:Choice>
      <mc:Fallback xmlns="">
        <xdr:sp macro="" textlink="">
          <xdr:nvSpPr>
            <xdr:cNvPr id="13" name="CuadroTexto 12">
              <a:extLst>
                <a:ext uri="{FF2B5EF4-FFF2-40B4-BE49-F238E27FC236}">
                  <a16:creationId xmlns="" xmlns:a16="http://schemas.microsoft.com/office/drawing/2014/main" xmlns:a14="http://schemas.microsoft.com/office/drawing/2010/main" id="{00000000-0008-0000-1000-00000D000000}"/>
                </a:ext>
              </a:extLst>
            </xdr:cNvPr>
            <xdr:cNvSpPr txBox="1"/>
          </xdr:nvSpPr>
          <xdr:spPr>
            <a:xfrm>
              <a:off x="5101715" y="2874337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100" b="1" i="0">
                  <a:latin typeface="Cambria Math" panose="02040503050406030204" pitchFamily="18" charset="0"/>
                </a:rPr>
                <a:t>𝑼(</a:t>
              </a:r>
              <a:r>
                <a:rPr lang="es-CO" sz="1100" b="1" i="0">
                  <a:latin typeface="Cambria Math" panose="02040503050406030204" pitchFamily="18" charset="0"/>
                  <a:ea typeface="Cambria Math" panose="02040503050406030204" pitchFamily="18" charset="0"/>
                </a:rPr>
                <a:t>𝒎_𝒄𝒕)</a:t>
              </a:r>
              <a:r>
                <a:rPr lang="es-CO" sz="1100" b="1"/>
                <a:t> (k=2)</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14" name="CuadroTexto 13">
              <a:extLst>
                <a:ext uri="{FF2B5EF4-FFF2-40B4-BE49-F238E27FC236}">
                  <a16:creationId xmlns:a16="http://schemas.microsoft.com/office/drawing/2014/main" id="{00000000-0008-0000-1700-00000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14" name="CuadroTexto 13">
              <a:extLst>
                <a:ext uri="{FF2B5EF4-FFF2-40B4-BE49-F238E27FC236}">
                  <a16:creationId xmlns="" xmlns:a16="http://schemas.microsoft.com/office/drawing/2014/main" xmlns:a14="http://schemas.microsoft.com/office/drawing/2010/main" id="{00000000-0008-0000-1000-00000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8</xdr:col>
      <xdr:colOff>541269</xdr:colOff>
      <xdr:row>52</xdr:row>
      <xdr:rowOff>78683</xdr:rowOff>
    </xdr:from>
    <xdr:ext cx="304571" cy="172227"/>
    <mc:AlternateContent xmlns:mc="http://schemas.openxmlformats.org/markup-compatibility/2006" xmlns:a14="http://schemas.microsoft.com/office/drawing/2010/main">
      <mc:Choice Requires="a14">
        <xdr:sp macro="" textlink="">
          <xdr:nvSpPr>
            <xdr:cNvPr id="15" name="CuadroTexto 14">
              <a:extLst>
                <a:ext uri="{FF2B5EF4-FFF2-40B4-BE49-F238E27FC236}">
                  <a16:creationId xmlns:a16="http://schemas.microsoft.com/office/drawing/2014/main" id="{00000000-0008-0000-1700-00000F000000}"/>
                </a:ext>
              </a:extLst>
            </xdr:cNvPr>
            <xdr:cNvSpPr txBox="1"/>
          </xdr:nvSpPr>
          <xdr:spPr>
            <a:xfrm>
              <a:off x="9313794" y="18623858"/>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oMath>
                </m:oMathPara>
              </a14:m>
              <a:endParaRPr lang="es-CO" sz="1100" b="1"/>
            </a:p>
          </xdr:txBody>
        </xdr:sp>
      </mc:Choice>
      <mc:Fallback xmlns="">
        <xdr:sp macro="" textlink="">
          <xdr:nvSpPr>
            <xdr:cNvPr id="15" name="CuadroTexto 14">
              <a:extLst>
                <a:ext uri="{FF2B5EF4-FFF2-40B4-BE49-F238E27FC236}">
                  <a16:creationId xmlns="" xmlns:a16="http://schemas.microsoft.com/office/drawing/2014/main" xmlns:a14="http://schemas.microsoft.com/office/drawing/2010/main" id="{00000000-0008-0000-1000-00000F000000}"/>
                </a:ext>
              </a:extLst>
            </xdr:cNvPr>
            <xdr:cNvSpPr txBox="1"/>
          </xdr:nvSpPr>
          <xdr:spPr>
            <a:xfrm>
              <a:off x="9313794" y="18623858"/>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4</xdr:col>
      <xdr:colOff>155713</xdr:colOff>
      <xdr:row>39</xdr:row>
      <xdr:rowOff>106017</xdr:rowOff>
    </xdr:from>
    <xdr:ext cx="65" cy="172227"/>
    <xdr:sp macro="" textlink="">
      <xdr:nvSpPr>
        <xdr:cNvPr id="16" name="CuadroTexto 15">
          <a:extLst>
            <a:ext uri="{FF2B5EF4-FFF2-40B4-BE49-F238E27FC236}">
              <a16:creationId xmlns:a16="http://schemas.microsoft.com/office/drawing/2014/main" id="{00000000-0008-0000-1700-000010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17" name="CuadroTexto 16">
              <a:extLst>
                <a:ext uri="{FF2B5EF4-FFF2-40B4-BE49-F238E27FC236}">
                  <a16:creationId xmlns:a16="http://schemas.microsoft.com/office/drawing/2014/main" id="{00000000-0008-0000-1700-000011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7" name="CuadroTexto 16">
              <a:extLst>
                <a:ext uri="{FF2B5EF4-FFF2-40B4-BE49-F238E27FC236}">
                  <a16:creationId xmlns="" xmlns:a16="http://schemas.microsoft.com/office/drawing/2014/main" xmlns:a14="http://schemas.microsoft.com/office/drawing/2010/main" id="{00000000-0008-0000-1000-000011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18" name="CuadroTexto 17">
              <a:extLst>
                <a:ext uri="{FF2B5EF4-FFF2-40B4-BE49-F238E27FC236}">
                  <a16:creationId xmlns:a16="http://schemas.microsoft.com/office/drawing/2014/main" id="{00000000-0008-0000-1700-000012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18" name="CuadroTexto 17">
              <a:extLst>
                <a:ext uri="{FF2B5EF4-FFF2-40B4-BE49-F238E27FC236}">
                  <a16:creationId xmlns="" xmlns:a16="http://schemas.microsoft.com/office/drawing/2014/main" xmlns:a14="http://schemas.microsoft.com/office/drawing/2010/main" id="{00000000-0008-0000-1000-000012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19" name="CuadroTexto 18">
              <a:extLst>
                <a:ext uri="{FF2B5EF4-FFF2-40B4-BE49-F238E27FC236}">
                  <a16:creationId xmlns:a16="http://schemas.microsoft.com/office/drawing/2014/main" id="{00000000-0008-0000-1700-000013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9" name="CuadroTexto 18">
              <a:extLst>
                <a:ext uri="{FF2B5EF4-FFF2-40B4-BE49-F238E27FC236}">
                  <a16:creationId xmlns="" xmlns:a16="http://schemas.microsoft.com/office/drawing/2014/main" xmlns:a14="http://schemas.microsoft.com/office/drawing/2010/main" id="{00000000-0008-0000-1000-000013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0" name="CuadroTexto 19">
              <a:extLst>
                <a:ext uri="{FF2B5EF4-FFF2-40B4-BE49-F238E27FC236}">
                  <a16:creationId xmlns:a16="http://schemas.microsoft.com/office/drawing/2014/main" id="{00000000-0008-0000-1700-000014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0" name="CuadroTexto 19">
              <a:extLst>
                <a:ext uri="{FF2B5EF4-FFF2-40B4-BE49-F238E27FC236}">
                  <a16:creationId xmlns="" xmlns:a16="http://schemas.microsoft.com/office/drawing/2014/main" xmlns:a14="http://schemas.microsoft.com/office/drawing/2010/main" id="{00000000-0008-0000-1000-000014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1" name="CuadroTexto 20">
          <a:extLst>
            <a:ext uri="{FF2B5EF4-FFF2-40B4-BE49-F238E27FC236}">
              <a16:creationId xmlns:a16="http://schemas.microsoft.com/office/drawing/2014/main" id="{00000000-0008-0000-1700-000015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3</xdr:col>
      <xdr:colOff>236456</xdr:colOff>
      <xdr:row>73</xdr:row>
      <xdr:rowOff>141002</xdr:rowOff>
    </xdr:from>
    <xdr:ext cx="730521" cy="219163"/>
    <mc:AlternateContent xmlns:mc="http://schemas.openxmlformats.org/markup-compatibility/2006" xmlns:a14="http://schemas.microsoft.com/office/drawing/2010/main">
      <mc:Choice Requires="a14">
        <xdr:sp macro="" textlink="">
          <xdr:nvSpPr>
            <xdr:cNvPr id="22" name="CuadroTexto 21">
              <a:extLst>
                <a:ext uri="{FF2B5EF4-FFF2-40B4-BE49-F238E27FC236}">
                  <a16:creationId xmlns:a16="http://schemas.microsoft.com/office/drawing/2014/main" id="{00000000-0008-0000-1700-000016000000}"/>
                </a:ext>
              </a:extLst>
            </xdr:cNvPr>
            <xdr:cNvSpPr txBox="1"/>
          </xdr:nvSpPr>
          <xdr:spPr>
            <a:xfrm>
              <a:off x="2922506" y="30059027"/>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m:t>
                  </m:r>
                  <m:sSub>
                    <m:sSubPr>
                      <m:ctrlPr>
                        <a:rPr lang="es-CO" sz="1400" b="1" i="1">
                          <a:latin typeface="Cambria Math" panose="02040503050406030204" pitchFamily="18" charset="0"/>
                          <a:ea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𝒎</m:t>
                      </m:r>
                    </m:e>
                    <m:sub>
                      <m:r>
                        <a:rPr lang="es-CO" sz="1400" b="1" i="1">
                          <a:latin typeface="Cambria Math" panose="02040503050406030204" pitchFamily="18" charset="0"/>
                          <a:ea typeface="Cambria Math" panose="02040503050406030204" pitchFamily="18" charset="0"/>
                        </a:rPr>
                        <m:t>𝒄</m:t>
                      </m:r>
                    </m:sub>
                  </m:sSub>
                </m:oMath>
              </a14:m>
              <a:r>
                <a:rPr lang="es-CO" sz="1400" b="1" i="1"/>
                <a:t> (mg</a:t>
              </a:r>
              <a:r>
                <a:rPr lang="es-CO" sz="1200" b="1" i="0"/>
                <a:t>)</a:t>
              </a:r>
            </a:p>
          </xdr:txBody>
        </xdr:sp>
      </mc:Choice>
      <mc:Fallback xmlns="">
        <xdr:sp macro="" textlink="">
          <xdr:nvSpPr>
            <xdr:cNvPr id="22" name="CuadroTexto 21">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2922506" y="30059027"/>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400" b="1" i="0">
                  <a:latin typeface="Cambria Math" panose="02040503050406030204" pitchFamily="18" charset="0"/>
                  <a:ea typeface="Cambria Math" panose="02040503050406030204" pitchFamily="18" charset="0"/>
                </a:rPr>
                <a:t>∆𝒎_𝒄</a:t>
              </a:r>
              <a:r>
                <a:rPr lang="es-CO" sz="1400" b="1" i="1"/>
                <a:t> (mg</a:t>
              </a:r>
              <a:r>
                <a:rPr lang="es-CO" sz="1200" b="1" i="0"/>
                <a:t>)</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23" name="CuadroTexto 22">
              <a:extLst>
                <a:ext uri="{FF2B5EF4-FFF2-40B4-BE49-F238E27FC236}">
                  <a16:creationId xmlns:a16="http://schemas.microsoft.com/office/drawing/2014/main" id="{00000000-0008-0000-1700-000017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23" name="CuadroTexto 22">
              <a:extLst>
                <a:ext uri="{FF2B5EF4-FFF2-40B4-BE49-F238E27FC236}">
                  <a16:creationId xmlns="" xmlns:a16="http://schemas.microsoft.com/office/drawing/2014/main" xmlns:a14="http://schemas.microsoft.com/office/drawing/2010/main" id="{00000000-0008-0000-1000-000023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24" name="CuadroTexto 23">
          <a:extLst>
            <a:ext uri="{FF2B5EF4-FFF2-40B4-BE49-F238E27FC236}">
              <a16:creationId xmlns:a16="http://schemas.microsoft.com/office/drawing/2014/main" id="{00000000-0008-0000-1700-000018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25" name="CuadroTexto 24">
              <a:extLst>
                <a:ext uri="{FF2B5EF4-FFF2-40B4-BE49-F238E27FC236}">
                  <a16:creationId xmlns:a16="http://schemas.microsoft.com/office/drawing/2014/main" id="{00000000-0008-0000-1700-000019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5" name="CuadroTexto 24">
              <a:extLst>
                <a:ext uri="{FF2B5EF4-FFF2-40B4-BE49-F238E27FC236}">
                  <a16:creationId xmlns="" xmlns:a16="http://schemas.microsoft.com/office/drawing/2014/main" xmlns:a14="http://schemas.microsoft.com/office/drawing/2010/main" id="{00000000-0008-0000-1000-000026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26" name="CuadroTexto 25">
              <a:extLst>
                <a:ext uri="{FF2B5EF4-FFF2-40B4-BE49-F238E27FC236}">
                  <a16:creationId xmlns:a16="http://schemas.microsoft.com/office/drawing/2014/main" id="{00000000-0008-0000-1700-00001A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6" name="CuadroTexto 25">
              <a:extLst>
                <a:ext uri="{FF2B5EF4-FFF2-40B4-BE49-F238E27FC236}">
                  <a16:creationId xmlns="" xmlns:a16="http://schemas.microsoft.com/office/drawing/2014/main" xmlns:a14="http://schemas.microsoft.com/office/drawing/2010/main" id="{00000000-0008-0000-1000-000027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27" name="CuadroTexto 26">
              <a:extLst>
                <a:ext uri="{FF2B5EF4-FFF2-40B4-BE49-F238E27FC236}">
                  <a16:creationId xmlns:a16="http://schemas.microsoft.com/office/drawing/2014/main" id="{00000000-0008-0000-1700-00001B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7" name="CuadroTexto 26">
              <a:extLst>
                <a:ext uri="{FF2B5EF4-FFF2-40B4-BE49-F238E27FC236}">
                  <a16:creationId xmlns="" xmlns:a16="http://schemas.microsoft.com/office/drawing/2014/main" xmlns:a14="http://schemas.microsoft.com/office/drawing/2010/main" id="{00000000-0008-0000-1000-000028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8" name="CuadroTexto 27">
              <a:extLst>
                <a:ext uri="{FF2B5EF4-FFF2-40B4-BE49-F238E27FC236}">
                  <a16:creationId xmlns:a16="http://schemas.microsoft.com/office/drawing/2014/main" id="{00000000-0008-0000-1700-00001C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8" name="CuadroTexto 27">
              <a:extLst>
                <a:ext uri="{FF2B5EF4-FFF2-40B4-BE49-F238E27FC236}">
                  <a16:creationId xmlns="" xmlns:a16="http://schemas.microsoft.com/office/drawing/2014/main" xmlns:a14="http://schemas.microsoft.com/office/drawing/2010/main" id="{00000000-0008-0000-1000-000029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9" name="CuadroTexto 28">
          <a:extLst>
            <a:ext uri="{FF2B5EF4-FFF2-40B4-BE49-F238E27FC236}">
              <a16:creationId xmlns:a16="http://schemas.microsoft.com/office/drawing/2014/main" id="{00000000-0008-0000-1700-00001D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30" name="CuadroTexto 29">
              <a:extLst>
                <a:ext uri="{FF2B5EF4-FFF2-40B4-BE49-F238E27FC236}">
                  <a16:creationId xmlns:a16="http://schemas.microsoft.com/office/drawing/2014/main" id="{00000000-0008-0000-1700-00001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30" name="CuadroTexto 29">
              <a:extLst>
                <a:ext uri="{FF2B5EF4-FFF2-40B4-BE49-F238E27FC236}">
                  <a16:creationId xmlns="" xmlns:a16="http://schemas.microsoft.com/office/drawing/2014/main" xmlns:a14="http://schemas.microsoft.com/office/drawing/2010/main" id="{00000000-0008-0000-1000-000038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31" name="CuadroTexto 30">
          <a:extLst>
            <a:ext uri="{FF2B5EF4-FFF2-40B4-BE49-F238E27FC236}">
              <a16:creationId xmlns:a16="http://schemas.microsoft.com/office/drawing/2014/main" id="{00000000-0008-0000-1700-00001F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32" name="CuadroTexto 31">
              <a:extLst>
                <a:ext uri="{FF2B5EF4-FFF2-40B4-BE49-F238E27FC236}">
                  <a16:creationId xmlns:a16="http://schemas.microsoft.com/office/drawing/2014/main" id="{00000000-0008-0000-1700-000020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2" name="CuadroTexto 31">
              <a:extLst>
                <a:ext uri="{FF2B5EF4-FFF2-40B4-BE49-F238E27FC236}">
                  <a16:creationId xmlns="" xmlns:a16="http://schemas.microsoft.com/office/drawing/2014/main" xmlns:a14="http://schemas.microsoft.com/office/drawing/2010/main" id="{00000000-0008-0000-1000-00003B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33" name="CuadroTexto 32">
              <a:extLst>
                <a:ext uri="{FF2B5EF4-FFF2-40B4-BE49-F238E27FC236}">
                  <a16:creationId xmlns:a16="http://schemas.microsoft.com/office/drawing/2014/main" id="{00000000-0008-0000-1700-000021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3" name="CuadroTexto 32">
              <a:extLst>
                <a:ext uri="{FF2B5EF4-FFF2-40B4-BE49-F238E27FC236}">
                  <a16:creationId xmlns="" xmlns:a16="http://schemas.microsoft.com/office/drawing/2014/main" xmlns:a14="http://schemas.microsoft.com/office/drawing/2010/main" id="{00000000-0008-0000-1000-00003C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34" name="CuadroTexto 33">
              <a:extLst>
                <a:ext uri="{FF2B5EF4-FFF2-40B4-BE49-F238E27FC236}">
                  <a16:creationId xmlns:a16="http://schemas.microsoft.com/office/drawing/2014/main" id="{00000000-0008-0000-1700-000022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4" name="CuadroTexto 33">
              <a:extLst>
                <a:ext uri="{FF2B5EF4-FFF2-40B4-BE49-F238E27FC236}">
                  <a16:creationId xmlns="" xmlns:a16="http://schemas.microsoft.com/office/drawing/2014/main" xmlns:a14="http://schemas.microsoft.com/office/drawing/2010/main" id="{00000000-0008-0000-1000-00003D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35" name="CuadroTexto 34">
              <a:extLst>
                <a:ext uri="{FF2B5EF4-FFF2-40B4-BE49-F238E27FC236}">
                  <a16:creationId xmlns:a16="http://schemas.microsoft.com/office/drawing/2014/main" id="{00000000-0008-0000-1700-000023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5" name="CuadroTexto 34">
              <a:extLst>
                <a:ext uri="{FF2B5EF4-FFF2-40B4-BE49-F238E27FC236}">
                  <a16:creationId xmlns="" xmlns:a16="http://schemas.microsoft.com/office/drawing/2014/main" xmlns:a14="http://schemas.microsoft.com/office/drawing/2010/main" id="{00000000-0008-0000-1000-00003E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36" name="CuadroTexto 35">
          <a:extLst>
            <a:ext uri="{FF2B5EF4-FFF2-40B4-BE49-F238E27FC236}">
              <a16:creationId xmlns:a16="http://schemas.microsoft.com/office/drawing/2014/main" id="{00000000-0008-0000-1700-000024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11</xdr:col>
      <xdr:colOff>628650</xdr:colOff>
      <xdr:row>61</xdr:row>
      <xdr:rowOff>0</xdr:rowOff>
    </xdr:from>
    <xdr:ext cx="65" cy="172227"/>
    <xdr:sp macro="" textlink="">
      <xdr:nvSpPr>
        <xdr:cNvPr id="38" name="CuadroTexto 37">
          <a:extLst>
            <a:ext uri="{FF2B5EF4-FFF2-40B4-BE49-F238E27FC236}">
              <a16:creationId xmlns:a16="http://schemas.microsoft.com/office/drawing/2014/main" id="{00000000-0008-0000-1700-000026000000}"/>
            </a:ext>
          </a:extLst>
        </xdr:cNvPr>
        <xdr:cNvSpPr txBox="1"/>
      </xdr:nvSpPr>
      <xdr:spPr>
        <a:xfrm>
          <a:off x="12001500" y="2272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5</xdr:col>
      <xdr:colOff>539750</xdr:colOff>
      <xdr:row>73</xdr:row>
      <xdr:rowOff>158749</xdr:rowOff>
    </xdr:from>
    <xdr:ext cx="984250" cy="210507"/>
    <mc:AlternateContent xmlns:mc="http://schemas.openxmlformats.org/markup-compatibility/2006" xmlns:a14="http://schemas.microsoft.com/office/drawing/2010/main">
      <mc:Choice Requires="a14">
        <xdr:sp macro="" textlink="">
          <xdr:nvSpPr>
            <xdr:cNvPr id="39" name="CuadroTexto 38">
              <a:extLst>
                <a:ext uri="{FF2B5EF4-FFF2-40B4-BE49-F238E27FC236}">
                  <a16:creationId xmlns:a16="http://schemas.microsoft.com/office/drawing/2014/main" id="{00000000-0008-0000-1700-000027000000}"/>
                </a:ext>
              </a:extLst>
            </xdr:cNvPr>
            <xdr:cNvSpPr txBox="1"/>
          </xdr:nvSpPr>
          <xdr:spPr>
            <a:xfrm>
              <a:off x="5397500" y="30076774"/>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𝒆</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39" name="CuadroTexto 38">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5397500" y="30076774"/>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𝒆 𝒄𝒕</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4</xdr:col>
      <xdr:colOff>52917</xdr:colOff>
      <xdr:row>73</xdr:row>
      <xdr:rowOff>148167</xdr:rowOff>
    </xdr:from>
    <xdr:ext cx="984250" cy="210507"/>
    <mc:AlternateContent xmlns:mc="http://schemas.openxmlformats.org/markup-compatibility/2006" xmlns:a14="http://schemas.microsoft.com/office/drawing/2010/main">
      <mc:Choice Requires="a14">
        <xdr:sp macro="" textlink="">
          <xdr:nvSpPr>
            <xdr:cNvPr id="40" name="CuadroTexto 39">
              <a:extLst>
                <a:ext uri="{FF2B5EF4-FFF2-40B4-BE49-F238E27FC236}">
                  <a16:creationId xmlns:a16="http://schemas.microsoft.com/office/drawing/2014/main" id="{00000000-0008-0000-1700-000028000000}"/>
                </a:ext>
              </a:extLst>
            </xdr:cNvPr>
            <xdr:cNvSpPr txBox="1"/>
          </xdr:nvSpPr>
          <xdr:spPr>
            <a:xfrm>
              <a:off x="3872442" y="30066192"/>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0" name="CuadroTexto 39">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3872442" y="30066192"/>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𝒄𝒕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1</xdr:col>
      <xdr:colOff>35718</xdr:colOff>
      <xdr:row>73</xdr:row>
      <xdr:rowOff>95250</xdr:rowOff>
    </xdr:from>
    <xdr:ext cx="713052" cy="210507"/>
    <mc:AlternateContent xmlns:mc="http://schemas.openxmlformats.org/markup-compatibility/2006" xmlns:a14="http://schemas.microsoft.com/office/drawing/2010/main">
      <mc:Choice Requires="a14">
        <xdr:sp macro="" textlink="">
          <xdr:nvSpPr>
            <xdr:cNvPr id="42" name="CuadroTexto 41">
              <a:extLst>
                <a:ext uri="{FF2B5EF4-FFF2-40B4-BE49-F238E27FC236}">
                  <a16:creationId xmlns:a16="http://schemas.microsoft.com/office/drawing/2014/main" id="{00000000-0008-0000-1700-00002A000000}"/>
                </a:ext>
              </a:extLst>
            </xdr:cNvPr>
            <xdr:cNvSpPr txBox="1"/>
          </xdr:nvSpPr>
          <xdr:spPr>
            <a:xfrm>
              <a:off x="1012031" y="30206156"/>
              <a:ext cx="713052"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𝑵𝒓</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2" name="CuadroTexto 41">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1012031" y="30206156"/>
              <a:ext cx="713052"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𝑵𝒓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8</xdr:col>
      <xdr:colOff>624417</xdr:colOff>
      <xdr:row>73</xdr:row>
      <xdr:rowOff>285751</xdr:rowOff>
    </xdr:from>
    <xdr:ext cx="1524000" cy="210507"/>
    <mc:AlternateContent xmlns:mc="http://schemas.openxmlformats.org/markup-compatibility/2006" xmlns:a14="http://schemas.microsoft.com/office/drawing/2010/main">
      <mc:Choice Requires="a14">
        <xdr:sp macro="" textlink="">
          <xdr:nvSpPr>
            <xdr:cNvPr id="43" name="CuadroTexto 42">
              <a:extLst>
                <a:ext uri="{FF2B5EF4-FFF2-40B4-BE49-F238E27FC236}">
                  <a16:creationId xmlns:a16="http://schemas.microsoft.com/office/drawing/2014/main" id="{00000000-0008-0000-1700-00002B000000}"/>
                </a:ext>
              </a:extLst>
            </xdr:cNvPr>
            <xdr:cNvSpPr txBox="1"/>
          </xdr:nvSpPr>
          <xdr:spPr>
            <a:xfrm>
              <a:off x="9396942" y="30203776"/>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𝑼</m:t>
                  </m:r>
                  <m:r>
                    <a:rPr lang="es-CO" sz="1400" b="1" i="1">
                      <a:latin typeface="Cambria Math" panose="02040503050406030204" pitchFamily="18" charset="0"/>
                      <a:ea typeface="Cambria Math" panose="02040503050406030204" pitchFamily="18" charset="0"/>
                    </a:rPr>
                    <m:t> </m:t>
                  </m:r>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 </m:t>
                  </m:r>
                  <m:r>
                    <a:rPr lang="es-CO" sz="1400" b="1" i="1">
                      <a:latin typeface="Cambria Math" panose="02040503050406030204" pitchFamily="18" charset="0"/>
                      <a:ea typeface="Cambria Math" panose="02040503050406030204" pitchFamily="18" charset="0"/>
                    </a:rPr>
                    <m:t>𝒌</m:t>
                  </m:r>
                  <m:r>
                    <a:rPr lang="es-CO" sz="1400" b="1" i="1">
                      <a:latin typeface="Cambria Math" panose="02040503050406030204" pitchFamily="18" charset="0"/>
                      <a:ea typeface="Cambria Math" panose="02040503050406030204" pitchFamily="18" charset="0"/>
                    </a:rPr>
                    <m:t>=</m:t>
                  </m:r>
                  <m:r>
                    <a:rPr lang="es-CO" sz="1400" b="1" i="1">
                      <a:latin typeface="Cambria Math" panose="02040503050406030204" pitchFamily="18" charset="0"/>
                      <a:ea typeface="Cambria Math" panose="02040503050406030204" pitchFamily="18" charset="0"/>
                    </a:rPr>
                    <m:t>𝟐</m:t>
                  </m:r>
                </m:oMath>
              </a14:m>
              <a:r>
                <a:rPr lang="es-CO" sz="1400" b="1" i="1">
                  <a:latin typeface="Arial" panose="020B0604020202020204" pitchFamily="34" charset="0"/>
                  <a:cs typeface="Arial" panose="020B0604020202020204" pitchFamily="34" charset="0"/>
                </a:rPr>
                <a:t>)</a:t>
              </a:r>
            </a:p>
          </xdr:txBody>
        </xdr:sp>
      </mc:Choice>
      <mc:Fallback xmlns="">
        <xdr:sp macro="" textlink="">
          <xdr:nvSpPr>
            <xdr:cNvPr id="43" name="CuadroTexto 42">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9396942" y="30203776"/>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0">
                  <a:latin typeface="Cambria Math" panose="02040503050406030204" pitchFamily="18" charset="0"/>
                  <a:ea typeface="Cambria Math" panose="02040503050406030204" pitchFamily="18" charset="0"/>
                </a:rPr>
                <a:t>𝑼 </a:t>
              </a:r>
              <a:r>
                <a:rPr lang="es-CO" sz="1400" b="1" i="0">
                  <a:latin typeface="Cambria Math"/>
                  <a:ea typeface="Cambria Math" panose="02040503050406030204" pitchFamily="18" charset="0"/>
                </a:rPr>
                <a:t>(</a:t>
              </a:r>
              <a:r>
                <a:rPr lang="es-CO" sz="1400" b="1" i="0">
                  <a:latin typeface="Cambria Math" panose="02040503050406030204" pitchFamily="18" charset="0"/>
                  <a:ea typeface="Cambria Math" panose="02040503050406030204" pitchFamily="18" charset="0"/>
                </a:rPr>
                <a:t> 𝒎 𝒄𝒕 </a:t>
              </a:r>
              <a:r>
                <a:rPr lang="es-CO" sz="1400" b="1" i="0">
                  <a:latin typeface="Cambria Math"/>
                  <a:ea typeface="Cambria Math" panose="02040503050406030204" pitchFamily="18" charset="0"/>
                </a:rPr>
                <a:t>)</a:t>
              </a:r>
              <a:r>
                <a:rPr lang="es-CO" sz="1400" b="1" i="0">
                  <a:latin typeface="Cambria Math" panose="02040503050406030204" pitchFamily="18" charset="0"/>
                  <a:ea typeface="Cambria Math" panose="02040503050406030204" pitchFamily="18" charset="0"/>
                </a:rPr>
                <a:t>  ( 𝒌=𝟐</a:t>
              </a:r>
              <a:r>
                <a:rPr lang="es-CO" sz="1400" b="1" i="1">
                  <a:latin typeface="Arial" panose="020B0604020202020204" pitchFamily="34" charset="0"/>
                  <a:cs typeface="Arial" panose="020B0604020202020204" pitchFamily="34" charset="0"/>
                </a:rPr>
                <a:t>)</a:t>
              </a:r>
            </a:p>
          </xdr:txBody>
        </xdr:sp>
      </mc:Fallback>
    </mc:AlternateContent>
    <xdr:clientData/>
  </xdr:oneCellAnchor>
  <xdr:oneCellAnchor>
    <xdr:from>
      <xdr:col>9</xdr:col>
      <xdr:colOff>603252</xdr:colOff>
      <xdr:row>74</xdr:row>
      <xdr:rowOff>84667</xdr:rowOff>
    </xdr:from>
    <xdr:ext cx="465666" cy="219163"/>
    <xdr:sp macro="" textlink="">
      <xdr:nvSpPr>
        <xdr:cNvPr id="44" name="CuadroTexto 43">
          <a:extLst>
            <a:ext uri="{FF2B5EF4-FFF2-40B4-BE49-F238E27FC236}">
              <a16:creationId xmlns:a16="http://schemas.microsoft.com/office/drawing/2014/main" id="{00000000-0008-0000-1700-00002C000000}"/>
            </a:ext>
          </a:extLst>
        </xdr:cNvPr>
        <xdr:cNvSpPr txBox="1"/>
      </xdr:nvSpPr>
      <xdr:spPr>
        <a:xfrm>
          <a:off x="10299702" y="30517042"/>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9</xdr:col>
      <xdr:colOff>571499</xdr:colOff>
      <xdr:row>75</xdr:row>
      <xdr:rowOff>116416</xdr:rowOff>
    </xdr:from>
    <xdr:ext cx="359835" cy="219163"/>
    <xdr:sp macro="" textlink="">
      <xdr:nvSpPr>
        <xdr:cNvPr id="45" name="CuadroTexto 44">
          <a:extLst>
            <a:ext uri="{FF2B5EF4-FFF2-40B4-BE49-F238E27FC236}">
              <a16:creationId xmlns:a16="http://schemas.microsoft.com/office/drawing/2014/main" id="{00000000-0008-0000-1700-00002D000000}"/>
            </a:ext>
          </a:extLst>
        </xdr:cNvPr>
        <xdr:cNvSpPr txBox="1"/>
      </xdr:nvSpPr>
      <xdr:spPr>
        <a:xfrm>
          <a:off x="10267949" y="30986941"/>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6</xdr:col>
      <xdr:colOff>275167</xdr:colOff>
      <xdr:row>74</xdr:row>
      <xdr:rowOff>148166</xdr:rowOff>
    </xdr:from>
    <xdr:ext cx="465666" cy="219163"/>
    <xdr:sp macro="" textlink="">
      <xdr:nvSpPr>
        <xdr:cNvPr id="46" name="CuadroTexto 45">
          <a:extLst>
            <a:ext uri="{FF2B5EF4-FFF2-40B4-BE49-F238E27FC236}">
              <a16:creationId xmlns:a16="http://schemas.microsoft.com/office/drawing/2014/main" id="{00000000-0008-0000-1700-00002E000000}"/>
            </a:ext>
          </a:extLst>
        </xdr:cNvPr>
        <xdr:cNvSpPr txBox="1"/>
      </xdr:nvSpPr>
      <xdr:spPr>
        <a:xfrm>
          <a:off x="6371167" y="30580541"/>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6</xdr:col>
      <xdr:colOff>328083</xdr:colOff>
      <xdr:row>75</xdr:row>
      <xdr:rowOff>84667</xdr:rowOff>
    </xdr:from>
    <xdr:ext cx="359835" cy="219163"/>
    <xdr:sp macro="" textlink="">
      <xdr:nvSpPr>
        <xdr:cNvPr id="47" name="CuadroTexto 46">
          <a:extLst>
            <a:ext uri="{FF2B5EF4-FFF2-40B4-BE49-F238E27FC236}">
              <a16:creationId xmlns:a16="http://schemas.microsoft.com/office/drawing/2014/main" id="{00000000-0008-0000-1700-00002F000000}"/>
            </a:ext>
          </a:extLst>
        </xdr:cNvPr>
        <xdr:cNvSpPr txBox="1"/>
      </xdr:nvSpPr>
      <xdr:spPr>
        <a:xfrm>
          <a:off x="6424083" y="30955192"/>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3</xdr:col>
      <xdr:colOff>560916</xdr:colOff>
      <xdr:row>72</xdr:row>
      <xdr:rowOff>74084</xdr:rowOff>
    </xdr:from>
    <xdr:ext cx="1524000" cy="210507"/>
    <mc:AlternateContent xmlns:mc="http://schemas.openxmlformats.org/markup-compatibility/2006" xmlns:a14="http://schemas.microsoft.com/office/drawing/2010/main">
      <mc:Choice Requires="a14">
        <xdr:sp macro="" textlink="">
          <xdr:nvSpPr>
            <xdr:cNvPr id="48" name="CuadroTexto 47">
              <a:extLst>
                <a:ext uri="{FF2B5EF4-FFF2-40B4-BE49-F238E27FC236}">
                  <a16:creationId xmlns:a16="http://schemas.microsoft.com/office/drawing/2014/main" id="{00000000-0008-0000-1700-000030000000}"/>
                </a:ext>
              </a:extLst>
            </xdr:cNvPr>
            <xdr:cNvSpPr txBox="1"/>
          </xdr:nvSpPr>
          <xdr:spPr>
            <a:xfrm>
              <a:off x="3246966" y="29553959"/>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m:t>
                    </m:r>
                  </m:oMath>
                </m:oMathPara>
              </a14:m>
              <a:endParaRPr lang="es-CO" sz="1400" b="1" i="1">
                <a:latin typeface="Arial" panose="020B0604020202020204" pitchFamily="34" charset="0"/>
                <a:cs typeface="Arial" panose="020B0604020202020204" pitchFamily="34" charset="0"/>
              </a:endParaRPr>
            </a:p>
          </xdr:txBody>
        </xdr:sp>
      </mc:Choice>
      <mc:Fallback xmlns="">
        <xdr:sp macro="" textlink="">
          <xdr:nvSpPr>
            <xdr:cNvPr id="48" name="CuadroTexto 47">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3246966" y="29553959"/>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 𝒎 𝒄𝒕 )   </a:t>
              </a:r>
              <a:endParaRPr lang="es-CO" sz="1400" b="1" i="1">
                <a:latin typeface="Arial" panose="020B0604020202020204" pitchFamily="34" charset="0"/>
                <a:cs typeface="Arial" panose="020B0604020202020204" pitchFamily="34" charset="0"/>
              </a:endParaRPr>
            </a:p>
          </xdr:txBody>
        </xdr:sp>
      </mc:Fallback>
    </mc:AlternateContent>
    <xdr:clientData/>
  </xdr:oneCellAnchor>
  <xdr:oneCellAnchor>
    <xdr:from>
      <xdr:col>7</xdr:col>
      <xdr:colOff>411956</xdr:colOff>
      <xdr:row>71</xdr:row>
      <xdr:rowOff>406003</xdr:rowOff>
    </xdr:from>
    <xdr:ext cx="65" cy="172227"/>
    <xdr:sp macro="" textlink="">
      <xdr:nvSpPr>
        <xdr:cNvPr id="49" name="CuadroTexto 48">
          <a:extLst>
            <a:ext uri="{FF2B5EF4-FFF2-40B4-BE49-F238E27FC236}">
              <a16:creationId xmlns:a16="http://schemas.microsoft.com/office/drawing/2014/main" id="{00000000-0008-0000-1700-000031000000}"/>
            </a:ext>
          </a:extLst>
        </xdr:cNvPr>
        <xdr:cNvSpPr txBox="1"/>
      </xdr:nvSpPr>
      <xdr:spPr>
        <a:xfrm>
          <a:off x="7555706" y="29457253"/>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51" name="CuadroTexto 50">
              <a:extLst>
                <a:ext uri="{FF2B5EF4-FFF2-40B4-BE49-F238E27FC236}">
                  <a16:creationId xmlns:a16="http://schemas.microsoft.com/office/drawing/2014/main" id="{00000000-0008-0000-1700-000033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51" name="CuadroTexto 50">
              <a:extLst>
                <a:ext uri="{FF2B5EF4-FFF2-40B4-BE49-F238E27FC236}">
                  <a16:creationId xmlns:a16="http://schemas.microsoft.com/office/drawing/2014/main" id="{41CB19A0-0CE3-4954-8126-D63BEB005917}"/>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52" name="CuadroTexto 51">
              <a:extLst>
                <a:ext uri="{FF2B5EF4-FFF2-40B4-BE49-F238E27FC236}">
                  <a16:creationId xmlns:a16="http://schemas.microsoft.com/office/drawing/2014/main" id="{00000000-0008-0000-1700-000034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52" name="CuadroTexto 51">
              <a:extLst>
                <a:ext uri="{FF2B5EF4-FFF2-40B4-BE49-F238E27FC236}">
                  <a16:creationId xmlns:a16="http://schemas.microsoft.com/office/drawing/2014/main" id="{1B833B34-FF4B-4498-BE4C-B072C498E0E3}"/>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twoCellAnchor>
    <xdr:from>
      <xdr:col>7</xdr:col>
      <xdr:colOff>849312</xdr:colOff>
      <xdr:row>62</xdr:row>
      <xdr:rowOff>214313</xdr:rowOff>
    </xdr:from>
    <xdr:to>
      <xdr:col>11</xdr:col>
      <xdr:colOff>785811</xdr:colOff>
      <xdr:row>64</xdr:row>
      <xdr:rowOff>484188</xdr:rowOff>
    </xdr:to>
    <xdr:graphicFrame macro="">
      <xdr:nvGraphicFramePr>
        <xdr:cNvPr id="53" name="Gráfico 52">
          <a:extLst>
            <a:ext uri="{FF2B5EF4-FFF2-40B4-BE49-F238E27FC236}">
              <a16:creationId xmlns:a16="http://schemas.microsoft.com/office/drawing/2014/main" id="{00000000-0008-0000-1700-00003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202406</xdr:colOff>
      <xdr:row>0</xdr:row>
      <xdr:rowOff>59532</xdr:rowOff>
    </xdr:from>
    <xdr:to>
      <xdr:col>1</xdr:col>
      <xdr:colOff>597812</xdr:colOff>
      <xdr:row>0</xdr:row>
      <xdr:rowOff>699667</xdr:rowOff>
    </xdr:to>
    <xdr:pic>
      <xdr:nvPicPr>
        <xdr:cNvPr id="37" name="36 Imagen">
          <a:extLst>
            <a:ext uri="{FF2B5EF4-FFF2-40B4-BE49-F238E27FC236}">
              <a16:creationId xmlns:a16="http://schemas.microsoft.com/office/drawing/2014/main" id="{00000000-0008-0000-1700-000025000000}"/>
            </a:ext>
          </a:extLst>
        </xdr:cNvPr>
        <xdr:cNvPicPr>
          <a:picLocks noChangeAspect="1"/>
        </xdr:cNvPicPr>
      </xdr:nvPicPr>
      <xdr:blipFill>
        <a:blip xmlns:r="http://schemas.openxmlformats.org/officeDocument/2006/relationships" r:embed="rId2"/>
        <a:stretch>
          <a:fillRect/>
        </a:stretch>
      </xdr:blipFill>
      <xdr:spPr>
        <a:xfrm>
          <a:off x="202406" y="59532"/>
          <a:ext cx="1371719" cy="640135"/>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oneCellAnchor>
    <xdr:from>
      <xdr:col>1</xdr:col>
      <xdr:colOff>285935</xdr:colOff>
      <xdr:row>42</xdr:row>
      <xdr:rowOff>169517</xdr:rowOff>
    </xdr:from>
    <xdr:ext cx="177356" cy="176202"/>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00000000-0008-0000-1800-000003000000}"/>
                </a:ext>
              </a:extLst>
            </xdr:cNvPr>
            <xdr:cNvSpPr txBox="1"/>
          </xdr:nvSpPr>
          <xdr:spPr>
            <a:xfrm>
              <a:off x="1124135" y="14980892"/>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bg1"/>
                            </a:solidFill>
                            <a:latin typeface="Cambria Math" panose="02040503050406030204" pitchFamily="18" charset="0"/>
                          </a:rPr>
                        </m:ctrlPr>
                      </m:accPr>
                      <m:e>
                        <m:r>
                          <a:rPr lang="es-CO" sz="1100" b="1" i="1">
                            <a:solidFill>
                              <a:schemeClr val="bg1"/>
                            </a:solidFill>
                            <a:latin typeface="Cambria Math" panose="02040503050406030204" pitchFamily="18" charset="0"/>
                            <a:ea typeface="Cambria Math" panose="02040503050406030204" pitchFamily="18" charset="0"/>
                          </a:rPr>
                          <m:t>∆</m:t>
                        </m:r>
                        <m:r>
                          <a:rPr lang="es-CO" sz="1100" b="1" i="1">
                            <a:solidFill>
                              <a:schemeClr val="bg1"/>
                            </a:solidFill>
                            <a:latin typeface="Cambria Math" panose="02040503050406030204" pitchFamily="18" charset="0"/>
                            <a:ea typeface="Cambria Math" panose="02040503050406030204" pitchFamily="18" charset="0"/>
                          </a:rPr>
                          <m:t>𝑰</m:t>
                        </m:r>
                      </m:e>
                    </m:acc>
                  </m:oMath>
                </m:oMathPara>
              </a14:m>
              <a:endParaRPr lang="es-CO" sz="1100" b="1">
                <a:solidFill>
                  <a:schemeClr val="bg1"/>
                </a:solidFill>
              </a:endParaRPr>
            </a:p>
          </xdr:txBody>
        </xdr:sp>
      </mc:Choice>
      <mc:Fallback xmlns="">
        <xdr:sp macro="" textlink="">
          <xdr:nvSpPr>
            <xdr:cNvPr id="3" name="CuadroTexto 2">
              <a:extLst>
                <a:ext uri="{FF2B5EF4-FFF2-40B4-BE49-F238E27FC236}">
                  <a16:creationId xmlns="" xmlns:a16="http://schemas.microsoft.com/office/drawing/2014/main" xmlns:a14="http://schemas.microsoft.com/office/drawing/2010/main" id="{00000000-0008-0000-1000-000003000000}"/>
                </a:ext>
              </a:extLst>
            </xdr:cNvPr>
            <xdr:cNvSpPr txBox="1"/>
          </xdr:nvSpPr>
          <xdr:spPr>
            <a:xfrm>
              <a:off x="1124135" y="14980892"/>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bg1"/>
                  </a:solidFill>
                  <a:latin typeface="Cambria Math" panose="02040503050406030204" pitchFamily="18" charset="0"/>
                </a:rPr>
                <a:t>(</a:t>
              </a:r>
              <a:r>
                <a:rPr lang="es-CO" sz="1100" b="1" i="0">
                  <a:solidFill>
                    <a:schemeClr val="bg1"/>
                  </a:solidFill>
                  <a:latin typeface="Cambria Math" panose="02040503050406030204" pitchFamily="18" charset="0"/>
                  <a:ea typeface="Cambria Math" panose="02040503050406030204" pitchFamily="18" charset="0"/>
                </a:rPr>
                <a:t>∆𝑰) ̅</a:t>
              </a:r>
              <a:endParaRPr lang="es-CO" sz="1100" b="1">
                <a:solidFill>
                  <a:schemeClr val="bg1"/>
                </a:solidFill>
              </a:endParaRPr>
            </a:p>
          </xdr:txBody>
        </xdr:sp>
      </mc:Fallback>
    </mc:AlternateContent>
    <xdr:clientData/>
  </xdr:oneCellAnchor>
  <xdr:oneCellAnchor>
    <xdr:from>
      <xdr:col>1</xdr:col>
      <xdr:colOff>136732</xdr:colOff>
      <xdr:row>58</xdr:row>
      <xdr:rowOff>253032</xdr:rowOff>
    </xdr:from>
    <xdr:ext cx="599716" cy="172227"/>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id="{00000000-0008-0000-1800-000004000000}"/>
                </a:ext>
              </a:extLst>
            </xdr:cNvPr>
            <xdr:cNvSpPr txBox="1"/>
          </xdr:nvSpPr>
          <xdr:spPr>
            <a:xfrm>
              <a:off x="974932" y="20779407"/>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𝒘</m:t>
                        </m:r>
                      </m:sub>
                    </m:sSub>
                    <m:r>
                      <a:rPr lang="es-CO" sz="1100" b="1" i="1">
                        <a:latin typeface="Cambria Math" panose="02040503050406030204" pitchFamily="18" charset="0"/>
                      </a:rPr>
                      <m:t>(</m:t>
                    </m:r>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4" name="CuadroTexto 3">
              <a:extLst>
                <a:ext uri="{FF2B5EF4-FFF2-40B4-BE49-F238E27FC236}">
                  <a16:creationId xmlns="" xmlns:a16="http://schemas.microsoft.com/office/drawing/2014/main" xmlns:a14="http://schemas.microsoft.com/office/drawing/2010/main" id="{00000000-0008-0000-1000-000004000000}"/>
                </a:ext>
              </a:extLst>
            </xdr:cNvPr>
            <xdr:cNvSpPr txBox="1"/>
          </xdr:nvSpPr>
          <xdr:spPr>
            <a:xfrm>
              <a:off x="974932" y="20779407"/>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𝒖_𝒘 (</a:t>
              </a: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1</xdr:col>
      <xdr:colOff>202651</xdr:colOff>
      <xdr:row>61</xdr:row>
      <xdr:rowOff>265287</xdr:rowOff>
    </xdr:from>
    <xdr:ext cx="483915" cy="172227"/>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id="{00000000-0008-0000-1800-000005000000}"/>
                </a:ext>
              </a:extLst>
            </xdr:cNvPr>
            <xdr:cNvSpPr txBox="1"/>
          </xdr:nvSpPr>
          <xdr:spPr>
            <a:xfrm>
              <a:off x="1040851" y="2299193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5" name="CuadroTexto 4">
              <a:extLst>
                <a:ext uri="{FF2B5EF4-FFF2-40B4-BE49-F238E27FC236}">
                  <a16:creationId xmlns="" xmlns:a16="http://schemas.microsoft.com/office/drawing/2014/main" xmlns:a14="http://schemas.microsoft.com/office/drawing/2010/main" id="{00000000-0008-0000-1000-000005000000}"/>
                </a:ext>
              </a:extLst>
            </xdr:cNvPr>
            <xdr:cNvSpPr txBox="1"/>
          </xdr:nvSpPr>
          <xdr:spPr>
            <a:xfrm>
              <a:off x="1040851" y="2299193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𝒖(𝒎_𝒄𝒓)</a:t>
              </a:r>
              <a:endParaRPr lang="es-CO" sz="1100" b="1"/>
            </a:p>
          </xdr:txBody>
        </xdr:sp>
      </mc:Fallback>
    </mc:AlternateContent>
    <xdr:clientData/>
  </xdr:oneCellAnchor>
  <xdr:oneCellAnchor>
    <xdr:from>
      <xdr:col>1</xdr:col>
      <xdr:colOff>34166</xdr:colOff>
      <xdr:row>60</xdr:row>
      <xdr:rowOff>250203</xdr:rowOff>
    </xdr:from>
    <xdr:ext cx="689483" cy="172227"/>
    <mc:AlternateContent xmlns:mc="http://schemas.openxmlformats.org/markup-compatibility/2006" xmlns:a14="http://schemas.microsoft.com/office/drawing/2010/main">
      <mc:Choice Requires="a14">
        <xdr:sp macro="" textlink="">
          <xdr:nvSpPr>
            <xdr:cNvPr id="6" name="CuadroTexto 5">
              <a:extLst>
                <a:ext uri="{FF2B5EF4-FFF2-40B4-BE49-F238E27FC236}">
                  <a16:creationId xmlns:a16="http://schemas.microsoft.com/office/drawing/2014/main" id="{00000000-0008-0000-1800-000006000000}"/>
                </a:ext>
              </a:extLst>
            </xdr:cNvPr>
            <xdr:cNvSpPr txBox="1"/>
          </xdr:nvSpPr>
          <xdr:spPr>
            <a:xfrm>
              <a:off x="872366" y="22243428"/>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𝒊𝒏𝒔𝒕</m:t>
                        </m:r>
                      </m:sub>
                    </m:sSub>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0" i="1">
                        <a:latin typeface="Cambria Math" panose="02040503050406030204" pitchFamily="18" charset="0"/>
                      </a:rPr>
                      <m:t>)</m:t>
                    </m:r>
                  </m:oMath>
                </m:oMathPara>
              </a14:m>
              <a:endParaRPr lang="es-CO" sz="1100"/>
            </a:p>
          </xdr:txBody>
        </xdr:sp>
      </mc:Choice>
      <mc:Fallback xmlns="">
        <xdr:sp macro="" textlink="">
          <xdr:nvSpPr>
            <xdr:cNvPr id="6" name="CuadroTexto 5">
              <a:extLst>
                <a:ext uri="{FF2B5EF4-FFF2-40B4-BE49-F238E27FC236}">
                  <a16:creationId xmlns="" xmlns:a16="http://schemas.microsoft.com/office/drawing/2014/main" xmlns:a14="http://schemas.microsoft.com/office/drawing/2010/main" id="{00000000-0008-0000-1000-000006000000}"/>
                </a:ext>
              </a:extLst>
            </xdr:cNvPr>
            <xdr:cNvSpPr txBox="1"/>
          </xdr:nvSpPr>
          <xdr:spPr>
            <a:xfrm>
              <a:off x="872366" y="22243428"/>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𝒖_𝒊𝒏𝒔𝒕 (𝒎_𝒄𝒓</a:t>
              </a:r>
              <a:r>
                <a:rPr lang="es-CO" sz="1100" b="0" i="0">
                  <a:latin typeface="Cambria Math" panose="02040503050406030204" pitchFamily="18" charset="0"/>
                </a:rPr>
                <a:t>)</a:t>
              </a:r>
              <a:endParaRPr lang="es-CO" sz="1100"/>
            </a:p>
          </xdr:txBody>
        </xdr:sp>
      </mc:Fallback>
    </mc:AlternateContent>
    <xdr:clientData/>
  </xdr:oneCellAnchor>
  <xdr:oneCellAnchor>
    <xdr:from>
      <xdr:col>1</xdr:col>
      <xdr:colOff>183870</xdr:colOff>
      <xdr:row>62</xdr:row>
      <xdr:rowOff>264645</xdr:rowOff>
    </xdr:from>
    <xdr:ext cx="397353" cy="172227"/>
    <mc:AlternateContent xmlns:mc="http://schemas.openxmlformats.org/markup-compatibility/2006" xmlns:a14="http://schemas.microsoft.com/office/drawing/2010/main">
      <mc:Choice Requires="a14">
        <xdr:sp macro="" textlink="">
          <xdr:nvSpPr>
            <xdr:cNvPr id="7" name="CuadroTexto 6">
              <a:extLst>
                <a:ext uri="{FF2B5EF4-FFF2-40B4-BE49-F238E27FC236}">
                  <a16:creationId xmlns:a16="http://schemas.microsoft.com/office/drawing/2014/main" id="{00000000-0008-0000-1800-000007000000}"/>
                </a:ext>
              </a:extLst>
            </xdr:cNvPr>
            <xdr:cNvSpPr txBox="1"/>
          </xdr:nvSpPr>
          <xdr:spPr>
            <a:xfrm>
              <a:off x="1022070" y="23724720"/>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𝒂</m:t>
                        </m:r>
                      </m:sub>
                    </m:sSub>
                    <m:r>
                      <a:rPr lang="es-CO" sz="1100" b="1" i="1">
                        <a:latin typeface="Cambria Math" panose="02040503050406030204" pitchFamily="18" charset="0"/>
                      </a:rPr>
                      <m:t>)</m:t>
                    </m:r>
                  </m:oMath>
                </m:oMathPara>
              </a14:m>
              <a:endParaRPr lang="es-CO" sz="1100" b="1"/>
            </a:p>
          </xdr:txBody>
        </xdr:sp>
      </mc:Choice>
      <mc:Fallback xmlns="">
        <xdr:sp macro="" textlink="">
          <xdr:nvSpPr>
            <xdr:cNvPr id="7" name="CuadroTexto 6">
              <a:extLst>
                <a:ext uri="{FF2B5EF4-FFF2-40B4-BE49-F238E27FC236}">
                  <a16:creationId xmlns="" xmlns:a16="http://schemas.microsoft.com/office/drawing/2014/main" xmlns:a14="http://schemas.microsoft.com/office/drawing/2010/main" id="{00000000-0008-0000-1000-000007000000}"/>
                </a:ext>
              </a:extLst>
            </xdr:cNvPr>
            <xdr:cNvSpPr txBox="1"/>
          </xdr:nvSpPr>
          <xdr:spPr>
            <a:xfrm>
              <a:off x="1022070" y="23724720"/>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𝒂)</a:t>
              </a:r>
              <a:endParaRPr lang="es-CO" sz="1100" b="1"/>
            </a:p>
          </xdr:txBody>
        </xdr:sp>
      </mc:Fallback>
    </mc:AlternateContent>
    <xdr:clientData/>
  </xdr:oneCellAnchor>
  <xdr:oneCellAnchor>
    <xdr:from>
      <xdr:col>1</xdr:col>
      <xdr:colOff>186298</xdr:colOff>
      <xdr:row>63</xdr:row>
      <xdr:rowOff>266606</xdr:rowOff>
    </xdr:from>
    <xdr:ext cx="376642" cy="172227"/>
    <mc:AlternateContent xmlns:mc="http://schemas.openxmlformats.org/markup-compatibility/2006" xmlns:a14="http://schemas.microsoft.com/office/drawing/2010/main">
      <mc:Choice Requires="a14">
        <xdr:sp macro="" textlink="">
          <xdr:nvSpPr>
            <xdr:cNvPr id="8" name="CuadroTexto 7">
              <a:extLst>
                <a:ext uri="{FF2B5EF4-FFF2-40B4-BE49-F238E27FC236}">
                  <a16:creationId xmlns:a16="http://schemas.microsoft.com/office/drawing/2014/main" id="{00000000-0008-0000-1800-000008000000}"/>
                </a:ext>
              </a:extLst>
            </xdr:cNvPr>
            <xdr:cNvSpPr txBox="1"/>
          </xdr:nvSpPr>
          <xdr:spPr>
            <a:xfrm>
              <a:off x="1024498" y="244601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𝒕</m:t>
                        </m:r>
                      </m:sub>
                    </m:sSub>
                    <m:r>
                      <a:rPr lang="es-CO" sz="1100" b="1" i="1">
                        <a:latin typeface="Cambria Math" panose="02040503050406030204" pitchFamily="18" charset="0"/>
                      </a:rPr>
                      <m:t>)</m:t>
                    </m:r>
                  </m:oMath>
                </m:oMathPara>
              </a14:m>
              <a:endParaRPr lang="es-CO" sz="1100" b="1"/>
            </a:p>
          </xdr:txBody>
        </xdr:sp>
      </mc:Choice>
      <mc:Fallback xmlns="">
        <xdr:sp macro="" textlink="">
          <xdr:nvSpPr>
            <xdr:cNvPr id="8" name="CuadroTexto 7">
              <a:extLst>
                <a:ext uri="{FF2B5EF4-FFF2-40B4-BE49-F238E27FC236}">
                  <a16:creationId xmlns="" xmlns:a16="http://schemas.microsoft.com/office/drawing/2014/main" xmlns:a14="http://schemas.microsoft.com/office/drawing/2010/main" id="{00000000-0008-0000-1000-000008000000}"/>
                </a:ext>
              </a:extLst>
            </xdr:cNvPr>
            <xdr:cNvSpPr txBox="1"/>
          </xdr:nvSpPr>
          <xdr:spPr>
            <a:xfrm>
              <a:off x="1024498" y="244601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𝒕)</a:t>
              </a:r>
              <a:endParaRPr lang="es-CO" sz="1100" b="1"/>
            </a:p>
          </xdr:txBody>
        </xdr:sp>
      </mc:Fallback>
    </mc:AlternateContent>
    <xdr:clientData/>
  </xdr:oneCellAnchor>
  <xdr:oneCellAnchor>
    <xdr:from>
      <xdr:col>1</xdr:col>
      <xdr:colOff>186298</xdr:colOff>
      <xdr:row>64</xdr:row>
      <xdr:rowOff>222250</xdr:rowOff>
    </xdr:from>
    <xdr:ext cx="388696" cy="172227"/>
    <mc:AlternateContent xmlns:mc="http://schemas.openxmlformats.org/markup-compatibility/2006" xmlns:a14="http://schemas.microsoft.com/office/drawing/2010/main">
      <mc:Choice Requires="a14">
        <xdr:sp macro="" textlink="">
          <xdr:nvSpPr>
            <xdr:cNvPr id="9" name="CuadroTexto 8">
              <a:extLst>
                <a:ext uri="{FF2B5EF4-FFF2-40B4-BE49-F238E27FC236}">
                  <a16:creationId xmlns:a16="http://schemas.microsoft.com/office/drawing/2014/main" id="{00000000-0008-0000-1800-000009000000}"/>
                </a:ext>
              </a:extLst>
            </xdr:cNvPr>
            <xdr:cNvSpPr txBox="1"/>
          </xdr:nvSpPr>
          <xdr:spPr>
            <a:xfrm>
              <a:off x="1024498" y="25149175"/>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9" name="CuadroTexto 8">
              <a:extLst>
                <a:ext uri="{FF2B5EF4-FFF2-40B4-BE49-F238E27FC236}">
                  <a16:creationId xmlns="" xmlns:a16="http://schemas.microsoft.com/office/drawing/2014/main" xmlns:a14="http://schemas.microsoft.com/office/drawing/2010/main" id="{00000000-0008-0000-1000-000009000000}"/>
                </a:ext>
              </a:extLst>
            </xdr:cNvPr>
            <xdr:cNvSpPr txBox="1"/>
          </xdr:nvSpPr>
          <xdr:spPr>
            <a:xfrm>
              <a:off x="1024498" y="25149175"/>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𝒓)</a:t>
              </a:r>
              <a:endParaRPr lang="es-CO" sz="1100" b="1"/>
            </a:p>
          </xdr:txBody>
        </xdr:sp>
      </mc:Fallback>
    </mc:AlternateContent>
    <xdr:clientData/>
  </xdr:oneCellAnchor>
  <xdr:oneCellAnchor>
    <xdr:from>
      <xdr:col>1</xdr:col>
      <xdr:colOff>265579</xdr:colOff>
      <xdr:row>65</xdr:row>
      <xdr:rowOff>288458</xdr:rowOff>
    </xdr:from>
    <xdr:ext cx="191271" cy="172227"/>
    <mc:AlternateContent xmlns:mc="http://schemas.openxmlformats.org/markup-compatibility/2006" xmlns:a14="http://schemas.microsoft.com/office/drawing/2010/main">
      <mc:Choice Requires="a14">
        <xdr:sp macro="" textlink="">
          <xdr:nvSpPr>
            <xdr:cNvPr id="10" name="CuadroTexto 9">
              <a:extLst>
                <a:ext uri="{FF2B5EF4-FFF2-40B4-BE49-F238E27FC236}">
                  <a16:creationId xmlns:a16="http://schemas.microsoft.com/office/drawing/2014/main" id="{00000000-0008-0000-1800-00000A000000}"/>
                </a:ext>
              </a:extLst>
            </xdr:cNvPr>
            <xdr:cNvSpPr txBox="1"/>
          </xdr:nvSpPr>
          <xdr:spPr>
            <a:xfrm>
              <a:off x="1103779" y="2594880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𝒃</m:t>
                        </m:r>
                      </m:sub>
                    </m:sSub>
                  </m:oMath>
                </m:oMathPara>
              </a14:m>
              <a:endParaRPr lang="es-CO" sz="1100" b="1"/>
            </a:p>
          </xdr:txBody>
        </xdr:sp>
      </mc:Choice>
      <mc:Fallback xmlns="">
        <xdr:sp macro="" textlink="">
          <xdr:nvSpPr>
            <xdr:cNvPr id="10" name="CuadroTexto 9">
              <a:extLst>
                <a:ext uri="{FF2B5EF4-FFF2-40B4-BE49-F238E27FC236}">
                  <a16:creationId xmlns="" xmlns:a16="http://schemas.microsoft.com/office/drawing/2014/main" xmlns:a14="http://schemas.microsoft.com/office/drawing/2010/main" id="{00000000-0008-0000-1000-00000A000000}"/>
                </a:ext>
              </a:extLst>
            </xdr:cNvPr>
            <xdr:cNvSpPr txBox="1"/>
          </xdr:nvSpPr>
          <xdr:spPr>
            <a:xfrm>
              <a:off x="1103779" y="2594880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𝒖_𝒃</a:t>
              </a:r>
              <a:endParaRPr lang="es-CO" sz="1100" b="1"/>
            </a:p>
          </xdr:txBody>
        </xdr:sp>
      </mc:Fallback>
    </mc:AlternateContent>
    <xdr:clientData/>
  </xdr:oneCellAnchor>
  <xdr:oneCellAnchor>
    <xdr:from>
      <xdr:col>1</xdr:col>
      <xdr:colOff>261391</xdr:colOff>
      <xdr:row>66</xdr:row>
      <xdr:rowOff>294234</xdr:rowOff>
    </xdr:from>
    <xdr:ext cx="195053" cy="172227"/>
    <mc:AlternateContent xmlns:mc="http://schemas.openxmlformats.org/markup-compatibility/2006" xmlns:a14="http://schemas.microsoft.com/office/drawing/2010/main">
      <mc:Choice Requires="a14">
        <xdr:sp macro="" textlink="">
          <xdr:nvSpPr>
            <xdr:cNvPr id="11" name="CuadroTexto 10">
              <a:extLst>
                <a:ext uri="{FF2B5EF4-FFF2-40B4-BE49-F238E27FC236}">
                  <a16:creationId xmlns:a16="http://schemas.microsoft.com/office/drawing/2014/main" id="{00000000-0008-0000-1800-00000B000000}"/>
                </a:ext>
              </a:extLst>
            </xdr:cNvPr>
            <xdr:cNvSpPr txBox="1"/>
          </xdr:nvSpPr>
          <xdr:spPr>
            <a:xfrm>
              <a:off x="1099591" y="26688009"/>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𝒅</m:t>
                        </m:r>
                      </m:sub>
                    </m:sSub>
                  </m:oMath>
                </m:oMathPara>
              </a14:m>
              <a:endParaRPr lang="es-CO" sz="1100" b="1"/>
            </a:p>
          </xdr:txBody>
        </xdr:sp>
      </mc:Choice>
      <mc:Fallback xmlns="">
        <xdr:sp macro="" textlink="">
          <xdr:nvSpPr>
            <xdr:cNvPr id="11" name="CuadroTexto 10">
              <a:extLst>
                <a:ext uri="{FF2B5EF4-FFF2-40B4-BE49-F238E27FC236}">
                  <a16:creationId xmlns="" xmlns:a16="http://schemas.microsoft.com/office/drawing/2014/main" xmlns:a14="http://schemas.microsoft.com/office/drawing/2010/main" id="{00000000-0008-0000-1000-00000B000000}"/>
                </a:ext>
              </a:extLst>
            </xdr:cNvPr>
            <xdr:cNvSpPr txBox="1"/>
          </xdr:nvSpPr>
          <xdr:spPr>
            <a:xfrm>
              <a:off x="1099591" y="26688009"/>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𝒖_𝒅</a:t>
              </a:r>
              <a:endParaRPr lang="es-CO" sz="1100" b="1"/>
            </a:p>
          </xdr:txBody>
        </xdr:sp>
      </mc:Fallback>
    </mc:AlternateContent>
    <xdr:clientData/>
  </xdr:oneCellAnchor>
  <xdr:oneCellAnchor>
    <xdr:from>
      <xdr:col>5</xdr:col>
      <xdr:colOff>393571</xdr:colOff>
      <xdr:row>69</xdr:row>
      <xdr:rowOff>265119</xdr:rowOff>
    </xdr:from>
    <xdr:ext cx="529697" cy="172227"/>
    <mc:AlternateContent xmlns:mc="http://schemas.openxmlformats.org/markup-compatibility/2006" xmlns:a14="http://schemas.microsoft.com/office/drawing/2010/main">
      <mc:Choice Requires="a14">
        <xdr:sp macro="" textlink="">
          <xdr:nvSpPr>
            <xdr:cNvPr id="12" name="CuadroTexto 11">
              <a:extLst>
                <a:ext uri="{FF2B5EF4-FFF2-40B4-BE49-F238E27FC236}">
                  <a16:creationId xmlns:a16="http://schemas.microsoft.com/office/drawing/2014/main" id="{00000000-0008-0000-1800-00000C000000}"/>
                </a:ext>
              </a:extLst>
            </xdr:cNvPr>
            <xdr:cNvSpPr txBox="1"/>
          </xdr:nvSpPr>
          <xdr:spPr>
            <a:xfrm>
              <a:off x="5251321" y="28220994"/>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𝒄</m:t>
                        </m:r>
                      </m:sub>
                    </m:sSub>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12" name="CuadroTexto 11">
              <a:extLst>
                <a:ext uri="{FF2B5EF4-FFF2-40B4-BE49-F238E27FC236}">
                  <a16:creationId xmlns="" xmlns:a16="http://schemas.microsoft.com/office/drawing/2014/main" xmlns:a14="http://schemas.microsoft.com/office/drawing/2010/main" id="{00000000-0008-0000-1000-00000C000000}"/>
                </a:ext>
              </a:extLst>
            </xdr:cNvPr>
            <xdr:cNvSpPr txBox="1"/>
          </xdr:nvSpPr>
          <xdr:spPr>
            <a:xfrm>
              <a:off x="5251321" y="28220994"/>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𝒖_𝒄 (</a:t>
              </a:r>
              <a:r>
                <a:rPr lang="es-CO" sz="1100" b="1" i="0">
                  <a:latin typeface="Cambria Math" panose="02040503050406030204" pitchFamily="18" charset="0"/>
                  <a:ea typeface="Cambria Math" panose="02040503050406030204" pitchFamily="18" charset="0"/>
                </a:rPr>
                <a:t>𝒎_𝒄𝒕)</a:t>
              </a:r>
              <a:endParaRPr lang="es-CO" sz="1100" b="1"/>
            </a:p>
          </xdr:txBody>
        </xdr:sp>
      </mc:Fallback>
    </mc:AlternateContent>
    <xdr:clientData/>
  </xdr:oneCellAnchor>
  <xdr:oneCellAnchor>
    <xdr:from>
      <xdr:col>5</xdr:col>
      <xdr:colOff>243965</xdr:colOff>
      <xdr:row>70</xdr:row>
      <xdr:rowOff>130277</xdr:rowOff>
    </xdr:from>
    <xdr:ext cx="780598" cy="172227"/>
    <mc:AlternateContent xmlns:mc="http://schemas.openxmlformats.org/markup-compatibility/2006" xmlns:a14="http://schemas.microsoft.com/office/drawing/2010/main">
      <mc:Choice Requires="a14">
        <xdr:sp macro="" textlink="">
          <xdr:nvSpPr>
            <xdr:cNvPr id="13" name="CuadroTexto 12">
              <a:extLst>
                <a:ext uri="{FF2B5EF4-FFF2-40B4-BE49-F238E27FC236}">
                  <a16:creationId xmlns:a16="http://schemas.microsoft.com/office/drawing/2014/main" id="{00000000-0008-0000-1800-00000D000000}"/>
                </a:ext>
              </a:extLst>
            </xdr:cNvPr>
            <xdr:cNvSpPr txBox="1"/>
          </xdr:nvSpPr>
          <xdr:spPr>
            <a:xfrm>
              <a:off x="5101715" y="2874337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100" b="1" i="1">
                      <a:latin typeface="Cambria Math" panose="02040503050406030204" pitchFamily="18" charset="0"/>
                    </a:rPr>
                    <m:t>𝑼</m:t>
                  </m:r>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a14:m>
              <a:r>
                <a:rPr lang="es-CO" sz="1100" b="1"/>
                <a:t> (k=2)</a:t>
              </a:r>
            </a:p>
          </xdr:txBody>
        </xdr:sp>
      </mc:Choice>
      <mc:Fallback xmlns="">
        <xdr:sp macro="" textlink="">
          <xdr:nvSpPr>
            <xdr:cNvPr id="13" name="CuadroTexto 12">
              <a:extLst>
                <a:ext uri="{FF2B5EF4-FFF2-40B4-BE49-F238E27FC236}">
                  <a16:creationId xmlns="" xmlns:a16="http://schemas.microsoft.com/office/drawing/2014/main" xmlns:a14="http://schemas.microsoft.com/office/drawing/2010/main" id="{00000000-0008-0000-1000-00000D000000}"/>
                </a:ext>
              </a:extLst>
            </xdr:cNvPr>
            <xdr:cNvSpPr txBox="1"/>
          </xdr:nvSpPr>
          <xdr:spPr>
            <a:xfrm>
              <a:off x="5101715" y="2874337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100" b="1" i="0">
                  <a:latin typeface="Cambria Math" panose="02040503050406030204" pitchFamily="18" charset="0"/>
                </a:rPr>
                <a:t>𝑼(</a:t>
              </a:r>
              <a:r>
                <a:rPr lang="es-CO" sz="1100" b="1" i="0">
                  <a:latin typeface="Cambria Math" panose="02040503050406030204" pitchFamily="18" charset="0"/>
                  <a:ea typeface="Cambria Math" panose="02040503050406030204" pitchFamily="18" charset="0"/>
                </a:rPr>
                <a:t>𝒎_𝒄𝒕)</a:t>
              </a:r>
              <a:r>
                <a:rPr lang="es-CO" sz="1100" b="1"/>
                <a:t> (k=2)</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14" name="CuadroTexto 13">
              <a:extLst>
                <a:ext uri="{FF2B5EF4-FFF2-40B4-BE49-F238E27FC236}">
                  <a16:creationId xmlns:a16="http://schemas.microsoft.com/office/drawing/2014/main" id="{00000000-0008-0000-1800-00000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14" name="CuadroTexto 13">
              <a:extLst>
                <a:ext uri="{FF2B5EF4-FFF2-40B4-BE49-F238E27FC236}">
                  <a16:creationId xmlns="" xmlns:a16="http://schemas.microsoft.com/office/drawing/2014/main" xmlns:a14="http://schemas.microsoft.com/office/drawing/2010/main" id="{00000000-0008-0000-1000-00000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8</xdr:col>
      <xdr:colOff>541269</xdr:colOff>
      <xdr:row>52</xdr:row>
      <xdr:rowOff>78683</xdr:rowOff>
    </xdr:from>
    <xdr:ext cx="304571" cy="172227"/>
    <mc:AlternateContent xmlns:mc="http://schemas.openxmlformats.org/markup-compatibility/2006" xmlns:a14="http://schemas.microsoft.com/office/drawing/2010/main">
      <mc:Choice Requires="a14">
        <xdr:sp macro="" textlink="">
          <xdr:nvSpPr>
            <xdr:cNvPr id="15" name="CuadroTexto 14">
              <a:extLst>
                <a:ext uri="{FF2B5EF4-FFF2-40B4-BE49-F238E27FC236}">
                  <a16:creationId xmlns:a16="http://schemas.microsoft.com/office/drawing/2014/main" id="{00000000-0008-0000-1800-00000F000000}"/>
                </a:ext>
              </a:extLst>
            </xdr:cNvPr>
            <xdr:cNvSpPr txBox="1"/>
          </xdr:nvSpPr>
          <xdr:spPr>
            <a:xfrm>
              <a:off x="9313794" y="18623858"/>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oMath>
                </m:oMathPara>
              </a14:m>
              <a:endParaRPr lang="es-CO" sz="1100" b="1"/>
            </a:p>
          </xdr:txBody>
        </xdr:sp>
      </mc:Choice>
      <mc:Fallback xmlns="">
        <xdr:sp macro="" textlink="">
          <xdr:nvSpPr>
            <xdr:cNvPr id="15" name="CuadroTexto 14">
              <a:extLst>
                <a:ext uri="{FF2B5EF4-FFF2-40B4-BE49-F238E27FC236}">
                  <a16:creationId xmlns="" xmlns:a16="http://schemas.microsoft.com/office/drawing/2014/main" xmlns:a14="http://schemas.microsoft.com/office/drawing/2010/main" id="{00000000-0008-0000-1000-00000F000000}"/>
                </a:ext>
              </a:extLst>
            </xdr:cNvPr>
            <xdr:cNvSpPr txBox="1"/>
          </xdr:nvSpPr>
          <xdr:spPr>
            <a:xfrm>
              <a:off x="9313794" y="18623858"/>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4</xdr:col>
      <xdr:colOff>155713</xdr:colOff>
      <xdr:row>39</xdr:row>
      <xdr:rowOff>106017</xdr:rowOff>
    </xdr:from>
    <xdr:ext cx="65" cy="172227"/>
    <xdr:sp macro="" textlink="">
      <xdr:nvSpPr>
        <xdr:cNvPr id="16" name="CuadroTexto 15">
          <a:extLst>
            <a:ext uri="{FF2B5EF4-FFF2-40B4-BE49-F238E27FC236}">
              <a16:creationId xmlns:a16="http://schemas.microsoft.com/office/drawing/2014/main" id="{00000000-0008-0000-1800-000010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17" name="CuadroTexto 16">
              <a:extLst>
                <a:ext uri="{FF2B5EF4-FFF2-40B4-BE49-F238E27FC236}">
                  <a16:creationId xmlns:a16="http://schemas.microsoft.com/office/drawing/2014/main" id="{00000000-0008-0000-1800-000011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7" name="CuadroTexto 16">
              <a:extLst>
                <a:ext uri="{FF2B5EF4-FFF2-40B4-BE49-F238E27FC236}">
                  <a16:creationId xmlns="" xmlns:a16="http://schemas.microsoft.com/office/drawing/2014/main" xmlns:a14="http://schemas.microsoft.com/office/drawing/2010/main" id="{00000000-0008-0000-1000-000011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18" name="CuadroTexto 17">
              <a:extLst>
                <a:ext uri="{FF2B5EF4-FFF2-40B4-BE49-F238E27FC236}">
                  <a16:creationId xmlns:a16="http://schemas.microsoft.com/office/drawing/2014/main" id="{00000000-0008-0000-1800-000012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18" name="CuadroTexto 17">
              <a:extLst>
                <a:ext uri="{FF2B5EF4-FFF2-40B4-BE49-F238E27FC236}">
                  <a16:creationId xmlns="" xmlns:a16="http://schemas.microsoft.com/office/drawing/2014/main" xmlns:a14="http://schemas.microsoft.com/office/drawing/2010/main" id="{00000000-0008-0000-1000-000012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19" name="CuadroTexto 18">
              <a:extLst>
                <a:ext uri="{FF2B5EF4-FFF2-40B4-BE49-F238E27FC236}">
                  <a16:creationId xmlns:a16="http://schemas.microsoft.com/office/drawing/2014/main" id="{00000000-0008-0000-1800-000013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9" name="CuadroTexto 18">
              <a:extLst>
                <a:ext uri="{FF2B5EF4-FFF2-40B4-BE49-F238E27FC236}">
                  <a16:creationId xmlns="" xmlns:a16="http://schemas.microsoft.com/office/drawing/2014/main" xmlns:a14="http://schemas.microsoft.com/office/drawing/2010/main" id="{00000000-0008-0000-1000-000013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0" name="CuadroTexto 19">
              <a:extLst>
                <a:ext uri="{FF2B5EF4-FFF2-40B4-BE49-F238E27FC236}">
                  <a16:creationId xmlns:a16="http://schemas.microsoft.com/office/drawing/2014/main" id="{00000000-0008-0000-1800-000014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0" name="CuadroTexto 19">
              <a:extLst>
                <a:ext uri="{FF2B5EF4-FFF2-40B4-BE49-F238E27FC236}">
                  <a16:creationId xmlns="" xmlns:a16="http://schemas.microsoft.com/office/drawing/2014/main" xmlns:a14="http://schemas.microsoft.com/office/drawing/2010/main" id="{00000000-0008-0000-1000-000014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1" name="CuadroTexto 20">
          <a:extLst>
            <a:ext uri="{FF2B5EF4-FFF2-40B4-BE49-F238E27FC236}">
              <a16:creationId xmlns:a16="http://schemas.microsoft.com/office/drawing/2014/main" id="{00000000-0008-0000-1800-000015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3</xdr:col>
      <xdr:colOff>236456</xdr:colOff>
      <xdr:row>73</xdr:row>
      <xdr:rowOff>141002</xdr:rowOff>
    </xdr:from>
    <xdr:ext cx="730521" cy="219163"/>
    <mc:AlternateContent xmlns:mc="http://schemas.openxmlformats.org/markup-compatibility/2006" xmlns:a14="http://schemas.microsoft.com/office/drawing/2010/main">
      <mc:Choice Requires="a14">
        <xdr:sp macro="" textlink="">
          <xdr:nvSpPr>
            <xdr:cNvPr id="22" name="CuadroTexto 21">
              <a:extLst>
                <a:ext uri="{FF2B5EF4-FFF2-40B4-BE49-F238E27FC236}">
                  <a16:creationId xmlns:a16="http://schemas.microsoft.com/office/drawing/2014/main" id="{00000000-0008-0000-1800-000016000000}"/>
                </a:ext>
              </a:extLst>
            </xdr:cNvPr>
            <xdr:cNvSpPr txBox="1"/>
          </xdr:nvSpPr>
          <xdr:spPr>
            <a:xfrm>
              <a:off x="2922506" y="30059027"/>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m:t>
                  </m:r>
                  <m:sSub>
                    <m:sSubPr>
                      <m:ctrlPr>
                        <a:rPr lang="es-CO" sz="1400" b="1" i="1">
                          <a:latin typeface="Cambria Math" panose="02040503050406030204" pitchFamily="18" charset="0"/>
                          <a:ea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𝒎</m:t>
                      </m:r>
                    </m:e>
                    <m:sub>
                      <m:r>
                        <a:rPr lang="es-CO" sz="1400" b="1" i="1">
                          <a:latin typeface="Cambria Math" panose="02040503050406030204" pitchFamily="18" charset="0"/>
                          <a:ea typeface="Cambria Math" panose="02040503050406030204" pitchFamily="18" charset="0"/>
                        </a:rPr>
                        <m:t>𝒄</m:t>
                      </m:r>
                    </m:sub>
                  </m:sSub>
                </m:oMath>
              </a14:m>
              <a:r>
                <a:rPr lang="es-CO" sz="1400" b="1" i="1"/>
                <a:t> (mg</a:t>
              </a:r>
              <a:r>
                <a:rPr lang="es-CO" sz="1200" b="1" i="0"/>
                <a:t>)</a:t>
              </a:r>
            </a:p>
          </xdr:txBody>
        </xdr:sp>
      </mc:Choice>
      <mc:Fallback xmlns="">
        <xdr:sp macro="" textlink="">
          <xdr:nvSpPr>
            <xdr:cNvPr id="22" name="CuadroTexto 21">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2922506" y="30059027"/>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400" b="1" i="0">
                  <a:latin typeface="Cambria Math" panose="02040503050406030204" pitchFamily="18" charset="0"/>
                  <a:ea typeface="Cambria Math" panose="02040503050406030204" pitchFamily="18" charset="0"/>
                </a:rPr>
                <a:t>∆𝒎_𝒄</a:t>
              </a:r>
              <a:r>
                <a:rPr lang="es-CO" sz="1400" b="1" i="1"/>
                <a:t> (mg</a:t>
              </a:r>
              <a:r>
                <a:rPr lang="es-CO" sz="1200" b="1" i="0"/>
                <a:t>)</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23" name="CuadroTexto 22">
              <a:extLst>
                <a:ext uri="{FF2B5EF4-FFF2-40B4-BE49-F238E27FC236}">
                  <a16:creationId xmlns:a16="http://schemas.microsoft.com/office/drawing/2014/main" id="{00000000-0008-0000-1800-000017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23" name="CuadroTexto 22">
              <a:extLst>
                <a:ext uri="{FF2B5EF4-FFF2-40B4-BE49-F238E27FC236}">
                  <a16:creationId xmlns="" xmlns:a16="http://schemas.microsoft.com/office/drawing/2014/main" xmlns:a14="http://schemas.microsoft.com/office/drawing/2010/main" id="{00000000-0008-0000-1000-000023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24" name="CuadroTexto 23">
          <a:extLst>
            <a:ext uri="{FF2B5EF4-FFF2-40B4-BE49-F238E27FC236}">
              <a16:creationId xmlns:a16="http://schemas.microsoft.com/office/drawing/2014/main" id="{00000000-0008-0000-1800-000018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25" name="CuadroTexto 24">
              <a:extLst>
                <a:ext uri="{FF2B5EF4-FFF2-40B4-BE49-F238E27FC236}">
                  <a16:creationId xmlns:a16="http://schemas.microsoft.com/office/drawing/2014/main" id="{00000000-0008-0000-1800-000019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5" name="CuadroTexto 24">
              <a:extLst>
                <a:ext uri="{FF2B5EF4-FFF2-40B4-BE49-F238E27FC236}">
                  <a16:creationId xmlns="" xmlns:a16="http://schemas.microsoft.com/office/drawing/2014/main" xmlns:a14="http://schemas.microsoft.com/office/drawing/2010/main" id="{00000000-0008-0000-1000-000026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26" name="CuadroTexto 25">
              <a:extLst>
                <a:ext uri="{FF2B5EF4-FFF2-40B4-BE49-F238E27FC236}">
                  <a16:creationId xmlns:a16="http://schemas.microsoft.com/office/drawing/2014/main" id="{00000000-0008-0000-1800-00001A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6" name="CuadroTexto 25">
              <a:extLst>
                <a:ext uri="{FF2B5EF4-FFF2-40B4-BE49-F238E27FC236}">
                  <a16:creationId xmlns="" xmlns:a16="http://schemas.microsoft.com/office/drawing/2014/main" xmlns:a14="http://schemas.microsoft.com/office/drawing/2010/main" id="{00000000-0008-0000-1000-000027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27" name="CuadroTexto 26">
              <a:extLst>
                <a:ext uri="{FF2B5EF4-FFF2-40B4-BE49-F238E27FC236}">
                  <a16:creationId xmlns:a16="http://schemas.microsoft.com/office/drawing/2014/main" id="{00000000-0008-0000-1800-00001B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7" name="CuadroTexto 26">
              <a:extLst>
                <a:ext uri="{FF2B5EF4-FFF2-40B4-BE49-F238E27FC236}">
                  <a16:creationId xmlns="" xmlns:a16="http://schemas.microsoft.com/office/drawing/2014/main" xmlns:a14="http://schemas.microsoft.com/office/drawing/2010/main" id="{00000000-0008-0000-1000-000028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8" name="CuadroTexto 27">
              <a:extLst>
                <a:ext uri="{FF2B5EF4-FFF2-40B4-BE49-F238E27FC236}">
                  <a16:creationId xmlns:a16="http://schemas.microsoft.com/office/drawing/2014/main" id="{00000000-0008-0000-1800-00001C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8" name="CuadroTexto 27">
              <a:extLst>
                <a:ext uri="{FF2B5EF4-FFF2-40B4-BE49-F238E27FC236}">
                  <a16:creationId xmlns="" xmlns:a16="http://schemas.microsoft.com/office/drawing/2014/main" xmlns:a14="http://schemas.microsoft.com/office/drawing/2010/main" id="{00000000-0008-0000-1000-000029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9" name="CuadroTexto 28">
          <a:extLst>
            <a:ext uri="{FF2B5EF4-FFF2-40B4-BE49-F238E27FC236}">
              <a16:creationId xmlns:a16="http://schemas.microsoft.com/office/drawing/2014/main" id="{00000000-0008-0000-1800-00001D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30" name="CuadroTexto 29">
              <a:extLst>
                <a:ext uri="{FF2B5EF4-FFF2-40B4-BE49-F238E27FC236}">
                  <a16:creationId xmlns:a16="http://schemas.microsoft.com/office/drawing/2014/main" id="{00000000-0008-0000-1800-00001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30" name="CuadroTexto 29">
              <a:extLst>
                <a:ext uri="{FF2B5EF4-FFF2-40B4-BE49-F238E27FC236}">
                  <a16:creationId xmlns="" xmlns:a16="http://schemas.microsoft.com/office/drawing/2014/main" xmlns:a14="http://schemas.microsoft.com/office/drawing/2010/main" id="{00000000-0008-0000-1000-000038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31" name="CuadroTexto 30">
          <a:extLst>
            <a:ext uri="{FF2B5EF4-FFF2-40B4-BE49-F238E27FC236}">
              <a16:creationId xmlns:a16="http://schemas.microsoft.com/office/drawing/2014/main" id="{00000000-0008-0000-1800-00001F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32" name="CuadroTexto 31">
              <a:extLst>
                <a:ext uri="{FF2B5EF4-FFF2-40B4-BE49-F238E27FC236}">
                  <a16:creationId xmlns:a16="http://schemas.microsoft.com/office/drawing/2014/main" id="{00000000-0008-0000-1800-000020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2" name="CuadroTexto 31">
              <a:extLst>
                <a:ext uri="{FF2B5EF4-FFF2-40B4-BE49-F238E27FC236}">
                  <a16:creationId xmlns="" xmlns:a16="http://schemas.microsoft.com/office/drawing/2014/main" xmlns:a14="http://schemas.microsoft.com/office/drawing/2010/main" id="{00000000-0008-0000-1000-00003B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33" name="CuadroTexto 32">
              <a:extLst>
                <a:ext uri="{FF2B5EF4-FFF2-40B4-BE49-F238E27FC236}">
                  <a16:creationId xmlns:a16="http://schemas.microsoft.com/office/drawing/2014/main" id="{00000000-0008-0000-1800-000021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3" name="CuadroTexto 32">
              <a:extLst>
                <a:ext uri="{FF2B5EF4-FFF2-40B4-BE49-F238E27FC236}">
                  <a16:creationId xmlns="" xmlns:a16="http://schemas.microsoft.com/office/drawing/2014/main" xmlns:a14="http://schemas.microsoft.com/office/drawing/2010/main" id="{00000000-0008-0000-1000-00003C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34" name="CuadroTexto 33">
              <a:extLst>
                <a:ext uri="{FF2B5EF4-FFF2-40B4-BE49-F238E27FC236}">
                  <a16:creationId xmlns:a16="http://schemas.microsoft.com/office/drawing/2014/main" id="{00000000-0008-0000-1800-000022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4" name="CuadroTexto 33">
              <a:extLst>
                <a:ext uri="{FF2B5EF4-FFF2-40B4-BE49-F238E27FC236}">
                  <a16:creationId xmlns="" xmlns:a16="http://schemas.microsoft.com/office/drawing/2014/main" xmlns:a14="http://schemas.microsoft.com/office/drawing/2010/main" id="{00000000-0008-0000-1000-00003D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35" name="CuadroTexto 34">
              <a:extLst>
                <a:ext uri="{FF2B5EF4-FFF2-40B4-BE49-F238E27FC236}">
                  <a16:creationId xmlns:a16="http://schemas.microsoft.com/office/drawing/2014/main" id="{00000000-0008-0000-1800-000023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5" name="CuadroTexto 34">
              <a:extLst>
                <a:ext uri="{FF2B5EF4-FFF2-40B4-BE49-F238E27FC236}">
                  <a16:creationId xmlns="" xmlns:a16="http://schemas.microsoft.com/office/drawing/2014/main" xmlns:a14="http://schemas.microsoft.com/office/drawing/2010/main" id="{00000000-0008-0000-1000-00003E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36" name="CuadroTexto 35">
          <a:extLst>
            <a:ext uri="{FF2B5EF4-FFF2-40B4-BE49-F238E27FC236}">
              <a16:creationId xmlns:a16="http://schemas.microsoft.com/office/drawing/2014/main" id="{00000000-0008-0000-1800-000024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11</xdr:col>
      <xdr:colOff>628650</xdr:colOff>
      <xdr:row>61</xdr:row>
      <xdr:rowOff>0</xdr:rowOff>
    </xdr:from>
    <xdr:ext cx="65" cy="172227"/>
    <xdr:sp macro="" textlink="">
      <xdr:nvSpPr>
        <xdr:cNvPr id="38" name="CuadroTexto 37">
          <a:extLst>
            <a:ext uri="{FF2B5EF4-FFF2-40B4-BE49-F238E27FC236}">
              <a16:creationId xmlns:a16="http://schemas.microsoft.com/office/drawing/2014/main" id="{00000000-0008-0000-1800-000026000000}"/>
            </a:ext>
          </a:extLst>
        </xdr:cNvPr>
        <xdr:cNvSpPr txBox="1"/>
      </xdr:nvSpPr>
      <xdr:spPr>
        <a:xfrm>
          <a:off x="12001500" y="2272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5</xdr:col>
      <xdr:colOff>539750</xdr:colOff>
      <xdr:row>73</xdr:row>
      <xdr:rowOff>158749</xdr:rowOff>
    </xdr:from>
    <xdr:ext cx="984250" cy="210507"/>
    <mc:AlternateContent xmlns:mc="http://schemas.openxmlformats.org/markup-compatibility/2006" xmlns:a14="http://schemas.microsoft.com/office/drawing/2010/main">
      <mc:Choice Requires="a14">
        <xdr:sp macro="" textlink="">
          <xdr:nvSpPr>
            <xdr:cNvPr id="39" name="CuadroTexto 38">
              <a:extLst>
                <a:ext uri="{FF2B5EF4-FFF2-40B4-BE49-F238E27FC236}">
                  <a16:creationId xmlns:a16="http://schemas.microsoft.com/office/drawing/2014/main" id="{00000000-0008-0000-1800-000027000000}"/>
                </a:ext>
              </a:extLst>
            </xdr:cNvPr>
            <xdr:cNvSpPr txBox="1"/>
          </xdr:nvSpPr>
          <xdr:spPr>
            <a:xfrm>
              <a:off x="5397500" y="30076774"/>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𝒆</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39" name="CuadroTexto 38">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5397500" y="30076774"/>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𝒆 𝒄𝒕</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4</xdr:col>
      <xdr:colOff>52917</xdr:colOff>
      <xdr:row>73</xdr:row>
      <xdr:rowOff>148167</xdr:rowOff>
    </xdr:from>
    <xdr:ext cx="984250" cy="210507"/>
    <mc:AlternateContent xmlns:mc="http://schemas.openxmlformats.org/markup-compatibility/2006" xmlns:a14="http://schemas.microsoft.com/office/drawing/2010/main">
      <mc:Choice Requires="a14">
        <xdr:sp macro="" textlink="">
          <xdr:nvSpPr>
            <xdr:cNvPr id="40" name="CuadroTexto 39">
              <a:extLst>
                <a:ext uri="{FF2B5EF4-FFF2-40B4-BE49-F238E27FC236}">
                  <a16:creationId xmlns:a16="http://schemas.microsoft.com/office/drawing/2014/main" id="{00000000-0008-0000-1800-000028000000}"/>
                </a:ext>
              </a:extLst>
            </xdr:cNvPr>
            <xdr:cNvSpPr txBox="1"/>
          </xdr:nvSpPr>
          <xdr:spPr>
            <a:xfrm>
              <a:off x="3872442" y="30066192"/>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0" name="CuadroTexto 39">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3872442" y="30066192"/>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𝒄𝒕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1</xdr:col>
      <xdr:colOff>47625</xdr:colOff>
      <xdr:row>73</xdr:row>
      <xdr:rowOff>166688</xdr:rowOff>
    </xdr:from>
    <xdr:ext cx="738187" cy="210507"/>
    <mc:AlternateContent xmlns:mc="http://schemas.openxmlformats.org/markup-compatibility/2006" xmlns:a14="http://schemas.microsoft.com/office/drawing/2010/main">
      <mc:Choice Requires="a14">
        <xdr:sp macro="" textlink="">
          <xdr:nvSpPr>
            <xdr:cNvPr id="42" name="CuadroTexto 41">
              <a:extLst>
                <a:ext uri="{FF2B5EF4-FFF2-40B4-BE49-F238E27FC236}">
                  <a16:creationId xmlns:a16="http://schemas.microsoft.com/office/drawing/2014/main" id="{00000000-0008-0000-1800-00002A000000}"/>
                </a:ext>
              </a:extLst>
            </xdr:cNvPr>
            <xdr:cNvSpPr txBox="1"/>
          </xdr:nvSpPr>
          <xdr:spPr>
            <a:xfrm>
              <a:off x="1023938" y="30277594"/>
              <a:ext cx="738187"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𝑵𝒓</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2" name="CuadroTexto 41">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1023938" y="30277594"/>
              <a:ext cx="738187"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𝑵𝒓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8</xdr:col>
      <xdr:colOff>624417</xdr:colOff>
      <xdr:row>73</xdr:row>
      <xdr:rowOff>285751</xdr:rowOff>
    </xdr:from>
    <xdr:ext cx="1524000" cy="210507"/>
    <mc:AlternateContent xmlns:mc="http://schemas.openxmlformats.org/markup-compatibility/2006" xmlns:a14="http://schemas.microsoft.com/office/drawing/2010/main">
      <mc:Choice Requires="a14">
        <xdr:sp macro="" textlink="">
          <xdr:nvSpPr>
            <xdr:cNvPr id="43" name="CuadroTexto 42">
              <a:extLst>
                <a:ext uri="{FF2B5EF4-FFF2-40B4-BE49-F238E27FC236}">
                  <a16:creationId xmlns:a16="http://schemas.microsoft.com/office/drawing/2014/main" id="{00000000-0008-0000-1800-00002B000000}"/>
                </a:ext>
              </a:extLst>
            </xdr:cNvPr>
            <xdr:cNvSpPr txBox="1"/>
          </xdr:nvSpPr>
          <xdr:spPr>
            <a:xfrm>
              <a:off x="9396942" y="30203776"/>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𝑼</m:t>
                  </m:r>
                  <m:r>
                    <a:rPr lang="es-CO" sz="1400" b="1" i="1">
                      <a:latin typeface="Cambria Math" panose="02040503050406030204" pitchFamily="18" charset="0"/>
                      <a:ea typeface="Cambria Math" panose="02040503050406030204" pitchFamily="18" charset="0"/>
                    </a:rPr>
                    <m:t> </m:t>
                  </m:r>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 </m:t>
                  </m:r>
                  <m:r>
                    <a:rPr lang="es-CO" sz="1400" b="1" i="1">
                      <a:latin typeface="Cambria Math" panose="02040503050406030204" pitchFamily="18" charset="0"/>
                      <a:ea typeface="Cambria Math" panose="02040503050406030204" pitchFamily="18" charset="0"/>
                    </a:rPr>
                    <m:t>𝒌</m:t>
                  </m:r>
                  <m:r>
                    <a:rPr lang="es-CO" sz="1400" b="1" i="1">
                      <a:latin typeface="Cambria Math" panose="02040503050406030204" pitchFamily="18" charset="0"/>
                      <a:ea typeface="Cambria Math" panose="02040503050406030204" pitchFamily="18" charset="0"/>
                    </a:rPr>
                    <m:t>=</m:t>
                  </m:r>
                  <m:r>
                    <a:rPr lang="es-CO" sz="1400" b="1" i="1">
                      <a:latin typeface="Cambria Math" panose="02040503050406030204" pitchFamily="18" charset="0"/>
                      <a:ea typeface="Cambria Math" panose="02040503050406030204" pitchFamily="18" charset="0"/>
                    </a:rPr>
                    <m:t>𝟐</m:t>
                  </m:r>
                </m:oMath>
              </a14:m>
              <a:r>
                <a:rPr lang="es-CO" sz="1400" b="1" i="1">
                  <a:latin typeface="Arial" panose="020B0604020202020204" pitchFamily="34" charset="0"/>
                  <a:cs typeface="Arial" panose="020B0604020202020204" pitchFamily="34" charset="0"/>
                </a:rPr>
                <a:t>)</a:t>
              </a:r>
            </a:p>
          </xdr:txBody>
        </xdr:sp>
      </mc:Choice>
      <mc:Fallback xmlns="">
        <xdr:sp macro="" textlink="">
          <xdr:nvSpPr>
            <xdr:cNvPr id="43" name="CuadroTexto 42">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9396942" y="30203776"/>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0">
                  <a:latin typeface="Cambria Math" panose="02040503050406030204" pitchFamily="18" charset="0"/>
                  <a:ea typeface="Cambria Math" panose="02040503050406030204" pitchFamily="18" charset="0"/>
                </a:rPr>
                <a:t>𝑼 </a:t>
              </a:r>
              <a:r>
                <a:rPr lang="es-CO" sz="1400" b="1" i="0">
                  <a:latin typeface="Cambria Math"/>
                  <a:ea typeface="Cambria Math" panose="02040503050406030204" pitchFamily="18" charset="0"/>
                </a:rPr>
                <a:t>(</a:t>
              </a:r>
              <a:r>
                <a:rPr lang="es-CO" sz="1400" b="1" i="0">
                  <a:latin typeface="Cambria Math" panose="02040503050406030204" pitchFamily="18" charset="0"/>
                  <a:ea typeface="Cambria Math" panose="02040503050406030204" pitchFamily="18" charset="0"/>
                </a:rPr>
                <a:t> 𝒎 𝒄𝒕 </a:t>
              </a:r>
              <a:r>
                <a:rPr lang="es-CO" sz="1400" b="1" i="0">
                  <a:latin typeface="Cambria Math"/>
                  <a:ea typeface="Cambria Math" panose="02040503050406030204" pitchFamily="18" charset="0"/>
                </a:rPr>
                <a:t>)</a:t>
              </a:r>
              <a:r>
                <a:rPr lang="es-CO" sz="1400" b="1" i="0">
                  <a:latin typeface="Cambria Math" panose="02040503050406030204" pitchFamily="18" charset="0"/>
                  <a:ea typeface="Cambria Math" panose="02040503050406030204" pitchFamily="18" charset="0"/>
                </a:rPr>
                <a:t>  ( 𝒌=𝟐</a:t>
              </a:r>
              <a:r>
                <a:rPr lang="es-CO" sz="1400" b="1" i="1">
                  <a:latin typeface="Arial" panose="020B0604020202020204" pitchFamily="34" charset="0"/>
                  <a:cs typeface="Arial" panose="020B0604020202020204" pitchFamily="34" charset="0"/>
                </a:rPr>
                <a:t>)</a:t>
              </a:r>
            </a:p>
          </xdr:txBody>
        </xdr:sp>
      </mc:Fallback>
    </mc:AlternateContent>
    <xdr:clientData/>
  </xdr:oneCellAnchor>
  <xdr:oneCellAnchor>
    <xdr:from>
      <xdr:col>9</xdr:col>
      <xdr:colOff>603252</xdr:colOff>
      <xdr:row>74</xdr:row>
      <xdr:rowOff>84667</xdr:rowOff>
    </xdr:from>
    <xdr:ext cx="465666" cy="219163"/>
    <xdr:sp macro="" textlink="">
      <xdr:nvSpPr>
        <xdr:cNvPr id="44" name="CuadroTexto 43">
          <a:extLst>
            <a:ext uri="{FF2B5EF4-FFF2-40B4-BE49-F238E27FC236}">
              <a16:creationId xmlns:a16="http://schemas.microsoft.com/office/drawing/2014/main" id="{00000000-0008-0000-1800-00002C000000}"/>
            </a:ext>
          </a:extLst>
        </xdr:cNvPr>
        <xdr:cNvSpPr txBox="1"/>
      </xdr:nvSpPr>
      <xdr:spPr>
        <a:xfrm>
          <a:off x="10299702" y="30517042"/>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9</xdr:col>
      <xdr:colOff>571499</xdr:colOff>
      <xdr:row>75</xdr:row>
      <xdr:rowOff>116416</xdr:rowOff>
    </xdr:from>
    <xdr:ext cx="359835" cy="219163"/>
    <xdr:sp macro="" textlink="">
      <xdr:nvSpPr>
        <xdr:cNvPr id="45" name="CuadroTexto 44">
          <a:extLst>
            <a:ext uri="{FF2B5EF4-FFF2-40B4-BE49-F238E27FC236}">
              <a16:creationId xmlns:a16="http://schemas.microsoft.com/office/drawing/2014/main" id="{00000000-0008-0000-1800-00002D000000}"/>
            </a:ext>
          </a:extLst>
        </xdr:cNvPr>
        <xdr:cNvSpPr txBox="1"/>
      </xdr:nvSpPr>
      <xdr:spPr>
        <a:xfrm>
          <a:off x="10267949" y="30986941"/>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6</xdr:col>
      <xdr:colOff>275167</xdr:colOff>
      <xdr:row>74</xdr:row>
      <xdr:rowOff>148166</xdr:rowOff>
    </xdr:from>
    <xdr:ext cx="465666" cy="219163"/>
    <xdr:sp macro="" textlink="">
      <xdr:nvSpPr>
        <xdr:cNvPr id="46" name="CuadroTexto 45">
          <a:extLst>
            <a:ext uri="{FF2B5EF4-FFF2-40B4-BE49-F238E27FC236}">
              <a16:creationId xmlns:a16="http://schemas.microsoft.com/office/drawing/2014/main" id="{00000000-0008-0000-1800-00002E000000}"/>
            </a:ext>
          </a:extLst>
        </xdr:cNvPr>
        <xdr:cNvSpPr txBox="1"/>
      </xdr:nvSpPr>
      <xdr:spPr>
        <a:xfrm>
          <a:off x="6371167" y="30580541"/>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6</xdr:col>
      <xdr:colOff>328083</xdr:colOff>
      <xdr:row>75</xdr:row>
      <xdr:rowOff>84667</xdr:rowOff>
    </xdr:from>
    <xdr:ext cx="359835" cy="219163"/>
    <xdr:sp macro="" textlink="">
      <xdr:nvSpPr>
        <xdr:cNvPr id="47" name="CuadroTexto 46">
          <a:extLst>
            <a:ext uri="{FF2B5EF4-FFF2-40B4-BE49-F238E27FC236}">
              <a16:creationId xmlns:a16="http://schemas.microsoft.com/office/drawing/2014/main" id="{00000000-0008-0000-1800-00002F000000}"/>
            </a:ext>
          </a:extLst>
        </xdr:cNvPr>
        <xdr:cNvSpPr txBox="1"/>
      </xdr:nvSpPr>
      <xdr:spPr>
        <a:xfrm>
          <a:off x="6424083" y="30955192"/>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3</xdr:col>
      <xdr:colOff>560916</xdr:colOff>
      <xdr:row>72</xdr:row>
      <xdr:rowOff>74084</xdr:rowOff>
    </xdr:from>
    <xdr:ext cx="1524000" cy="210507"/>
    <mc:AlternateContent xmlns:mc="http://schemas.openxmlformats.org/markup-compatibility/2006" xmlns:a14="http://schemas.microsoft.com/office/drawing/2010/main">
      <mc:Choice Requires="a14">
        <xdr:sp macro="" textlink="">
          <xdr:nvSpPr>
            <xdr:cNvPr id="48" name="CuadroTexto 47">
              <a:extLst>
                <a:ext uri="{FF2B5EF4-FFF2-40B4-BE49-F238E27FC236}">
                  <a16:creationId xmlns:a16="http://schemas.microsoft.com/office/drawing/2014/main" id="{00000000-0008-0000-1800-000030000000}"/>
                </a:ext>
              </a:extLst>
            </xdr:cNvPr>
            <xdr:cNvSpPr txBox="1"/>
          </xdr:nvSpPr>
          <xdr:spPr>
            <a:xfrm>
              <a:off x="3246966" y="29553959"/>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m:t>
                    </m:r>
                  </m:oMath>
                </m:oMathPara>
              </a14:m>
              <a:endParaRPr lang="es-CO" sz="1400" b="1" i="1">
                <a:latin typeface="Arial" panose="020B0604020202020204" pitchFamily="34" charset="0"/>
                <a:cs typeface="Arial" panose="020B0604020202020204" pitchFamily="34" charset="0"/>
              </a:endParaRPr>
            </a:p>
          </xdr:txBody>
        </xdr:sp>
      </mc:Choice>
      <mc:Fallback xmlns="">
        <xdr:sp macro="" textlink="">
          <xdr:nvSpPr>
            <xdr:cNvPr id="48" name="CuadroTexto 47">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3246966" y="29553959"/>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 𝒎 𝒄𝒕 )   </a:t>
              </a:r>
              <a:endParaRPr lang="es-CO" sz="1400" b="1" i="1">
                <a:latin typeface="Arial" panose="020B0604020202020204" pitchFamily="34" charset="0"/>
                <a:cs typeface="Arial" panose="020B0604020202020204" pitchFamily="34" charset="0"/>
              </a:endParaRPr>
            </a:p>
          </xdr:txBody>
        </xdr:sp>
      </mc:Fallback>
    </mc:AlternateContent>
    <xdr:clientData/>
  </xdr:oneCellAnchor>
  <xdr:oneCellAnchor>
    <xdr:from>
      <xdr:col>7</xdr:col>
      <xdr:colOff>411956</xdr:colOff>
      <xdr:row>71</xdr:row>
      <xdr:rowOff>406003</xdr:rowOff>
    </xdr:from>
    <xdr:ext cx="65" cy="172227"/>
    <xdr:sp macro="" textlink="">
      <xdr:nvSpPr>
        <xdr:cNvPr id="49" name="CuadroTexto 48">
          <a:extLst>
            <a:ext uri="{FF2B5EF4-FFF2-40B4-BE49-F238E27FC236}">
              <a16:creationId xmlns:a16="http://schemas.microsoft.com/office/drawing/2014/main" id="{00000000-0008-0000-1800-000031000000}"/>
            </a:ext>
          </a:extLst>
        </xdr:cNvPr>
        <xdr:cNvSpPr txBox="1"/>
      </xdr:nvSpPr>
      <xdr:spPr>
        <a:xfrm>
          <a:off x="7555706" y="29457253"/>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51" name="CuadroTexto 50">
              <a:extLst>
                <a:ext uri="{FF2B5EF4-FFF2-40B4-BE49-F238E27FC236}">
                  <a16:creationId xmlns:a16="http://schemas.microsoft.com/office/drawing/2014/main" id="{00000000-0008-0000-1800-000033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51" name="CuadroTexto 50">
              <a:extLst>
                <a:ext uri="{FF2B5EF4-FFF2-40B4-BE49-F238E27FC236}">
                  <a16:creationId xmlns:a16="http://schemas.microsoft.com/office/drawing/2014/main" id="{86EEEFE9-003E-4B05-B8CE-BE710B5201F7}"/>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52" name="CuadroTexto 51">
              <a:extLst>
                <a:ext uri="{FF2B5EF4-FFF2-40B4-BE49-F238E27FC236}">
                  <a16:creationId xmlns:a16="http://schemas.microsoft.com/office/drawing/2014/main" id="{00000000-0008-0000-1800-000034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52" name="CuadroTexto 51">
              <a:extLst>
                <a:ext uri="{FF2B5EF4-FFF2-40B4-BE49-F238E27FC236}">
                  <a16:creationId xmlns:a16="http://schemas.microsoft.com/office/drawing/2014/main" id="{005461F6-DACA-45BE-B2EA-895F21971075}"/>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twoCellAnchor>
    <xdr:from>
      <xdr:col>7</xdr:col>
      <xdr:colOff>817563</xdr:colOff>
      <xdr:row>62</xdr:row>
      <xdr:rowOff>261938</xdr:rowOff>
    </xdr:from>
    <xdr:to>
      <xdr:col>11</xdr:col>
      <xdr:colOff>754062</xdr:colOff>
      <xdr:row>64</xdr:row>
      <xdr:rowOff>531813</xdr:rowOff>
    </xdr:to>
    <xdr:graphicFrame macro="">
      <xdr:nvGraphicFramePr>
        <xdr:cNvPr id="53" name="Gráfico 52">
          <a:extLst>
            <a:ext uri="{FF2B5EF4-FFF2-40B4-BE49-F238E27FC236}">
              <a16:creationId xmlns:a16="http://schemas.microsoft.com/office/drawing/2014/main" id="{00000000-0008-0000-1800-00003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154782</xdr:colOff>
      <xdr:row>0</xdr:row>
      <xdr:rowOff>35719</xdr:rowOff>
    </xdr:from>
    <xdr:to>
      <xdr:col>1</xdr:col>
      <xdr:colOff>554055</xdr:colOff>
      <xdr:row>0</xdr:row>
      <xdr:rowOff>678656</xdr:rowOff>
    </xdr:to>
    <xdr:pic>
      <xdr:nvPicPr>
        <xdr:cNvPr id="54" name="53 Imagen">
          <a:extLst>
            <a:ext uri="{FF2B5EF4-FFF2-40B4-BE49-F238E27FC236}">
              <a16:creationId xmlns:a16="http://schemas.microsoft.com/office/drawing/2014/main" id="{00000000-0008-0000-1800-000036000000}"/>
            </a:ext>
          </a:extLst>
        </xdr:cNvPr>
        <xdr:cNvPicPr>
          <a:picLocks noChangeAspect="1"/>
        </xdr:cNvPicPr>
      </xdr:nvPicPr>
      <xdr:blipFill>
        <a:blip xmlns:r="http://schemas.openxmlformats.org/officeDocument/2006/relationships" r:embed="rId2"/>
        <a:stretch>
          <a:fillRect/>
        </a:stretch>
      </xdr:blipFill>
      <xdr:spPr>
        <a:xfrm>
          <a:off x="154782" y="35719"/>
          <a:ext cx="1375586" cy="642937"/>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oneCellAnchor>
    <xdr:from>
      <xdr:col>1</xdr:col>
      <xdr:colOff>285935</xdr:colOff>
      <xdr:row>42</xdr:row>
      <xdr:rowOff>169517</xdr:rowOff>
    </xdr:from>
    <xdr:ext cx="177356" cy="176202"/>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00000000-0008-0000-1900-000003000000}"/>
                </a:ext>
              </a:extLst>
            </xdr:cNvPr>
            <xdr:cNvSpPr txBox="1"/>
          </xdr:nvSpPr>
          <xdr:spPr>
            <a:xfrm>
              <a:off x="1124135" y="14980892"/>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bg1"/>
                            </a:solidFill>
                            <a:latin typeface="Cambria Math" panose="02040503050406030204" pitchFamily="18" charset="0"/>
                          </a:rPr>
                        </m:ctrlPr>
                      </m:accPr>
                      <m:e>
                        <m:r>
                          <a:rPr lang="es-CO" sz="1100" b="1" i="1">
                            <a:solidFill>
                              <a:schemeClr val="bg1"/>
                            </a:solidFill>
                            <a:latin typeface="Cambria Math" panose="02040503050406030204" pitchFamily="18" charset="0"/>
                            <a:ea typeface="Cambria Math" panose="02040503050406030204" pitchFamily="18" charset="0"/>
                          </a:rPr>
                          <m:t>∆</m:t>
                        </m:r>
                        <m:r>
                          <a:rPr lang="es-CO" sz="1100" b="1" i="1">
                            <a:solidFill>
                              <a:schemeClr val="bg1"/>
                            </a:solidFill>
                            <a:latin typeface="Cambria Math" panose="02040503050406030204" pitchFamily="18" charset="0"/>
                            <a:ea typeface="Cambria Math" panose="02040503050406030204" pitchFamily="18" charset="0"/>
                          </a:rPr>
                          <m:t>𝑰</m:t>
                        </m:r>
                      </m:e>
                    </m:acc>
                  </m:oMath>
                </m:oMathPara>
              </a14:m>
              <a:endParaRPr lang="es-CO" sz="1100" b="1">
                <a:solidFill>
                  <a:schemeClr val="bg1"/>
                </a:solidFill>
              </a:endParaRPr>
            </a:p>
          </xdr:txBody>
        </xdr:sp>
      </mc:Choice>
      <mc:Fallback xmlns="">
        <xdr:sp macro="" textlink="">
          <xdr:nvSpPr>
            <xdr:cNvPr id="3" name="CuadroTexto 2">
              <a:extLst>
                <a:ext uri="{FF2B5EF4-FFF2-40B4-BE49-F238E27FC236}">
                  <a16:creationId xmlns="" xmlns:a16="http://schemas.microsoft.com/office/drawing/2014/main" xmlns:a14="http://schemas.microsoft.com/office/drawing/2010/main" id="{00000000-0008-0000-1000-000003000000}"/>
                </a:ext>
              </a:extLst>
            </xdr:cNvPr>
            <xdr:cNvSpPr txBox="1"/>
          </xdr:nvSpPr>
          <xdr:spPr>
            <a:xfrm>
              <a:off x="1124135" y="14980892"/>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bg1"/>
                  </a:solidFill>
                  <a:latin typeface="Cambria Math" panose="02040503050406030204" pitchFamily="18" charset="0"/>
                </a:rPr>
                <a:t>(</a:t>
              </a:r>
              <a:r>
                <a:rPr lang="es-CO" sz="1100" b="1" i="0">
                  <a:solidFill>
                    <a:schemeClr val="bg1"/>
                  </a:solidFill>
                  <a:latin typeface="Cambria Math" panose="02040503050406030204" pitchFamily="18" charset="0"/>
                  <a:ea typeface="Cambria Math" panose="02040503050406030204" pitchFamily="18" charset="0"/>
                </a:rPr>
                <a:t>∆𝑰) ̅</a:t>
              </a:r>
              <a:endParaRPr lang="es-CO" sz="1100" b="1">
                <a:solidFill>
                  <a:schemeClr val="bg1"/>
                </a:solidFill>
              </a:endParaRPr>
            </a:p>
          </xdr:txBody>
        </xdr:sp>
      </mc:Fallback>
    </mc:AlternateContent>
    <xdr:clientData/>
  </xdr:oneCellAnchor>
  <xdr:oneCellAnchor>
    <xdr:from>
      <xdr:col>1</xdr:col>
      <xdr:colOff>136732</xdr:colOff>
      <xdr:row>58</xdr:row>
      <xdr:rowOff>253032</xdr:rowOff>
    </xdr:from>
    <xdr:ext cx="599716" cy="172227"/>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id="{00000000-0008-0000-1900-000004000000}"/>
                </a:ext>
              </a:extLst>
            </xdr:cNvPr>
            <xdr:cNvSpPr txBox="1"/>
          </xdr:nvSpPr>
          <xdr:spPr>
            <a:xfrm>
              <a:off x="974932" y="20779407"/>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𝒘</m:t>
                        </m:r>
                      </m:sub>
                    </m:sSub>
                    <m:r>
                      <a:rPr lang="es-CO" sz="1100" b="1" i="1">
                        <a:latin typeface="Cambria Math" panose="02040503050406030204" pitchFamily="18" charset="0"/>
                      </a:rPr>
                      <m:t>(</m:t>
                    </m:r>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4" name="CuadroTexto 3">
              <a:extLst>
                <a:ext uri="{FF2B5EF4-FFF2-40B4-BE49-F238E27FC236}">
                  <a16:creationId xmlns="" xmlns:a16="http://schemas.microsoft.com/office/drawing/2014/main" xmlns:a14="http://schemas.microsoft.com/office/drawing/2010/main" id="{00000000-0008-0000-1000-000004000000}"/>
                </a:ext>
              </a:extLst>
            </xdr:cNvPr>
            <xdr:cNvSpPr txBox="1"/>
          </xdr:nvSpPr>
          <xdr:spPr>
            <a:xfrm>
              <a:off x="974932" y="20779407"/>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𝒖_𝒘 (</a:t>
              </a: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1</xdr:col>
      <xdr:colOff>202651</xdr:colOff>
      <xdr:row>61</xdr:row>
      <xdr:rowOff>265287</xdr:rowOff>
    </xdr:from>
    <xdr:ext cx="483915" cy="172227"/>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id="{00000000-0008-0000-1900-000005000000}"/>
                </a:ext>
              </a:extLst>
            </xdr:cNvPr>
            <xdr:cNvSpPr txBox="1"/>
          </xdr:nvSpPr>
          <xdr:spPr>
            <a:xfrm>
              <a:off x="1040851" y="2299193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5" name="CuadroTexto 4">
              <a:extLst>
                <a:ext uri="{FF2B5EF4-FFF2-40B4-BE49-F238E27FC236}">
                  <a16:creationId xmlns="" xmlns:a16="http://schemas.microsoft.com/office/drawing/2014/main" xmlns:a14="http://schemas.microsoft.com/office/drawing/2010/main" id="{00000000-0008-0000-1000-000005000000}"/>
                </a:ext>
              </a:extLst>
            </xdr:cNvPr>
            <xdr:cNvSpPr txBox="1"/>
          </xdr:nvSpPr>
          <xdr:spPr>
            <a:xfrm>
              <a:off x="1040851" y="2299193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𝒖(𝒎_𝒄𝒓)</a:t>
              </a:r>
              <a:endParaRPr lang="es-CO" sz="1100" b="1"/>
            </a:p>
          </xdr:txBody>
        </xdr:sp>
      </mc:Fallback>
    </mc:AlternateContent>
    <xdr:clientData/>
  </xdr:oneCellAnchor>
  <xdr:oneCellAnchor>
    <xdr:from>
      <xdr:col>1</xdr:col>
      <xdr:colOff>34166</xdr:colOff>
      <xdr:row>60</xdr:row>
      <xdr:rowOff>250203</xdr:rowOff>
    </xdr:from>
    <xdr:ext cx="689483" cy="172227"/>
    <mc:AlternateContent xmlns:mc="http://schemas.openxmlformats.org/markup-compatibility/2006" xmlns:a14="http://schemas.microsoft.com/office/drawing/2010/main">
      <mc:Choice Requires="a14">
        <xdr:sp macro="" textlink="">
          <xdr:nvSpPr>
            <xdr:cNvPr id="6" name="CuadroTexto 5">
              <a:extLst>
                <a:ext uri="{FF2B5EF4-FFF2-40B4-BE49-F238E27FC236}">
                  <a16:creationId xmlns:a16="http://schemas.microsoft.com/office/drawing/2014/main" id="{00000000-0008-0000-1900-000006000000}"/>
                </a:ext>
              </a:extLst>
            </xdr:cNvPr>
            <xdr:cNvSpPr txBox="1"/>
          </xdr:nvSpPr>
          <xdr:spPr>
            <a:xfrm>
              <a:off x="872366" y="22243428"/>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𝒊𝒏𝒔𝒕</m:t>
                        </m:r>
                      </m:sub>
                    </m:sSub>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0" i="1">
                        <a:latin typeface="Cambria Math" panose="02040503050406030204" pitchFamily="18" charset="0"/>
                      </a:rPr>
                      <m:t>)</m:t>
                    </m:r>
                  </m:oMath>
                </m:oMathPara>
              </a14:m>
              <a:endParaRPr lang="es-CO" sz="1100"/>
            </a:p>
          </xdr:txBody>
        </xdr:sp>
      </mc:Choice>
      <mc:Fallback xmlns="">
        <xdr:sp macro="" textlink="">
          <xdr:nvSpPr>
            <xdr:cNvPr id="6" name="CuadroTexto 5">
              <a:extLst>
                <a:ext uri="{FF2B5EF4-FFF2-40B4-BE49-F238E27FC236}">
                  <a16:creationId xmlns="" xmlns:a16="http://schemas.microsoft.com/office/drawing/2014/main" xmlns:a14="http://schemas.microsoft.com/office/drawing/2010/main" id="{00000000-0008-0000-1000-000006000000}"/>
                </a:ext>
              </a:extLst>
            </xdr:cNvPr>
            <xdr:cNvSpPr txBox="1"/>
          </xdr:nvSpPr>
          <xdr:spPr>
            <a:xfrm>
              <a:off x="872366" y="22243428"/>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𝒖_𝒊𝒏𝒔𝒕 (𝒎_𝒄𝒓</a:t>
              </a:r>
              <a:r>
                <a:rPr lang="es-CO" sz="1100" b="0" i="0">
                  <a:latin typeface="Cambria Math" panose="02040503050406030204" pitchFamily="18" charset="0"/>
                </a:rPr>
                <a:t>)</a:t>
              </a:r>
              <a:endParaRPr lang="es-CO" sz="1100"/>
            </a:p>
          </xdr:txBody>
        </xdr:sp>
      </mc:Fallback>
    </mc:AlternateContent>
    <xdr:clientData/>
  </xdr:oneCellAnchor>
  <xdr:oneCellAnchor>
    <xdr:from>
      <xdr:col>1</xdr:col>
      <xdr:colOff>183870</xdr:colOff>
      <xdr:row>62</xdr:row>
      <xdr:rowOff>264645</xdr:rowOff>
    </xdr:from>
    <xdr:ext cx="397353" cy="172227"/>
    <mc:AlternateContent xmlns:mc="http://schemas.openxmlformats.org/markup-compatibility/2006" xmlns:a14="http://schemas.microsoft.com/office/drawing/2010/main">
      <mc:Choice Requires="a14">
        <xdr:sp macro="" textlink="">
          <xdr:nvSpPr>
            <xdr:cNvPr id="7" name="CuadroTexto 6">
              <a:extLst>
                <a:ext uri="{FF2B5EF4-FFF2-40B4-BE49-F238E27FC236}">
                  <a16:creationId xmlns:a16="http://schemas.microsoft.com/office/drawing/2014/main" id="{00000000-0008-0000-1900-000007000000}"/>
                </a:ext>
              </a:extLst>
            </xdr:cNvPr>
            <xdr:cNvSpPr txBox="1"/>
          </xdr:nvSpPr>
          <xdr:spPr>
            <a:xfrm>
              <a:off x="1022070" y="23724720"/>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𝒂</m:t>
                        </m:r>
                      </m:sub>
                    </m:sSub>
                    <m:r>
                      <a:rPr lang="es-CO" sz="1100" b="1" i="1">
                        <a:latin typeface="Cambria Math" panose="02040503050406030204" pitchFamily="18" charset="0"/>
                      </a:rPr>
                      <m:t>)</m:t>
                    </m:r>
                  </m:oMath>
                </m:oMathPara>
              </a14:m>
              <a:endParaRPr lang="es-CO" sz="1100" b="1"/>
            </a:p>
          </xdr:txBody>
        </xdr:sp>
      </mc:Choice>
      <mc:Fallback xmlns="">
        <xdr:sp macro="" textlink="">
          <xdr:nvSpPr>
            <xdr:cNvPr id="7" name="CuadroTexto 6">
              <a:extLst>
                <a:ext uri="{FF2B5EF4-FFF2-40B4-BE49-F238E27FC236}">
                  <a16:creationId xmlns="" xmlns:a16="http://schemas.microsoft.com/office/drawing/2014/main" xmlns:a14="http://schemas.microsoft.com/office/drawing/2010/main" id="{00000000-0008-0000-1000-000007000000}"/>
                </a:ext>
              </a:extLst>
            </xdr:cNvPr>
            <xdr:cNvSpPr txBox="1"/>
          </xdr:nvSpPr>
          <xdr:spPr>
            <a:xfrm>
              <a:off x="1022070" y="23724720"/>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𝒂)</a:t>
              </a:r>
              <a:endParaRPr lang="es-CO" sz="1100" b="1"/>
            </a:p>
          </xdr:txBody>
        </xdr:sp>
      </mc:Fallback>
    </mc:AlternateContent>
    <xdr:clientData/>
  </xdr:oneCellAnchor>
  <xdr:oneCellAnchor>
    <xdr:from>
      <xdr:col>1</xdr:col>
      <xdr:colOff>186298</xdr:colOff>
      <xdr:row>63</xdr:row>
      <xdr:rowOff>266606</xdr:rowOff>
    </xdr:from>
    <xdr:ext cx="376642" cy="172227"/>
    <mc:AlternateContent xmlns:mc="http://schemas.openxmlformats.org/markup-compatibility/2006" xmlns:a14="http://schemas.microsoft.com/office/drawing/2010/main">
      <mc:Choice Requires="a14">
        <xdr:sp macro="" textlink="">
          <xdr:nvSpPr>
            <xdr:cNvPr id="8" name="CuadroTexto 7">
              <a:extLst>
                <a:ext uri="{FF2B5EF4-FFF2-40B4-BE49-F238E27FC236}">
                  <a16:creationId xmlns:a16="http://schemas.microsoft.com/office/drawing/2014/main" id="{00000000-0008-0000-1900-000008000000}"/>
                </a:ext>
              </a:extLst>
            </xdr:cNvPr>
            <xdr:cNvSpPr txBox="1"/>
          </xdr:nvSpPr>
          <xdr:spPr>
            <a:xfrm>
              <a:off x="1024498" y="244601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𝒕</m:t>
                        </m:r>
                      </m:sub>
                    </m:sSub>
                    <m:r>
                      <a:rPr lang="es-CO" sz="1100" b="1" i="1">
                        <a:latin typeface="Cambria Math" panose="02040503050406030204" pitchFamily="18" charset="0"/>
                      </a:rPr>
                      <m:t>)</m:t>
                    </m:r>
                  </m:oMath>
                </m:oMathPara>
              </a14:m>
              <a:endParaRPr lang="es-CO" sz="1100" b="1"/>
            </a:p>
          </xdr:txBody>
        </xdr:sp>
      </mc:Choice>
      <mc:Fallback xmlns="">
        <xdr:sp macro="" textlink="">
          <xdr:nvSpPr>
            <xdr:cNvPr id="8" name="CuadroTexto 7">
              <a:extLst>
                <a:ext uri="{FF2B5EF4-FFF2-40B4-BE49-F238E27FC236}">
                  <a16:creationId xmlns="" xmlns:a16="http://schemas.microsoft.com/office/drawing/2014/main" xmlns:a14="http://schemas.microsoft.com/office/drawing/2010/main" id="{00000000-0008-0000-1000-000008000000}"/>
                </a:ext>
              </a:extLst>
            </xdr:cNvPr>
            <xdr:cNvSpPr txBox="1"/>
          </xdr:nvSpPr>
          <xdr:spPr>
            <a:xfrm>
              <a:off x="1024498" y="244601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𝒕)</a:t>
              </a:r>
              <a:endParaRPr lang="es-CO" sz="1100" b="1"/>
            </a:p>
          </xdr:txBody>
        </xdr:sp>
      </mc:Fallback>
    </mc:AlternateContent>
    <xdr:clientData/>
  </xdr:oneCellAnchor>
  <xdr:oneCellAnchor>
    <xdr:from>
      <xdr:col>1</xdr:col>
      <xdr:colOff>186298</xdr:colOff>
      <xdr:row>64</xdr:row>
      <xdr:rowOff>222250</xdr:rowOff>
    </xdr:from>
    <xdr:ext cx="388696" cy="172227"/>
    <mc:AlternateContent xmlns:mc="http://schemas.openxmlformats.org/markup-compatibility/2006" xmlns:a14="http://schemas.microsoft.com/office/drawing/2010/main">
      <mc:Choice Requires="a14">
        <xdr:sp macro="" textlink="">
          <xdr:nvSpPr>
            <xdr:cNvPr id="9" name="CuadroTexto 8">
              <a:extLst>
                <a:ext uri="{FF2B5EF4-FFF2-40B4-BE49-F238E27FC236}">
                  <a16:creationId xmlns:a16="http://schemas.microsoft.com/office/drawing/2014/main" id="{00000000-0008-0000-1900-000009000000}"/>
                </a:ext>
              </a:extLst>
            </xdr:cNvPr>
            <xdr:cNvSpPr txBox="1"/>
          </xdr:nvSpPr>
          <xdr:spPr>
            <a:xfrm>
              <a:off x="1024498" y="25149175"/>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9" name="CuadroTexto 8">
              <a:extLst>
                <a:ext uri="{FF2B5EF4-FFF2-40B4-BE49-F238E27FC236}">
                  <a16:creationId xmlns="" xmlns:a16="http://schemas.microsoft.com/office/drawing/2014/main" xmlns:a14="http://schemas.microsoft.com/office/drawing/2010/main" id="{00000000-0008-0000-1000-000009000000}"/>
                </a:ext>
              </a:extLst>
            </xdr:cNvPr>
            <xdr:cNvSpPr txBox="1"/>
          </xdr:nvSpPr>
          <xdr:spPr>
            <a:xfrm>
              <a:off x="1024498" y="25149175"/>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𝒓)</a:t>
              </a:r>
              <a:endParaRPr lang="es-CO" sz="1100" b="1"/>
            </a:p>
          </xdr:txBody>
        </xdr:sp>
      </mc:Fallback>
    </mc:AlternateContent>
    <xdr:clientData/>
  </xdr:oneCellAnchor>
  <xdr:oneCellAnchor>
    <xdr:from>
      <xdr:col>1</xdr:col>
      <xdr:colOff>265579</xdr:colOff>
      <xdr:row>65</xdr:row>
      <xdr:rowOff>288458</xdr:rowOff>
    </xdr:from>
    <xdr:ext cx="191271" cy="172227"/>
    <mc:AlternateContent xmlns:mc="http://schemas.openxmlformats.org/markup-compatibility/2006" xmlns:a14="http://schemas.microsoft.com/office/drawing/2010/main">
      <mc:Choice Requires="a14">
        <xdr:sp macro="" textlink="">
          <xdr:nvSpPr>
            <xdr:cNvPr id="10" name="CuadroTexto 9">
              <a:extLst>
                <a:ext uri="{FF2B5EF4-FFF2-40B4-BE49-F238E27FC236}">
                  <a16:creationId xmlns:a16="http://schemas.microsoft.com/office/drawing/2014/main" id="{00000000-0008-0000-1900-00000A000000}"/>
                </a:ext>
              </a:extLst>
            </xdr:cNvPr>
            <xdr:cNvSpPr txBox="1"/>
          </xdr:nvSpPr>
          <xdr:spPr>
            <a:xfrm>
              <a:off x="1103779" y="2594880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𝒃</m:t>
                        </m:r>
                      </m:sub>
                    </m:sSub>
                  </m:oMath>
                </m:oMathPara>
              </a14:m>
              <a:endParaRPr lang="es-CO" sz="1100" b="1"/>
            </a:p>
          </xdr:txBody>
        </xdr:sp>
      </mc:Choice>
      <mc:Fallback xmlns="">
        <xdr:sp macro="" textlink="">
          <xdr:nvSpPr>
            <xdr:cNvPr id="10" name="CuadroTexto 9">
              <a:extLst>
                <a:ext uri="{FF2B5EF4-FFF2-40B4-BE49-F238E27FC236}">
                  <a16:creationId xmlns="" xmlns:a16="http://schemas.microsoft.com/office/drawing/2014/main" xmlns:a14="http://schemas.microsoft.com/office/drawing/2010/main" id="{00000000-0008-0000-1000-00000A000000}"/>
                </a:ext>
              </a:extLst>
            </xdr:cNvPr>
            <xdr:cNvSpPr txBox="1"/>
          </xdr:nvSpPr>
          <xdr:spPr>
            <a:xfrm>
              <a:off x="1103779" y="2594880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𝒖_𝒃</a:t>
              </a:r>
              <a:endParaRPr lang="es-CO" sz="1100" b="1"/>
            </a:p>
          </xdr:txBody>
        </xdr:sp>
      </mc:Fallback>
    </mc:AlternateContent>
    <xdr:clientData/>
  </xdr:oneCellAnchor>
  <xdr:oneCellAnchor>
    <xdr:from>
      <xdr:col>1</xdr:col>
      <xdr:colOff>261391</xdr:colOff>
      <xdr:row>66</xdr:row>
      <xdr:rowOff>294234</xdr:rowOff>
    </xdr:from>
    <xdr:ext cx="195053" cy="172227"/>
    <mc:AlternateContent xmlns:mc="http://schemas.openxmlformats.org/markup-compatibility/2006" xmlns:a14="http://schemas.microsoft.com/office/drawing/2010/main">
      <mc:Choice Requires="a14">
        <xdr:sp macro="" textlink="">
          <xdr:nvSpPr>
            <xdr:cNvPr id="11" name="CuadroTexto 10">
              <a:extLst>
                <a:ext uri="{FF2B5EF4-FFF2-40B4-BE49-F238E27FC236}">
                  <a16:creationId xmlns:a16="http://schemas.microsoft.com/office/drawing/2014/main" id="{00000000-0008-0000-1900-00000B000000}"/>
                </a:ext>
              </a:extLst>
            </xdr:cNvPr>
            <xdr:cNvSpPr txBox="1"/>
          </xdr:nvSpPr>
          <xdr:spPr>
            <a:xfrm>
              <a:off x="1099591" y="26688009"/>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𝒅</m:t>
                        </m:r>
                      </m:sub>
                    </m:sSub>
                  </m:oMath>
                </m:oMathPara>
              </a14:m>
              <a:endParaRPr lang="es-CO" sz="1100" b="1"/>
            </a:p>
          </xdr:txBody>
        </xdr:sp>
      </mc:Choice>
      <mc:Fallback xmlns="">
        <xdr:sp macro="" textlink="">
          <xdr:nvSpPr>
            <xdr:cNvPr id="11" name="CuadroTexto 10">
              <a:extLst>
                <a:ext uri="{FF2B5EF4-FFF2-40B4-BE49-F238E27FC236}">
                  <a16:creationId xmlns="" xmlns:a16="http://schemas.microsoft.com/office/drawing/2014/main" xmlns:a14="http://schemas.microsoft.com/office/drawing/2010/main" id="{00000000-0008-0000-1000-00000B000000}"/>
                </a:ext>
              </a:extLst>
            </xdr:cNvPr>
            <xdr:cNvSpPr txBox="1"/>
          </xdr:nvSpPr>
          <xdr:spPr>
            <a:xfrm>
              <a:off x="1099591" y="26688009"/>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𝒖_𝒅</a:t>
              </a:r>
              <a:endParaRPr lang="es-CO" sz="1100" b="1"/>
            </a:p>
          </xdr:txBody>
        </xdr:sp>
      </mc:Fallback>
    </mc:AlternateContent>
    <xdr:clientData/>
  </xdr:oneCellAnchor>
  <xdr:oneCellAnchor>
    <xdr:from>
      <xdr:col>5</xdr:col>
      <xdr:colOff>393571</xdr:colOff>
      <xdr:row>69</xdr:row>
      <xdr:rowOff>265119</xdr:rowOff>
    </xdr:from>
    <xdr:ext cx="529697" cy="172227"/>
    <mc:AlternateContent xmlns:mc="http://schemas.openxmlformats.org/markup-compatibility/2006" xmlns:a14="http://schemas.microsoft.com/office/drawing/2010/main">
      <mc:Choice Requires="a14">
        <xdr:sp macro="" textlink="">
          <xdr:nvSpPr>
            <xdr:cNvPr id="12" name="CuadroTexto 11">
              <a:extLst>
                <a:ext uri="{FF2B5EF4-FFF2-40B4-BE49-F238E27FC236}">
                  <a16:creationId xmlns:a16="http://schemas.microsoft.com/office/drawing/2014/main" id="{00000000-0008-0000-1900-00000C000000}"/>
                </a:ext>
              </a:extLst>
            </xdr:cNvPr>
            <xdr:cNvSpPr txBox="1"/>
          </xdr:nvSpPr>
          <xdr:spPr>
            <a:xfrm>
              <a:off x="5251321" y="28220994"/>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𝒄</m:t>
                        </m:r>
                      </m:sub>
                    </m:sSub>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12" name="CuadroTexto 11">
              <a:extLst>
                <a:ext uri="{FF2B5EF4-FFF2-40B4-BE49-F238E27FC236}">
                  <a16:creationId xmlns="" xmlns:a16="http://schemas.microsoft.com/office/drawing/2014/main" xmlns:a14="http://schemas.microsoft.com/office/drawing/2010/main" id="{00000000-0008-0000-1000-00000C000000}"/>
                </a:ext>
              </a:extLst>
            </xdr:cNvPr>
            <xdr:cNvSpPr txBox="1"/>
          </xdr:nvSpPr>
          <xdr:spPr>
            <a:xfrm>
              <a:off x="5251321" y="28220994"/>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𝒖_𝒄 (</a:t>
              </a:r>
              <a:r>
                <a:rPr lang="es-CO" sz="1100" b="1" i="0">
                  <a:latin typeface="Cambria Math" panose="02040503050406030204" pitchFamily="18" charset="0"/>
                  <a:ea typeface="Cambria Math" panose="02040503050406030204" pitchFamily="18" charset="0"/>
                </a:rPr>
                <a:t>𝒎_𝒄𝒕)</a:t>
              </a:r>
              <a:endParaRPr lang="es-CO" sz="1100" b="1"/>
            </a:p>
          </xdr:txBody>
        </xdr:sp>
      </mc:Fallback>
    </mc:AlternateContent>
    <xdr:clientData/>
  </xdr:oneCellAnchor>
  <xdr:oneCellAnchor>
    <xdr:from>
      <xdr:col>5</xdr:col>
      <xdr:colOff>243965</xdr:colOff>
      <xdr:row>70</xdr:row>
      <xdr:rowOff>130277</xdr:rowOff>
    </xdr:from>
    <xdr:ext cx="780598" cy="172227"/>
    <mc:AlternateContent xmlns:mc="http://schemas.openxmlformats.org/markup-compatibility/2006" xmlns:a14="http://schemas.microsoft.com/office/drawing/2010/main">
      <mc:Choice Requires="a14">
        <xdr:sp macro="" textlink="">
          <xdr:nvSpPr>
            <xdr:cNvPr id="13" name="CuadroTexto 12">
              <a:extLst>
                <a:ext uri="{FF2B5EF4-FFF2-40B4-BE49-F238E27FC236}">
                  <a16:creationId xmlns:a16="http://schemas.microsoft.com/office/drawing/2014/main" id="{00000000-0008-0000-1900-00000D000000}"/>
                </a:ext>
              </a:extLst>
            </xdr:cNvPr>
            <xdr:cNvSpPr txBox="1"/>
          </xdr:nvSpPr>
          <xdr:spPr>
            <a:xfrm>
              <a:off x="5101715" y="2874337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100" b="1" i="1">
                      <a:latin typeface="Cambria Math" panose="02040503050406030204" pitchFamily="18" charset="0"/>
                    </a:rPr>
                    <m:t>𝑼</m:t>
                  </m:r>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a14:m>
              <a:r>
                <a:rPr lang="es-CO" sz="1100" b="1"/>
                <a:t> (k=2)</a:t>
              </a:r>
            </a:p>
          </xdr:txBody>
        </xdr:sp>
      </mc:Choice>
      <mc:Fallback xmlns="">
        <xdr:sp macro="" textlink="">
          <xdr:nvSpPr>
            <xdr:cNvPr id="13" name="CuadroTexto 12">
              <a:extLst>
                <a:ext uri="{FF2B5EF4-FFF2-40B4-BE49-F238E27FC236}">
                  <a16:creationId xmlns="" xmlns:a16="http://schemas.microsoft.com/office/drawing/2014/main" xmlns:a14="http://schemas.microsoft.com/office/drawing/2010/main" id="{00000000-0008-0000-1000-00000D000000}"/>
                </a:ext>
              </a:extLst>
            </xdr:cNvPr>
            <xdr:cNvSpPr txBox="1"/>
          </xdr:nvSpPr>
          <xdr:spPr>
            <a:xfrm>
              <a:off x="5101715" y="2874337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100" b="1" i="0">
                  <a:latin typeface="Cambria Math" panose="02040503050406030204" pitchFamily="18" charset="0"/>
                </a:rPr>
                <a:t>𝑼(</a:t>
              </a:r>
              <a:r>
                <a:rPr lang="es-CO" sz="1100" b="1" i="0">
                  <a:latin typeface="Cambria Math" panose="02040503050406030204" pitchFamily="18" charset="0"/>
                  <a:ea typeface="Cambria Math" panose="02040503050406030204" pitchFamily="18" charset="0"/>
                </a:rPr>
                <a:t>𝒎_𝒄𝒕)</a:t>
              </a:r>
              <a:r>
                <a:rPr lang="es-CO" sz="1100" b="1"/>
                <a:t> (k=2)</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14" name="CuadroTexto 13">
              <a:extLst>
                <a:ext uri="{FF2B5EF4-FFF2-40B4-BE49-F238E27FC236}">
                  <a16:creationId xmlns:a16="http://schemas.microsoft.com/office/drawing/2014/main" id="{00000000-0008-0000-1900-00000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14" name="CuadroTexto 13">
              <a:extLst>
                <a:ext uri="{FF2B5EF4-FFF2-40B4-BE49-F238E27FC236}">
                  <a16:creationId xmlns="" xmlns:a16="http://schemas.microsoft.com/office/drawing/2014/main" xmlns:a14="http://schemas.microsoft.com/office/drawing/2010/main" id="{00000000-0008-0000-1000-00000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8</xdr:col>
      <xdr:colOff>541269</xdr:colOff>
      <xdr:row>52</xdr:row>
      <xdr:rowOff>78683</xdr:rowOff>
    </xdr:from>
    <xdr:ext cx="304571" cy="172227"/>
    <mc:AlternateContent xmlns:mc="http://schemas.openxmlformats.org/markup-compatibility/2006" xmlns:a14="http://schemas.microsoft.com/office/drawing/2010/main">
      <mc:Choice Requires="a14">
        <xdr:sp macro="" textlink="">
          <xdr:nvSpPr>
            <xdr:cNvPr id="15" name="CuadroTexto 14">
              <a:extLst>
                <a:ext uri="{FF2B5EF4-FFF2-40B4-BE49-F238E27FC236}">
                  <a16:creationId xmlns:a16="http://schemas.microsoft.com/office/drawing/2014/main" id="{00000000-0008-0000-1900-00000F000000}"/>
                </a:ext>
              </a:extLst>
            </xdr:cNvPr>
            <xdr:cNvSpPr txBox="1"/>
          </xdr:nvSpPr>
          <xdr:spPr>
            <a:xfrm>
              <a:off x="9313794" y="18623858"/>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oMath>
                </m:oMathPara>
              </a14:m>
              <a:endParaRPr lang="es-CO" sz="1100" b="1"/>
            </a:p>
          </xdr:txBody>
        </xdr:sp>
      </mc:Choice>
      <mc:Fallback xmlns="">
        <xdr:sp macro="" textlink="">
          <xdr:nvSpPr>
            <xdr:cNvPr id="15" name="CuadroTexto 14">
              <a:extLst>
                <a:ext uri="{FF2B5EF4-FFF2-40B4-BE49-F238E27FC236}">
                  <a16:creationId xmlns="" xmlns:a16="http://schemas.microsoft.com/office/drawing/2014/main" xmlns:a14="http://schemas.microsoft.com/office/drawing/2010/main" id="{00000000-0008-0000-1000-00000F000000}"/>
                </a:ext>
              </a:extLst>
            </xdr:cNvPr>
            <xdr:cNvSpPr txBox="1"/>
          </xdr:nvSpPr>
          <xdr:spPr>
            <a:xfrm>
              <a:off x="9313794" y="18623858"/>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4</xdr:col>
      <xdr:colOff>155713</xdr:colOff>
      <xdr:row>39</xdr:row>
      <xdr:rowOff>106017</xdr:rowOff>
    </xdr:from>
    <xdr:ext cx="65" cy="172227"/>
    <xdr:sp macro="" textlink="">
      <xdr:nvSpPr>
        <xdr:cNvPr id="16" name="CuadroTexto 15">
          <a:extLst>
            <a:ext uri="{FF2B5EF4-FFF2-40B4-BE49-F238E27FC236}">
              <a16:creationId xmlns:a16="http://schemas.microsoft.com/office/drawing/2014/main" id="{00000000-0008-0000-1900-000010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17" name="CuadroTexto 16">
              <a:extLst>
                <a:ext uri="{FF2B5EF4-FFF2-40B4-BE49-F238E27FC236}">
                  <a16:creationId xmlns:a16="http://schemas.microsoft.com/office/drawing/2014/main" id="{00000000-0008-0000-1900-000011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7" name="CuadroTexto 16">
              <a:extLst>
                <a:ext uri="{FF2B5EF4-FFF2-40B4-BE49-F238E27FC236}">
                  <a16:creationId xmlns="" xmlns:a16="http://schemas.microsoft.com/office/drawing/2014/main" xmlns:a14="http://schemas.microsoft.com/office/drawing/2010/main" id="{00000000-0008-0000-1000-000011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18" name="CuadroTexto 17">
              <a:extLst>
                <a:ext uri="{FF2B5EF4-FFF2-40B4-BE49-F238E27FC236}">
                  <a16:creationId xmlns:a16="http://schemas.microsoft.com/office/drawing/2014/main" id="{00000000-0008-0000-1900-000012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18" name="CuadroTexto 17">
              <a:extLst>
                <a:ext uri="{FF2B5EF4-FFF2-40B4-BE49-F238E27FC236}">
                  <a16:creationId xmlns="" xmlns:a16="http://schemas.microsoft.com/office/drawing/2014/main" xmlns:a14="http://schemas.microsoft.com/office/drawing/2010/main" id="{00000000-0008-0000-1000-000012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19" name="CuadroTexto 18">
              <a:extLst>
                <a:ext uri="{FF2B5EF4-FFF2-40B4-BE49-F238E27FC236}">
                  <a16:creationId xmlns:a16="http://schemas.microsoft.com/office/drawing/2014/main" id="{00000000-0008-0000-1900-000013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9" name="CuadroTexto 18">
              <a:extLst>
                <a:ext uri="{FF2B5EF4-FFF2-40B4-BE49-F238E27FC236}">
                  <a16:creationId xmlns="" xmlns:a16="http://schemas.microsoft.com/office/drawing/2014/main" xmlns:a14="http://schemas.microsoft.com/office/drawing/2010/main" id="{00000000-0008-0000-1000-000013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0" name="CuadroTexto 19">
              <a:extLst>
                <a:ext uri="{FF2B5EF4-FFF2-40B4-BE49-F238E27FC236}">
                  <a16:creationId xmlns:a16="http://schemas.microsoft.com/office/drawing/2014/main" id="{00000000-0008-0000-1900-000014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0" name="CuadroTexto 19">
              <a:extLst>
                <a:ext uri="{FF2B5EF4-FFF2-40B4-BE49-F238E27FC236}">
                  <a16:creationId xmlns="" xmlns:a16="http://schemas.microsoft.com/office/drawing/2014/main" xmlns:a14="http://schemas.microsoft.com/office/drawing/2010/main" id="{00000000-0008-0000-1000-000014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1" name="CuadroTexto 20">
          <a:extLst>
            <a:ext uri="{FF2B5EF4-FFF2-40B4-BE49-F238E27FC236}">
              <a16:creationId xmlns:a16="http://schemas.microsoft.com/office/drawing/2014/main" id="{00000000-0008-0000-1900-000015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3</xdr:col>
      <xdr:colOff>236456</xdr:colOff>
      <xdr:row>73</xdr:row>
      <xdr:rowOff>141002</xdr:rowOff>
    </xdr:from>
    <xdr:ext cx="730521" cy="219163"/>
    <mc:AlternateContent xmlns:mc="http://schemas.openxmlformats.org/markup-compatibility/2006" xmlns:a14="http://schemas.microsoft.com/office/drawing/2010/main">
      <mc:Choice Requires="a14">
        <xdr:sp macro="" textlink="">
          <xdr:nvSpPr>
            <xdr:cNvPr id="22" name="CuadroTexto 21">
              <a:extLst>
                <a:ext uri="{FF2B5EF4-FFF2-40B4-BE49-F238E27FC236}">
                  <a16:creationId xmlns:a16="http://schemas.microsoft.com/office/drawing/2014/main" id="{00000000-0008-0000-1900-000016000000}"/>
                </a:ext>
              </a:extLst>
            </xdr:cNvPr>
            <xdr:cNvSpPr txBox="1"/>
          </xdr:nvSpPr>
          <xdr:spPr>
            <a:xfrm>
              <a:off x="2922506" y="30059027"/>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m:t>
                  </m:r>
                  <m:sSub>
                    <m:sSubPr>
                      <m:ctrlPr>
                        <a:rPr lang="es-CO" sz="1400" b="1" i="1">
                          <a:latin typeface="Cambria Math" panose="02040503050406030204" pitchFamily="18" charset="0"/>
                          <a:ea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𝒎</m:t>
                      </m:r>
                    </m:e>
                    <m:sub>
                      <m:r>
                        <a:rPr lang="es-CO" sz="1400" b="1" i="1">
                          <a:latin typeface="Cambria Math" panose="02040503050406030204" pitchFamily="18" charset="0"/>
                          <a:ea typeface="Cambria Math" panose="02040503050406030204" pitchFamily="18" charset="0"/>
                        </a:rPr>
                        <m:t>𝒄</m:t>
                      </m:r>
                    </m:sub>
                  </m:sSub>
                </m:oMath>
              </a14:m>
              <a:r>
                <a:rPr lang="es-CO" sz="1400" b="1" i="1"/>
                <a:t> (mg</a:t>
              </a:r>
              <a:r>
                <a:rPr lang="es-CO" sz="1200" b="1" i="0"/>
                <a:t>)</a:t>
              </a:r>
            </a:p>
          </xdr:txBody>
        </xdr:sp>
      </mc:Choice>
      <mc:Fallback xmlns="">
        <xdr:sp macro="" textlink="">
          <xdr:nvSpPr>
            <xdr:cNvPr id="22" name="CuadroTexto 21">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2922506" y="30059027"/>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400" b="1" i="0">
                  <a:latin typeface="Cambria Math" panose="02040503050406030204" pitchFamily="18" charset="0"/>
                  <a:ea typeface="Cambria Math" panose="02040503050406030204" pitchFamily="18" charset="0"/>
                </a:rPr>
                <a:t>∆𝒎_𝒄</a:t>
              </a:r>
              <a:r>
                <a:rPr lang="es-CO" sz="1400" b="1" i="1"/>
                <a:t> (mg</a:t>
              </a:r>
              <a:r>
                <a:rPr lang="es-CO" sz="1200" b="1" i="0"/>
                <a:t>)</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23" name="CuadroTexto 22">
              <a:extLst>
                <a:ext uri="{FF2B5EF4-FFF2-40B4-BE49-F238E27FC236}">
                  <a16:creationId xmlns:a16="http://schemas.microsoft.com/office/drawing/2014/main" id="{00000000-0008-0000-1900-000017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23" name="CuadroTexto 22">
              <a:extLst>
                <a:ext uri="{FF2B5EF4-FFF2-40B4-BE49-F238E27FC236}">
                  <a16:creationId xmlns="" xmlns:a16="http://schemas.microsoft.com/office/drawing/2014/main" xmlns:a14="http://schemas.microsoft.com/office/drawing/2010/main" id="{00000000-0008-0000-1000-000023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24" name="CuadroTexto 23">
          <a:extLst>
            <a:ext uri="{FF2B5EF4-FFF2-40B4-BE49-F238E27FC236}">
              <a16:creationId xmlns:a16="http://schemas.microsoft.com/office/drawing/2014/main" id="{00000000-0008-0000-1900-000018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25" name="CuadroTexto 24">
              <a:extLst>
                <a:ext uri="{FF2B5EF4-FFF2-40B4-BE49-F238E27FC236}">
                  <a16:creationId xmlns:a16="http://schemas.microsoft.com/office/drawing/2014/main" id="{00000000-0008-0000-1900-000019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5" name="CuadroTexto 24">
              <a:extLst>
                <a:ext uri="{FF2B5EF4-FFF2-40B4-BE49-F238E27FC236}">
                  <a16:creationId xmlns="" xmlns:a16="http://schemas.microsoft.com/office/drawing/2014/main" xmlns:a14="http://schemas.microsoft.com/office/drawing/2010/main" id="{00000000-0008-0000-1000-000026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26" name="CuadroTexto 25">
              <a:extLst>
                <a:ext uri="{FF2B5EF4-FFF2-40B4-BE49-F238E27FC236}">
                  <a16:creationId xmlns:a16="http://schemas.microsoft.com/office/drawing/2014/main" id="{00000000-0008-0000-1900-00001A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6" name="CuadroTexto 25">
              <a:extLst>
                <a:ext uri="{FF2B5EF4-FFF2-40B4-BE49-F238E27FC236}">
                  <a16:creationId xmlns="" xmlns:a16="http://schemas.microsoft.com/office/drawing/2014/main" xmlns:a14="http://schemas.microsoft.com/office/drawing/2010/main" id="{00000000-0008-0000-1000-000027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27" name="CuadroTexto 26">
              <a:extLst>
                <a:ext uri="{FF2B5EF4-FFF2-40B4-BE49-F238E27FC236}">
                  <a16:creationId xmlns:a16="http://schemas.microsoft.com/office/drawing/2014/main" id="{00000000-0008-0000-1900-00001B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7" name="CuadroTexto 26">
              <a:extLst>
                <a:ext uri="{FF2B5EF4-FFF2-40B4-BE49-F238E27FC236}">
                  <a16:creationId xmlns="" xmlns:a16="http://schemas.microsoft.com/office/drawing/2014/main" xmlns:a14="http://schemas.microsoft.com/office/drawing/2010/main" id="{00000000-0008-0000-1000-000028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8" name="CuadroTexto 27">
              <a:extLst>
                <a:ext uri="{FF2B5EF4-FFF2-40B4-BE49-F238E27FC236}">
                  <a16:creationId xmlns:a16="http://schemas.microsoft.com/office/drawing/2014/main" id="{00000000-0008-0000-1900-00001C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8" name="CuadroTexto 27">
              <a:extLst>
                <a:ext uri="{FF2B5EF4-FFF2-40B4-BE49-F238E27FC236}">
                  <a16:creationId xmlns="" xmlns:a16="http://schemas.microsoft.com/office/drawing/2014/main" xmlns:a14="http://schemas.microsoft.com/office/drawing/2010/main" id="{00000000-0008-0000-1000-000029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9" name="CuadroTexto 28">
          <a:extLst>
            <a:ext uri="{FF2B5EF4-FFF2-40B4-BE49-F238E27FC236}">
              <a16:creationId xmlns:a16="http://schemas.microsoft.com/office/drawing/2014/main" id="{00000000-0008-0000-1900-00001D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30" name="CuadroTexto 29">
              <a:extLst>
                <a:ext uri="{FF2B5EF4-FFF2-40B4-BE49-F238E27FC236}">
                  <a16:creationId xmlns:a16="http://schemas.microsoft.com/office/drawing/2014/main" id="{00000000-0008-0000-1900-00001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30" name="CuadroTexto 29">
              <a:extLst>
                <a:ext uri="{FF2B5EF4-FFF2-40B4-BE49-F238E27FC236}">
                  <a16:creationId xmlns="" xmlns:a16="http://schemas.microsoft.com/office/drawing/2014/main" xmlns:a14="http://schemas.microsoft.com/office/drawing/2010/main" id="{00000000-0008-0000-1000-000038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31" name="CuadroTexto 30">
          <a:extLst>
            <a:ext uri="{FF2B5EF4-FFF2-40B4-BE49-F238E27FC236}">
              <a16:creationId xmlns:a16="http://schemas.microsoft.com/office/drawing/2014/main" id="{00000000-0008-0000-1900-00001F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32" name="CuadroTexto 31">
              <a:extLst>
                <a:ext uri="{FF2B5EF4-FFF2-40B4-BE49-F238E27FC236}">
                  <a16:creationId xmlns:a16="http://schemas.microsoft.com/office/drawing/2014/main" id="{00000000-0008-0000-1900-000020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2" name="CuadroTexto 31">
              <a:extLst>
                <a:ext uri="{FF2B5EF4-FFF2-40B4-BE49-F238E27FC236}">
                  <a16:creationId xmlns="" xmlns:a16="http://schemas.microsoft.com/office/drawing/2014/main" xmlns:a14="http://schemas.microsoft.com/office/drawing/2010/main" id="{00000000-0008-0000-1000-00003B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33" name="CuadroTexto 32">
              <a:extLst>
                <a:ext uri="{FF2B5EF4-FFF2-40B4-BE49-F238E27FC236}">
                  <a16:creationId xmlns:a16="http://schemas.microsoft.com/office/drawing/2014/main" id="{00000000-0008-0000-1900-000021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3" name="CuadroTexto 32">
              <a:extLst>
                <a:ext uri="{FF2B5EF4-FFF2-40B4-BE49-F238E27FC236}">
                  <a16:creationId xmlns="" xmlns:a16="http://schemas.microsoft.com/office/drawing/2014/main" xmlns:a14="http://schemas.microsoft.com/office/drawing/2010/main" id="{00000000-0008-0000-1000-00003C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34" name="CuadroTexto 33">
              <a:extLst>
                <a:ext uri="{FF2B5EF4-FFF2-40B4-BE49-F238E27FC236}">
                  <a16:creationId xmlns:a16="http://schemas.microsoft.com/office/drawing/2014/main" id="{00000000-0008-0000-1900-000022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4" name="CuadroTexto 33">
              <a:extLst>
                <a:ext uri="{FF2B5EF4-FFF2-40B4-BE49-F238E27FC236}">
                  <a16:creationId xmlns="" xmlns:a16="http://schemas.microsoft.com/office/drawing/2014/main" xmlns:a14="http://schemas.microsoft.com/office/drawing/2010/main" id="{00000000-0008-0000-1000-00003D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35" name="CuadroTexto 34">
              <a:extLst>
                <a:ext uri="{FF2B5EF4-FFF2-40B4-BE49-F238E27FC236}">
                  <a16:creationId xmlns:a16="http://schemas.microsoft.com/office/drawing/2014/main" id="{00000000-0008-0000-1900-000023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5" name="CuadroTexto 34">
              <a:extLst>
                <a:ext uri="{FF2B5EF4-FFF2-40B4-BE49-F238E27FC236}">
                  <a16:creationId xmlns="" xmlns:a16="http://schemas.microsoft.com/office/drawing/2014/main" xmlns:a14="http://schemas.microsoft.com/office/drawing/2010/main" id="{00000000-0008-0000-1000-00003E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36" name="CuadroTexto 35">
          <a:extLst>
            <a:ext uri="{FF2B5EF4-FFF2-40B4-BE49-F238E27FC236}">
              <a16:creationId xmlns:a16="http://schemas.microsoft.com/office/drawing/2014/main" id="{00000000-0008-0000-1900-000024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11</xdr:col>
      <xdr:colOff>628650</xdr:colOff>
      <xdr:row>61</xdr:row>
      <xdr:rowOff>0</xdr:rowOff>
    </xdr:from>
    <xdr:ext cx="65" cy="172227"/>
    <xdr:sp macro="" textlink="">
      <xdr:nvSpPr>
        <xdr:cNvPr id="38" name="CuadroTexto 37">
          <a:extLst>
            <a:ext uri="{FF2B5EF4-FFF2-40B4-BE49-F238E27FC236}">
              <a16:creationId xmlns:a16="http://schemas.microsoft.com/office/drawing/2014/main" id="{00000000-0008-0000-1900-000026000000}"/>
            </a:ext>
          </a:extLst>
        </xdr:cNvPr>
        <xdr:cNvSpPr txBox="1"/>
      </xdr:nvSpPr>
      <xdr:spPr>
        <a:xfrm>
          <a:off x="12001500" y="2272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5</xdr:col>
      <xdr:colOff>539750</xdr:colOff>
      <xdr:row>73</xdr:row>
      <xdr:rowOff>158749</xdr:rowOff>
    </xdr:from>
    <xdr:ext cx="984250" cy="210507"/>
    <mc:AlternateContent xmlns:mc="http://schemas.openxmlformats.org/markup-compatibility/2006" xmlns:a14="http://schemas.microsoft.com/office/drawing/2010/main">
      <mc:Choice Requires="a14">
        <xdr:sp macro="" textlink="">
          <xdr:nvSpPr>
            <xdr:cNvPr id="39" name="CuadroTexto 38">
              <a:extLst>
                <a:ext uri="{FF2B5EF4-FFF2-40B4-BE49-F238E27FC236}">
                  <a16:creationId xmlns:a16="http://schemas.microsoft.com/office/drawing/2014/main" id="{00000000-0008-0000-1900-000027000000}"/>
                </a:ext>
              </a:extLst>
            </xdr:cNvPr>
            <xdr:cNvSpPr txBox="1"/>
          </xdr:nvSpPr>
          <xdr:spPr>
            <a:xfrm>
              <a:off x="5397500" y="30076774"/>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𝒆</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39" name="CuadroTexto 38">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5397500" y="30076774"/>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𝒆 𝒄𝒕</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4</xdr:col>
      <xdr:colOff>52917</xdr:colOff>
      <xdr:row>73</xdr:row>
      <xdr:rowOff>148167</xdr:rowOff>
    </xdr:from>
    <xdr:ext cx="984250" cy="210507"/>
    <mc:AlternateContent xmlns:mc="http://schemas.openxmlformats.org/markup-compatibility/2006" xmlns:a14="http://schemas.microsoft.com/office/drawing/2010/main">
      <mc:Choice Requires="a14">
        <xdr:sp macro="" textlink="">
          <xdr:nvSpPr>
            <xdr:cNvPr id="40" name="CuadroTexto 39">
              <a:extLst>
                <a:ext uri="{FF2B5EF4-FFF2-40B4-BE49-F238E27FC236}">
                  <a16:creationId xmlns:a16="http://schemas.microsoft.com/office/drawing/2014/main" id="{00000000-0008-0000-1900-000028000000}"/>
                </a:ext>
              </a:extLst>
            </xdr:cNvPr>
            <xdr:cNvSpPr txBox="1"/>
          </xdr:nvSpPr>
          <xdr:spPr>
            <a:xfrm>
              <a:off x="3872442" y="30066192"/>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0" name="CuadroTexto 39">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3872442" y="30066192"/>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𝒄𝒕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1</xdr:col>
      <xdr:colOff>35718</xdr:colOff>
      <xdr:row>73</xdr:row>
      <xdr:rowOff>95250</xdr:rowOff>
    </xdr:from>
    <xdr:ext cx="713052" cy="210507"/>
    <mc:AlternateContent xmlns:mc="http://schemas.openxmlformats.org/markup-compatibility/2006" xmlns:a14="http://schemas.microsoft.com/office/drawing/2010/main">
      <mc:Choice Requires="a14">
        <xdr:sp macro="" textlink="">
          <xdr:nvSpPr>
            <xdr:cNvPr id="42" name="CuadroTexto 41">
              <a:extLst>
                <a:ext uri="{FF2B5EF4-FFF2-40B4-BE49-F238E27FC236}">
                  <a16:creationId xmlns:a16="http://schemas.microsoft.com/office/drawing/2014/main" id="{00000000-0008-0000-1900-00002A000000}"/>
                </a:ext>
              </a:extLst>
            </xdr:cNvPr>
            <xdr:cNvSpPr txBox="1"/>
          </xdr:nvSpPr>
          <xdr:spPr>
            <a:xfrm>
              <a:off x="1012031" y="30206156"/>
              <a:ext cx="713052"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𝑵𝒓</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2" name="CuadroTexto 41">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1012031" y="30206156"/>
              <a:ext cx="713052"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𝑵𝒓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8</xdr:col>
      <xdr:colOff>624417</xdr:colOff>
      <xdr:row>73</xdr:row>
      <xdr:rowOff>285751</xdr:rowOff>
    </xdr:from>
    <xdr:ext cx="1524000" cy="210507"/>
    <mc:AlternateContent xmlns:mc="http://schemas.openxmlformats.org/markup-compatibility/2006" xmlns:a14="http://schemas.microsoft.com/office/drawing/2010/main">
      <mc:Choice Requires="a14">
        <xdr:sp macro="" textlink="">
          <xdr:nvSpPr>
            <xdr:cNvPr id="43" name="CuadroTexto 42">
              <a:extLst>
                <a:ext uri="{FF2B5EF4-FFF2-40B4-BE49-F238E27FC236}">
                  <a16:creationId xmlns:a16="http://schemas.microsoft.com/office/drawing/2014/main" id="{00000000-0008-0000-1900-00002B000000}"/>
                </a:ext>
              </a:extLst>
            </xdr:cNvPr>
            <xdr:cNvSpPr txBox="1"/>
          </xdr:nvSpPr>
          <xdr:spPr>
            <a:xfrm>
              <a:off x="9396942" y="30203776"/>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𝑼</m:t>
                  </m:r>
                  <m:r>
                    <a:rPr lang="es-CO" sz="1400" b="1" i="1">
                      <a:latin typeface="Cambria Math" panose="02040503050406030204" pitchFamily="18" charset="0"/>
                      <a:ea typeface="Cambria Math" panose="02040503050406030204" pitchFamily="18" charset="0"/>
                    </a:rPr>
                    <m:t> </m:t>
                  </m:r>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 </m:t>
                  </m:r>
                  <m:r>
                    <a:rPr lang="es-CO" sz="1400" b="1" i="1">
                      <a:latin typeface="Cambria Math" panose="02040503050406030204" pitchFamily="18" charset="0"/>
                      <a:ea typeface="Cambria Math" panose="02040503050406030204" pitchFamily="18" charset="0"/>
                    </a:rPr>
                    <m:t>𝒌</m:t>
                  </m:r>
                  <m:r>
                    <a:rPr lang="es-CO" sz="1400" b="1" i="1">
                      <a:latin typeface="Cambria Math" panose="02040503050406030204" pitchFamily="18" charset="0"/>
                      <a:ea typeface="Cambria Math" panose="02040503050406030204" pitchFamily="18" charset="0"/>
                    </a:rPr>
                    <m:t>=</m:t>
                  </m:r>
                  <m:r>
                    <a:rPr lang="es-CO" sz="1400" b="1" i="1">
                      <a:latin typeface="Cambria Math" panose="02040503050406030204" pitchFamily="18" charset="0"/>
                      <a:ea typeface="Cambria Math" panose="02040503050406030204" pitchFamily="18" charset="0"/>
                    </a:rPr>
                    <m:t>𝟐</m:t>
                  </m:r>
                </m:oMath>
              </a14:m>
              <a:r>
                <a:rPr lang="es-CO" sz="1400" b="1" i="1">
                  <a:latin typeface="Arial" panose="020B0604020202020204" pitchFamily="34" charset="0"/>
                  <a:cs typeface="Arial" panose="020B0604020202020204" pitchFamily="34" charset="0"/>
                </a:rPr>
                <a:t>)</a:t>
              </a:r>
            </a:p>
          </xdr:txBody>
        </xdr:sp>
      </mc:Choice>
      <mc:Fallback xmlns="">
        <xdr:sp macro="" textlink="">
          <xdr:nvSpPr>
            <xdr:cNvPr id="43" name="CuadroTexto 42">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9396942" y="30203776"/>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0">
                  <a:latin typeface="Cambria Math" panose="02040503050406030204" pitchFamily="18" charset="0"/>
                  <a:ea typeface="Cambria Math" panose="02040503050406030204" pitchFamily="18" charset="0"/>
                </a:rPr>
                <a:t>𝑼 </a:t>
              </a:r>
              <a:r>
                <a:rPr lang="es-CO" sz="1400" b="1" i="0">
                  <a:latin typeface="Cambria Math"/>
                  <a:ea typeface="Cambria Math" panose="02040503050406030204" pitchFamily="18" charset="0"/>
                </a:rPr>
                <a:t>(</a:t>
              </a:r>
              <a:r>
                <a:rPr lang="es-CO" sz="1400" b="1" i="0">
                  <a:latin typeface="Cambria Math" panose="02040503050406030204" pitchFamily="18" charset="0"/>
                  <a:ea typeface="Cambria Math" panose="02040503050406030204" pitchFamily="18" charset="0"/>
                </a:rPr>
                <a:t> 𝒎 𝒄𝒕 </a:t>
              </a:r>
              <a:r>
                <a:rPr lang="es-CO" sz="1400" b="1" i="0">
                  <a:latin typeface="Cambria Math"/>
                  <a:ea typeface="Cambria Math" panose="02040503050406030204" pitchFamily="18" charset="0"/>
                </a:rPr>
                <a:t>)</a:t>
              </a:r>
              <a:r>
                <a:rPr lang="es-CO" sz="1400" b="1" i="0">
                  <a:latin typeface="Cambria Math" panose="02040503050406030204" pitchFamily="18" charset="0"/>
                  <a:ea typeface="Cambria Math" panose="02040503050406030204" pitchFamily="18" charset="0"/>
                </a:rPr>
                <a:t>  ( 𝒌=𝟐</a:t>
              </a:r>
              <a:r>
                <a:rPr lang="es-CO" sz="1400" b="1" i="1">
                  <a:latin typeface="Arial" panose="020B0604020202020204" pitchFamily="34" charset="0"/>
                  <a:cs typeface="Arial" panose="020B0604020202020204" pitchFamily="34" charset="0"/>
                </a:rPr>
                <a:t>)</a:t>
              </a:r>
            </a:p>
          </xdr:txBody>
        </xdr:sp>
      </mc:Fallback>
    </mc:AlternateContent>
    <xdr:clientData/>
  </xdr:oneCellAnchor>
  <xdr:oneCellAnchor>
    <xdr:from>
      <xdr:col>9</xdr:col>
      <xdr:colOff>603252</xdr:colOff>
      <xdr:row>74</xdr:row>
      <xdr:rowOff>84667</xdr:rowOff>
    </xdr:from>
    <xdr:ext cx="465666" cy="219163"/>
    <xdr:sp macro="" textlink="">
      <xdr:nvSpPr>
        <xdr:cNvPr id="44" name="CuadroTexto 43">
          <a:extLst>
            <a:ext uri="{FF2B5EF4-FFF2-40B4-BE49-F238E27FC236}">
              <a16:creationId xmlns:a16="http://schemas.microsoft.com/office/drawing/2014/main" id="{00000000-0008-0000-1900-00002C000000}"/>
            </a:ext>
          </a:extLst>
        </xdr:cNvPr>
        <xdr:cNvSpPr txBox="1"/>
      </xdr:nvSpPr>
      <xdr:spPr>
        <a:xfrm>
          <a:off x="10299702" y="30517042"/>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9</xdr:col>
      <xdr:colOff>571499</xdr:colOff>
      <xdr:row>75</xdr:row>
      <xdr:rowOff>116416</xdr:rowOff>
    </xdr:from>
    <xdr:ext cx="359835" cy="219163"/>
    <xdr:sp macro="" textlink="">
      <xdr:nvSpPr>
        <xdr:cNvPr id="45" name="CuadroTexto 44">
          <a:extLst>
            <a:ext uri="{FF2B5EF4-FFF2-40B4-BE49-F238E27FC236}">
              <a16:creationId xmlns:a16="http://schemas.microsoft.com/office/drawing/2014/main" id="{00000000-0008-0000-1900-00002D000000}"/>
            </a:ext>
          </a:extLst>
        </xdr:cNvPr>
        <xdr:cNvSpPr txBox="1"/>
      </xdr:nvSpPr>
      <xdr:spPr>
        <a:xfrm>
          <a:off x="10267949" y="30986941"/>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6</xdr:col>
      <xdr:colOff>275167</xdr:colOff>
      <xdr:row>74</xdr:row>
      <xdr:rowOff>148166</xdr:rowOff>
    </xdr:from>
    <xdr:ext cx="465666" cy="219163"/>
    <xdr:sp macro="" textlink="">
      <xdr:nvSpPr>
        <xdr:cNvPr id="46" name="CuadroTexto 45">
          <a:extLst>
            <a:ext uri="{FF2B5EF4-FFF2-40B4-BE49-F238E27FC236}">
              <a16:creationId xmlns:a16="http://schemas.microsoft.com/office/drawing/2014/main" id="{00000000-0008-0000-1900-00002E000000}"/>
            </a:ext>
          </a:extLst>
        </xdr:cNvPr>
        <xdr:cNvSpPr txBox="1"/>
      </xdr:nvSpPr>
      <xdr:spPr>
        <a:xfrm>
          <a:off x="6371167" y="30580541"/>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6</xdr:col>
      <xdr:colOff>328083</xdr:colOff>
      <xdr:row>75</xdr:row>
      <xdr:rowOff>84667</xdr:rowOff>
    </xdr:from>
    <xdr:ext cx="359835" cy="219163"/>
    <xdr:sp macro="" textlink="">
      <xdr:nvSpPr>
        <xdr:cNvPr id="47" name="CuadroTexto 46">
          <a:extLst>
            <a:ext uri="{FF2B5EF4-FFF2-40B4-BE49-F238E27FC236}">
              <a16:creationId xmlns:a16="http://schemas.microsoft.com/office/drawing/2014/main" id="{00000000-0008-0000-1900-00002F000000}"/>
            </a:ext>
          </a:extLst>
        </xdr:cNvPr>
        <xdr:cNvSpPr txBox="1"/>
      </xdr:nvSpPr>
      <xdr:spPr>
        <a:xfrm>
          <a:off x="6424083" y="30955192"/>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3</xdr:col>
      <xdr:colOff>560916</xdr:colOff>
      <xdr:row>72</xdr:row>
      <xdr:rowOff>74084</xdr:rowOff>
    </xdr:from>
    <xdr:ext cx="1524000" cy="210507"/>
    <mc:AlternateContent xmlns:mc="http://schemas.openxmlformats.org/markup-compatibility/2006" xmlns:a14="http://schemas.microsoft.com/office/drawing/2010/main">
      <mc:Choice Requires="a14">
        <xdr:sp macro="" textlink="">
          <xdr:nvSpPr>
            <xdr:cNvPr id="48" name="CuadroTexto 47">
              <a:extLst>
                <a:ext uri="{FF2B5EF4-FFF2-40B4-BE49-F238E27FC236}">
                  <a16:creationId xmlns:a16="http://schemas.microsoft.com/office/drawing/2014/main" id="{00000000-0008-0000-1900-000030000000}"/>
                </a:ext>
              </a:extLst>
            </xdr:cNvPr>
            <xdr:cNvSpPr txBox="1"/>
          </xdr:nvSpPr>
          <xdr:spPr>
            <a:xfrm>
              <a:off x="3246966" y="29553959"/>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m:t>
                    </m:r>
                  </m:oMath>
                </m:oMathPara>
              </a14:m>
              <a:endParaRPr lang="es-CO" sz="1400" b="1" i="1">
                <a:latin typeface="Arial" panose="020B0604020202020204" pitchFamily="34" charset="0"/>
                <a:cs typeface="Arial" panose="020B0604020202020204" pitchFamily="34" charset="0"/>
              </a:endParaRPr>
            </a:p>
          </xdr:txBody>
        </xdr:sp>
      </mc:Choice>
      <mc:Fallback xmlns="">
        <xdr:sp macro="" textlink="">
          <xdr:nvSpPr>
            <xdr:cNvPr id="48" name="CuadroTexto 47">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3246966" y="29553959"/>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 𝒎 𝒄𝒕 )   </a:t>
              </a:r>
              <a:endParaRPr lang="es-CO" sz="1400" b="1" i="1">
                <a:latin typeface="Arial" panose="020B0604020202020204" pitchFamily="34" charset="0"/>
                <a:cs typeface="Arial" panose="020B0604020202020204" pitchFamily="34" charset="0"/>
              </a:endParaRPr>
            </a:p>
          </xdr:txBody>
        </xdr:sp>
      </mc:Fallback>
    </mc:AlternateContent>
    <xdr:clientData/>
  </xdr:oneCellAnchor>
  <xdr:oneCellAnchor>
    <xdr:from>
      <xdr:col>7</xdr:col>
      <xdr:colOff>411956</xdr:colOff>
      <xdr:row>71</xdr:row>
      <xdr:rowOff>406003</xdr:rowOff>
    </xdr:from>
    <xdr:ext cx="65" cy="172227"/>
    <xdr:sp macro="" textlink="">
      <xdr:nvSpPr>
        <xdr:cNvPr id="49" name="CuadroTexto 48">
          <a:extLst>
            <a:ext uri="{FF2B5EF4-FFF2-40B4-BE49-F238E27FC236}">
              <a16:creationId xmlns:a16="http://schemas.microsoft.com/office/drawing/2014/main" id="{00000000-0008-0000-1900-000031000000}"/>
            </a:ext>
          </a:extLst>
        </xdr:cNvPr>
        <xdr:cNvSpPr txBox="1"/>
      </xdr:nvSpPr>
      <xdr:spPr>
        <a:xfrm>
          <a:off x="7555706" y="29457253"/>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51" name="CuadroTexto 50">
              <a:extLst>
                <a:ext uri="{FF2B5EF4-FFF2-40B4-BE49-F238E27FC236}">
                  <a16:creationId xmlns:a16="http://schemas.microsoft.com/office/drawing/2014/main" id="{00000000-0008-0000-1900-000033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51" name="CuadroTexto 50">
              <a:extLst>
                <a:ext uri="{FF2B5EF4-FFF2-40B4-BE49-F238E27FC236}">
                  <a16:creationId xmlns:a16="http://schemas.microsoft.com/office/drawing/2014/main" id="{4E7F27F0-3C29-43AA-BA91-4E9647B75CB4}"/>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52" name="CuadroTexto 51">
              <a:extLst>
                <a:ext uri="{FF2B5EF4-FFF2-40B4-BE49-F238E27FC236}">
                  <a16:creationId xmlns:a16="http://schemas.microsoft.com/office/drawing/2014/main" id="{00000000-0008-0000-1900-000034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52" name="CuadroTexto 51">
              <a:extLst>
                <a:ext uri="{FF2B5EF4-FFF2-40B4-BE49-F238E27FC236}">
                  <a16:creationId xmlns:a16="http://schemas.microsoft.com/office/drawing/2014/main" id="{A4520B41-3988-4362-AAC5-9E8AFA4AFCBA}"/>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twoCellAnchor>
    <xdr:from>
      <xdr:col>7</xdr:col>
      <xdr:colOff>817563</xdr:colOff>
      <xdr:row>62</xdr:row>
      <xdr:rowOff>261938</xdr:rowOff>
    </xdr:from>
    <xdr:to>
      <xdr:col>11</xdr:col>
      <xdr:colOff>754062</xdr:colOff>
      <xdr:row>64</xdr:row>
      <xdr:rowOff>531813</xdr:rowOff>
    </xdr:to>
    <xdr:graphicFrame macro="">
      <xdr:nvGraphicFramePr>
        <xdr:cNvPr id="53" name="Gráfico 52">
          <a:extLst>
            <a:ext uri="{FF2B5EF4-FFF2-40B4-BE49-F238E27FC236}">
              <a16:creationId xmlns:a16="http://schemas.microsoft.com/office/drawing/2014/main" id="{00000000-0008-0000-1900-00003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238125</xdr:colOff>
      <xdr:row>0</xdr:row>
      <xdr:rowOff>59531</xdr:rowOff>
    </xdr:from>
    <xdr:to>
      <xdr:col>1</xdr:col>
      <xdr:colOff>637398</xdr:colOff>
      <xdr:row>0</xdr:row>
      <xdr:rowOff>702468</xdr:rowOff>
    </xdr:to>
    <xdr:pic>
      <xdr:nvPicPr>
        <xdr:cNvPr id="54" name="53 Imagen">
          <a:extLst>
            <a:ext uri="{FF2B5EF4-FFF2-40B4-BE49-F238E27FC236}">
              <a16:creationId xmlns:a16="http://schemas.microsoft.com/office/drawing/2014/main" id="{00000000-0008-0000-1900-000036000000}"/>
            </a:ext>
          </a:extLst>
        </xdr:cNvPr>
        <xdr:cNvPicPr>
          <a:picLocks noChangeAspect="1"/>
        </xdr:cNvPicPr>
      </xdr:nvPicPr>
      <xdr:blipFill>
        <a:blip xmlns:r="http://schemas.openxmlformats.org/officeDocument/2006/relationships" r:embed="rId2"/>
        <a:stretch>
          <a:fillRect/>
        </a:stretch>
      </xdr:blipFill>
      <xdr:spPr>
        <a:xfrm>
          <a:off x="238125" y="59531"/>
          <a:ext cx="1375586" cy="642937"/>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oneCellAnchor>
    <xdr:from>
      <xdr:col>1</xdr:col>
      <xdr:colOff>285935</xdr:colOff>
      <xdr:row>42</xdr:row>
      <xdr:rowOff>169517</xdr:rowOff>
    </xdr:from>
    <xdr:ext cx="177356" cy="176202"/>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00000000-0008-0000-1A00-000003000000}"/>
                </a:ext>
              </a:extLst>
            </xdr:cNvPr>
            <xdr:cNvSpPr txBox="1"/>
          </xdr:nvSpPr>
          <xdr:spPr>
            <a:xfrm>
              <a:off x="1124135" y="14980892"/>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bg1"/>
                            </a:solidFill>
                            <a:latin typeface="Cambria Math" panose="02040503050406030204" pitchFamily="18" charset="0"/>
                          </a:rPr>
                        </m:ctrlPr>
                      </m:accPr>
                      <m:e>
                        <m:r>
                          <a:rPr lang="es-CO" sz="1100" b="1" i="1">
                            <a:solidFill>
                              <a:schemeClr val="bg1"/>
                            </a:solidFill>
                            <a:latin typeface="Cambria Math" panose="02040503050406030204" pitchFamily="18" charset="0"/>
                            <a:ea typeface="Cambria Math" panose="02040503050406030204" pitchFamily="18" charset="0"/>
                          </a:rPr>
                          <m:t>∆</m:t>
                        </m:r>
                        <m:r>
                          <a:rPr lang="es-CO" sz="1100" b="1" i="1">
                            <a:solidFill>
                              <a:schemeClr val="bg1"/>
                            </a:solidFill>
                            <a:latin typeface="Cambria Math" panose="02040503050406030204" pitchFamily="18" charset="0"/>
                            <a:ea typeface="Cambria Math" panose="02040503050406030204" pitchFamily="18" charset="0"/>
                          </a:rPr>
                          <m:t>𝑰</m:t>
                        </m:r>
                      </m:e>
                    </m:acc>
                  </m:oMath>
                </m:oMathPara>
              </a14:m>
              <a:endParaRPr lang="es-CO" sz="1100" b="1">
                <a:solidFill>
                  <a:schemeClr val="bg1"/>
                </a:solidFill>
              </a:endParaRPr>
            </a:p>
          </xdr:txBody>
        </xdr:sp>
      </mc:Choice>
      <mc:Fallback xmlns="">
        <xdr:sp macro="" textlink="">
          <xdr:nvSpPr>
            <xdr:cNvPr id="3" name="CuadroTexto 2">
              <a:extLst>
                <a:ext uri="{FF2B5EF4-FFF2-40B4-BE49-F238E27FC236}">
                  <a16:creationId xmlns="" xmlns:a16="http://schemas.microsoft.com/office/drawing/2014/main" xmlns:a14="http://schemas.microsoft.com/office/drawing/2010/main" id="{00000000-0008-0000-1000-000003000000}"/>
                </a:ext>
              </a:extLst>
            </xdr:cNvPr>
            <xdr:cNvSpPr txBox="1"/>
          </xdr:nvSpPr>
          <xdr:spPr>
            <a:xfrm>
              <a:off x="1124135" y="14980892"/>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bg1"/>
                  </a:solidFill>
                  <a:latin typeface="Cambria Math" panose="02040503050406030204" pitchFamily="18" charset="0"/>
                </a:rPr>
                <a:t>(</a:t>
              </a:r>
              <a:r>
                <a:rPr lang="es-CO" sz="1100" b="1" i="0">
                  <a:solidFill>
                    <a:schemeClr val="bg1"/>
                  </a:solidFill>
                  <a:latin typeface="Cambria Math" panose="02040503050406030204" pitchFamily="18" charset="0"/>
                  <a:ea typeface="Cambria Math" panose="02040503050406030204" pitchFamily="18" charset="0"/>
                </a:rPr>
                <a:t>∆𝑰) ̅</a:t>
              </a:r>
              <a:endParaRPr lang="es-CO" sz="1100" b="1">
                <a:solidFill>
                  <a:schemeClr val="bg1"/>
                </a:solidFill>
              </a:endParaRPr>
            </a:p>
          </xdr:txBody>
        </xdr:sp>
      </mc:Fallback>
    </mc:AlternateContent>
    <xdr:clientData/>
  </xdr:oneCellAnchor>
  <xdr:oneCellAnchor>
    <xdr:from>
      <xdr:col>1</xdr:col>
      <xdr:colOff>136732</xdr:colOff>
      <xdr:row>58</xdr:row>
      <xdr:rowOff>253032</xdr:rowOff>
    </xdr:from>
    <xdr:ext cx="599716" cy="172227"/>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id="{00000000-0008-0000-1A00-000004000000}"/>
                </a:ext>
              </a:extLst>
            </xdr:cNvPr>
            <xdr:cNvSpPr txBox="1"/>
          </xdr:nvSpPr>
          <xdr:spPr>
            <a:xfrm>
              <a:off x="974932" y="20779407"/>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𝒘</m:t>
                        </m:r>
                      </m:sub>
                    </m:sSub>
                    <m:r>
                      <a:rPr lang="es-CO" sz="1100" b="1" i="1">
                        <a:latin typeface="Cambria Math" panose="02040503050406030204" pitchFamily="18" charset="0"/>
                      </a:rPr>
                      <m:t>(</m:t>
                    </m:r>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4" name="CuadroTexto 3">
              <a:extLst>
                <a:ext uri="{FF2B5EF4-FFF2-40B4-BE49-F238E27FC236}">
                  <a16:creationId xmlns="" xmlns:a16="http://schemas.microsoft.com/office/drawing/2014/main" xmlns:a14="http://schemas.microsoft.com/office/drawing/2010/main" id="{00000000-0008-0000-1000-000004000000}"/>
                </a:ext>
              </a:extLst>
            </xdr:cNvPr>
            <xdr:cNvSpPr txBox="1"/>
          </xdr:nvSpPr>
          <xdr:spPr>
            <a:xfrm>
              <a:off x="974932" y="20779407"/>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𝒖_𝒘 (</a:t>
              </a: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1</xdr:col>
      <xdr:colOff>202651</xdr:colOff>
      <xdr:row>61</xdr:row>
      <xdr:rowOff>265287</xdr:rowOff>
    </xdr:from>
    <xdr:ext cx="483915" cy="172227"/>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id="{00000000-0008-0000-1A00-000005000000}"/>
                </a:ext>
              </a:extLst>
            </xdr:cNvPr>
            <xdr:cNvSpPr txBox="1"/>
          </xdr:nvSpPr>
          <xdr:spPr>
            <a:xfrm>
              <a:off x="1040851" y="2299193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5" name="CuadroTexto 4">
              <a:extLst>
                <a:ext uri="{FF2B5EF4-FFF2-40B4-BE49-F238E27FC236}">
                  <a16:creationId xmlns="" xmlns:a16="http://schemas.microsoft.com/office/drawing/2014/main" xmlns:a14="http://schemas.microsoft.com/office/drawing/2010/main" id="{00000000-0008-0000-1000-000005000000}"/>
                </a:ext>
              </a:extLst>
            </xdr:cNvPr>
            <xdr:cNvSpPr txBox="1"/>
          </xdr:nvSpPr>
          <xdr:spPr>
            <a:xfrm>
              <a:off x="1040851" y="2299193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𝒖(𝒎_𝒄𝒓)</a:t>
              </a:r>
              <a:endParaRPr lang="es-CO" sz="1100" b="1"/>
            </a:p>
          </xdr:txBody>
        </xdr:sp>
      </mc:Fallback>
    </mc:AlternateContent>
    <xdr:clientData/>
  </xdr:oneCellAnchor>
  <xdr:oneCellAnchor>
    <xdr:from>
      <xdr:col>1</xdr:col>
      <xdr:colOff>34166</xdr:colOff>
      <xdr:row>60</xdr:row>
      <xdr:rowOff>250203</xdr:rowOff>
    </xdr:from>
    <xdr:ext cx="689483" cy="172227"/>
    <mc:AlternateContent xmlns:mc="http://schemas.openxmlformats.org/markup-compatibility/2006" xmlns:a14="http://schemas.microsoft.com/office/drawing/2010/main">
      <mc:Choice Requires="a14">
        <xdr:sp macro="" textlink="">
          <xdr:nvSpPr>
            <xdr:cNvPr id="6" name="CuadroTexto 5">
              <a:extLst>
                <a:ext uri="{FF2B5EF4-FFF2-40B4-BE49-F238E27FC236}">
                  <a16:creationId xmlns:a16="http://schemas.microsoft.com/office/drawing/2014/main" id="{00000000-0008-0000-1A00-000006000000}"/>
                </a:ext>
              </a:extLst>
            </xdr:cNvPr>
            <xdr:cNvSpPr txBox="1"/>
          </xdr:nvSpPr>
          <xdr:spPr>
            <a:xfrm>
              <a:off x="872366" y="22243428"/>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𝒊𝒏𝒔𝒕</m:t>
                        </m:r>
                      </m:sub>
                    </m:sSub>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0" i="1">
                        <a:latin typeface="Cambria Math" panose="02040503050406030204" pitchFamily="18" charset="0"/>
                      </a:rPr>
                      <m:t>)</m:t>
                    </m:r>
                  </m:oMath>
                </m:oMathPara>
              </a14:m>
              <a:endParaRPr lang="es-CO" sz="1100"/>
            </a:p>
          </xdr:txBody>
        </xdr:sp>
      </mc:Choice>
      <mc:Fallback xmlns="">
        <xdr:sp macro="" textlink="">
          <xdr:nvSpPr>
            <xdr:cNvPr id="6" name="CuadroTexto 5">
              <a:extLst>
                <a:ext uri="{FF2B5EF4-FFF2-40B4-BE49-F238E27FC236}">
                  <a16:creationId xmlns="" xmlns:a16="http://schemas.microsoft.com/office/drawing/2014/main" xmlns:a14="http://schemas.microsoft.com/office/drawing/2010/main" id="{00000000-0008-0000-1000-000006000000}"/>
                </a:ext>
              </a:extLst>
            </xdr:cNvPr>
            <xdr:cNvSpPr txBox="1"/>
          </xdr:nvSpPr>
          <xdr:spPr>
            <a:xfrm>
              <a:off x="872366" y="22243428"/>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𝒖_𝒊𝒏𝒔𝒕 (𝒎_𝒄𝒓</a:t>
              </a:r>
              <a:r>
                <a:rPr lang="es-CO" sz="1100" b="0" i="0">
                  <a:latin typeface="Cambria Math" panose="02040503050406030204" pitchFamily="18" charset="0"/>
                </a:rPr>
                <a:t>)</a:t>
              </a:r>
              <a:endParaRPr lang="es-CO" sz="1100"/>
            </a:p>
          </xdr:txBody>
        </xdr:sp>
      </mc:Fallback>
    </mc:AlternateContent>
    <xdr:clientData/>
  </xdr:oneCellAnchor>
  <xdr:oneCellAnchor>
    <xdr:from>
      <xdr:col>1</xdr:col>
      <xdr:colOff>183870</xdr:colOff>
      <xdr:row>62</xdr:row>
      <xdr:rowOff>264645</xdr:rowOff>
    </xdr:from>
    <xdr:ext cx="397353" cy="172227"/>
    <mc:AlternateContent xmlns:mc="http://schemas.openxmlformats.org/markup-compatibility/2006" xmlns:a14="http://schemas.microsoft.com/office/drawing/2010/main">
      <mc:Choice Requires="a14">
        <xdr:sp macro="" textlink="">
          <xdr:nvSpPr>
            <xdr:cNvPr id="7" name="CuadroTexto 6">
              <a:extLst>
                <a:ext uri="{FF2B5EF4-FFF2-40B4-BE49-F238E27FC236}">
                  <a16:creationId xmlns:a16="http://schemas.microsoft.com/office/drawing/2014/main" id="{00000000-0008-0000-1A00-000007000000}"/>
                </a:ext>
              </a:extLst>
            </xdr:cNvPr>
            <xdr:cNvSpPr txBox="1"/>
          </xdr:nvSpPr>
          <xdr:spPr>
            <a:xfrm>
              <a:off x="1022070" y="23724720"/>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𝒂</m:t>
                        </m:r>
                      </m:sub>
                    </m:sSub>
                    <m:r>
                      <a:rPr lang="es-CO" sz="1100" b="1" i="1">
                        <a:latin typeface="Cambria Math" panose="02040503050406030204" pitchFamily="18" charset="0"/>
                      </a:rPr>
                      <m:t>)</m:t>
                    </m:r>
                  </m:oMath>
                </m:oMathPara>
              </a14:m>
              <a:endParaRPr lang="es-CO" sz="1100" b="1"/>
            </a:p>
          </xdr:txBody>
        </xdr:sp>
      </mc:Choice>
      <mc:Fallback xmlns="">
        <xdr:sp macro="" textlink="">
          <xdr:nvSpPr>
            <xdr:cNvPr id="7" name="CuadroTexto 6">
              <a:extLst>
                <a:ext uri="{FF2B5EF4-FFF2-40B4-BE49-F238E27FC236}">
                  <a16:creationId xmlns="" xmlns:a16="http://schemas.microsoft.com/office/drawing/2014/main" xmlns:a14="http://schemas.microsoft.com/office/drawing/2010/main" id="{00000000-0008-0000-1000-000007000000}"/>
                </a:ext>
              </a:extLst>
            </xdr:cNvPr>
            <xdr:cNvSpPr txBox="1"/>
          </xdr:nvSpPr>
          <xdr:spPr>
            <a:xfrm>
              <a:off x="1022070" y="23724720"/>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𝒂)</a:t>
              </a:r>
              <a:endParaRPr lang="es-CO" sz="1100" b="1"/>
            </a:p>
          </xdr:txBody>
        </xdr:sp>
      </mc:Fallback>
    </mc:AlternateContent>
    <xdr:clientData/>
  </xdr:oneCellAnchor>
  <xdr:oneCellAnchor>
    <xdr:from>
      <xdr:col>1</xdr:col>
      <xdr:colOff>186298</xdr:colOff>
      <xdr:row>63</xdr:row>
      <xdr:rowOff>266606</xdr:rowOff>
    </xdr:from>
    <xdr:ext cx="376642" cy="172227"/>
    <mc:AlternateContent xmlns:mc="http://schemas.openxmlformats.org/markup-compatibility/2006" xmlns:a14="http://schemas.microsoft.com/office/drawing/2010/main">
      <mc:Choice Requires="a14">
        <xdr:sp macro="" textlink="">
          <xdr:nvSpPr>
            <xdr:cNvPr id="8" name="CuadroTexto 7">
              <a:extLst>
                <a:ext uri="{FF2B5EF4-FFF2-40B4-BE49-F238E27FC236}">
                  <a16:creationId xmlns:a16="http://schemas.microsoft.com/office/drawing/2014/main" id="{00000000-0008-0000-1A00-000008000000}"/>
                </a:ext>
              </a:extLst>
            </xdr:cNvPr>
            <xdr:cNvSpPr txBox="1"/>
          </xdr:nvSpPr>
          <xdr:spPr>
            <a:xfrm>
              <a:off x="1024498" y="244601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𝒕</m:t>
                        </m:r>
                      </m:sub>
                    </m:sSub>
                    <m:r>
                      <a:rPr lang="es-CO" sz="1100" b="1" i="1">
                        <a:latin typeface="Cambria Math" panose="02040503050406030204" pitchFamily="18" charset="0"/>
                      </a:rPr>
                      <m:t>)</m:t>
                    </m:r>
                  </m:oMath>
                </m:oMathPara>
              </a14:m>
              <a:endParaRPr lang="es-CO" sz="1100" b="1"/>
            </a:p>
          </xdr:txBody>
        </xdr:sp>
      </mc:Choice>
      <mc:Fallback xmlns="">
        <xdr:sp macro="" textlink="">
          <xdr:nvSpPr>
            <xdr:cNvPr id="8" name="CuadroTexto 7">
              <a:extLst>
                <a:ext uri="{FF2B5EF4-FFF2-40B4-BE49-F238E27FC236}">
                  <a16:creationId xmlns="" xmlns:a16="http://schemas.microsoft.com/office/drawing/2014/main" xmlns:a14="http://schemas.microsoft.com/office/drawing/2010/main" id="{00000000-0008-0000-1000-000008000000}"/>
                </a:ext>
              </a:extLst>
            </xdr:cNvPr>
            <xdr:cNvSpPr txBox="1"/>
          </xdr:nvSpPr>
          <xdr:spPr>
            <a:xfrm>
              <a:off x="1024498" y="244601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𝒕)</a:t>
              </a:r>
              <a:endParaRPr lang="es-CO" sz="1100" b="1"/>
            </a:p>
          </xdr:txBody>
        </xdr:sp>
      </mc:Fallback>
    </mc:AlternateContent>
    <xdr:clientData/>
  </xdr:oneCellAnchor>
  <xdr:oneCellAnchor>
    <xdr:from>
      <xdr:col>1</xdr:col>
      <xdr:colOff>186298</xdr:colOff>
      <xdr:row>64</xdr:row>
      <xdr:rowOff>222250</xdr:rowOff>
    </xdr:from>
    <xdr:ext cx="388696" cy="172227"/>
    <mc:AlternateContent xmlns:mc="http://schemas.openxmlformats.org/markup-compatibility/2006" xmlns:a14="http://schemas.microsoft.com/office/drawing/2010/main">
      <mc:Choice Requires="a14">
        <xdr:sp macro="" textlink="">
          <xdr:nvSpPr>
            <xdr:cNvPr id="9" name="CuadroTexto 8">
              <a:extLst>
                <a:ext uri="{FF2B5EF4-FFF2-40B4-BE49-F238E27FC236}">
                  <a16:creationId xmlns:a16="http://schemas.microsoft.com/office/drawing/2014/main" id="{00000000-0008-0000-1A00-000009000000}"/>
                </a:ext>
              </a:extLst>
            </xdr:cNvPr>
            <xdr:cNvSpPr txBox="1"/>
          </xdr:nvSpPr>
          <xdr:spPr>
            <a:xfrm>
              <a:off x="1024498" y="25149175"/>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9" name="CuadroTexto 8">
              <a:extLst>
                <a:ext uri="{FF2B5EF4-FFF2-40B4-BE49-F238E27FC236}">
                  <a16:creationId xmlns="" xmlns:a16="http://schemas.microsoft.com/office/drawing/2014/main" xmlns:a14="http://schemas.microsoft.com/office/drawing/2010/main" id="{00000000-0008-0000-1000-000009000000}"/>
                </a:ext>
              </a:extLst>
            </xdr:cNvPr>
            <xdr:cNvSpPr txBox="1"/>
          </xdr:nvSpPr>
          <xdr:spPr>
            <a:xfrm>
              <a:off x="1024498" y="25149175"/>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𝒓)</a:t>
              </a:r>
              <a:endParaRPr lang="es-CO" sz="1100" b="1"/>
            </a:p>
          </xdr:txBody>
        </xdr:sp>
      </mc:Fallback>
    </mc:AlternateContent>
    <xdr:clientData/>
  </xdr:oneCellAnchor>
  <xdr:oneCellAnchor>
    <xdr:from>
      <xdr:col>1</xdr:col>
      <xdr:colOff>265579</xdr:colOff>
      <xdr:row>65</xdr:row>
      <xdr:rowOff>288458</xdr:rowOff>
    </xdr:from>
    <xdr:ext cx="191271" cy="172227"/>
    <mc:AlternateContent xmlns:mc="http://schemas.openxmlformats.org/markup-compatibility/2006" xmlns:a14="http://schemas.microsoft.com/office/drawing/2010/main">
      <mc:Choice Requires="a14">
        <xdr:sp macro="" textlink="">
          <xdr:nvSpPr>
            <xdr:cNvPr id="10" name="CuadroTexto 9">
              <a:extLst>
                <a:ext uri="{FF2B5EF4-FFF2-40B4-BE49-F238E27FC236}">
                  <a16:creationId xmlns:a16="http://schemas.microsoft.com/office/drawing/2014/main" id="{00000000-0008-0000-1A00-00000A000000}"/>
                </a:ext>
              </a:extLst>
            </xdr:cNvPr>
            <xdr:cNvSpPr txBox="1"/>
          </xdr:nvSpPr>
          <xdr:spPr>
            <a:xfrm>
              <a:off x="1103779" y="2594880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𝒃</m:t>
                        </m:r>
                      </m:sub>
                    </m:sSub>
                  </m:oMath>
                </m:oMathPara>
              </a14:m>
              <a:endParaRPr lang="es-CO" sz="1100" b="1"/>
            </a:p>
          </xdr:txBody>
        </xdr:sp>
      </mc:Choice>
      <mc:Fallback xmlns="">
        <xdr:sp macro="" textlink="">
          <xdr:nvSpPr>
            <xdr:cNvPr id="10" name="CuadroTexto 9">
              <a:extLst>
                <a:ext uri="{FF2B5EF4-FFF2-40B4-BE49-F238E27FC236}">
                  <a16:creationId xmlns="" xmlns:a16="http://schemas.microsoft.com/office/drawing/2014/main" xmlns:a14="http://schemas.microsoft.com/office/drawing/2010/main" id="{00000000-0008-0000-1000-00000A000000}"/>
                </a:ext>
              </a:extLst>
            </xdr:cNvPr>
            <xdr:cNvSpPr txBox="1"/>
          </xdr:nvSpPr>
          <xdr:spPr>
            <a:xfrm>
              <a:off x="1103779" y="2594880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𝒖_𝒃</a:t>
              </a:r>
              <a:endParaRPr lang="es-CO" sz="1100" b="1"/>
            </a:p>
          </xdr:txBody>
        </xdr:sp>
      </mc:Fallback>
    </mc:AlternateContent>
    <xdr:clientData/>
  </xdr:oneCellAnchor>
  <xdr:oneCellAnchor>
    <xdr:from>
      <xdr:col>1</xdr:col>
      <xdr:colOff>261391</xdr:colOff>
      <xdr:row>66</xdr:row>
      <xdr:rowOff>294234</xdr:rowOff>
    </xdr:from>
    <xdr:ext cx="195053" cy="172227"/>
    <mc:AlternateContent xmlns:mc="http://schemas.openxmlformats.org/markup-compatibility/2006" xmlns:a14="http://schemas.microsoft.com/office/drawing/2010/main">
      <mc:Choice Requires="a14">
        <xdr:sp macro="" textlink="">
          <xdr:nvSpPr>
            <xdr:cNvPr id="11" name="CuadroTexto 10">
              <a:extLst>
                <a:ext uri="{FF2B5EF4-FFF2-40B4-BE49-F238E27FC236}">
                  <a16:creationId xmlns:a16="http://schemas.microsoft.com/office/drawing/2014/main" id="{00000000-0008-0000-1A00-00000B000000}"/>
                </a:ext>
              </a:extLst>
            </xdr:cNvPr>
            <xdr:cNvSpPr txBox="1"/>
          </xdr:nvSpPr>
          <xdr:spPr>
            <a:xfrm>
              <a:off x="1099591" y="26688009"/>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𝒅</m:t>
                        </m:r>
                      </m:sub>
                    </m:sSub>
                  </m:oMath>
                </m:oMathPara>
              </a14:m>
              <a:endParaRPr lang="es-CO" sz="1100" b="1"/>
            </a:p>
          </xdr:txBody>
        </xdr:sp>
      </mc:Choice>
      <mc:Fallback xmlns="">
        <xdr:sp macro="" textlink="">
          <xdr:nvSpPr>
            <xdr:cNvPr id="11" name="CuadroTexto 10">
              <a:extLst>
                <a:ext uri="{FF2B5EF4-FFF2-40B4-BE49-F238E27FC236}">
                  <a16:creationId xmlns="" xmlns:a16="http://schemas.microsoft.com/office/drawing/2014/main" xmlns:a14="http://schemas.microsoft.com/office/drawing/2010/main" id="{00000000-0008-0000-1000-00000B000000}"/>
                </a:ext>
              </a:extLst>
            </xdr:cNvPr>
            <xdr:cNvSpPr txBox="1"/>
          </xdr:nvSpPr>
          <xdr:spPr>
            <a:xfrm>
              <a:off x="1099591" y="26688009"/>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𝒖_𝒅</a:t>
              </a:r>
              <a:endParaRPr lang="es-CO" sz="1100" b="1"/>
            </a:p>
          </xdr:txBody>
        </xdr:sp>
      </mc:Fallback>
    </mc:AlternateContent>
    <xdr:clientData/>
  </xdr:oneCellAnchor>
  <xdr:oneCellAnchor>
    <xdr:from>
      <xdr:col>5</xdr:col>
      <xdr:colOff>393571</xdr:colOff>
      <xdr:row>69</xdr:row>
      <xdr:rowOff>265119</xdr:rowOff>
    </xdr:from>
    <xdr:ext cx="529697" cy="172227"/>
    <mc:AlternateContent xmlns:mc="http://schemas.openxmlformats.org/markup-compatibility/2006" xmlns:a14="http://schemas.microsoft.com/office/drawing/2010/main">
      <mc:Choice Requires="a14">
        <xdr:sp macro="" textlink="">
          <xdr:nvSpPr>
            <xdr:cNvPr id="12" name="CuadroTexto 11">
              <a:extLst>
                <a:ext uri="{FF2B5EF4-FFF2-40B4-BE49-F238E27FC236}">
                  <a16:creationId xmlns:a16="http://schemas.microsoft.com/office/drawing/2014/main" id="{00000000-0008-0000-1A00-00000C000000}"/>
                </a:ext>
              </a:extLst>
            </xdr:cNvPr>
            <xdr:cNvSpPr txBox="1"/>
          </xdr:nvSpPr>
          <xdr:spPr>
            <a:xfrm>
              <a:off x="5251321" y="28220994"/>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𝒄</m:t>
                        </m:r>
                      </m:sub>
                    </m:sSub>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12" name="CuadroTexto 11">
              <a:extLst>
                <a:ext uri="{FF2B5EF4-FFF2-40B4-BE49-F238E27FC236}">
                  <a16:creationId xmlns="" xmlns:a16="http://schemas.microsoft.com/office/drawing/2014/main" xmlns:a14="http://schemas.microsoft.com/office/drawing/2010/main" id="{00000000-0008-0000-1000-00000C000000}"/>
                </a:ext>
              </a:extLst>
            </xdr:cNvPr>
            <xdr:cNvSpPr txBox="1"/>
          </xdr:nvSpPr>
          <xdr:spPr>
            <a:xfrm>
              <a:off x="5251321" y="28220994"/>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𝒖_𝒄 (</a:t>
              </a:r>
              <a:r>
                <a:rPr lang="es-CO" sz="1100" b="1" i="0">
                  <a:latin typeface="Cambria Math" panose="02040503050406030204" pitchFamily="18" charset="0"/>
                  <a:ea typeface="Cambria Math" panose="02040503050406030204" pitchFamily="18" charset="0"/>
                </a:rPr>
                <a:t>𝒎_𝒄𝒕)</a:t>
              </a:r>
              <a:endParaRPr lang="es-CO" sz="1100" b="1"/>
            </a:p>
          </xdr:txBody>
        </xdr:sp>
      </mc:Fallback>
    </mc:AlternateContent>
    <xdr:clientData/>
  </xdr:oneCellAnchor>
  <xdr:oneCellAnchor>
    <xdr:from>
      <xdr:col>5</xdr:col>
      <xdr:colOff>243965</xdr:colOff>
      <xdr:row>70</xdr:row>
      <xdr:rowOff>130277</xdr:rowOff>
    </xdr:from>
    <xdr:ext cx="780598" cy="172227"/>
    <mc:AlternateContent xmlns:mc="http://schemas.openxmlformats.org/markup-compatibility/2006" xmlns:a14="http://schemas.microsoft.com/office/drawing/2010/main">
      <mc:Choice Requires="a14">
        <xdr:sp macro="" textlink="">
          <xdr:nvSpPr>
            <xdr:cNvPr id="13" name="CuadroTexto 12">
              <a:extLst>
                <a:ext uri="{FF2B5EF4-FFF2-40B4-BE49-F238E27FC236}">
                  <a16:creationId xmlns:a16="http://schemas.microsoft.com/office/drawing/2014/main" id="{00000000-0008-0000-1A00-00000D000000}"/>
                </a:ext>
              </a:extLst>
            </xdr:cNvPr>
            <xdr:cNvSpPr txBox="1"/>
          </xdr:nvSpPr>
          <xdr:spPr>
            <a:xfrm>
              <a:off x="5101715" y="2874337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100" b="1" i="1">
                      <a:latin typeface="Cambria Math" panose="02040503050406030204" pitchFamily="18" charset="0"/>
                    </a:rPr>
                    <m:t>𝑼</m:t>
                  </m:r>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a14:m>
              <a:r>
                <a:rPr lang="es-CO" sz="1100" b="1"/>
                <a:t> (k=2)</a:t>
              </a:r>
            </a:p>
          </xdr:txBody>
        </xdr:sp>
      </mc:Choice>
      <mc:Fallback xmlns="">
        <xdr:sp macro="" textlink="">
          <xdr:nvSpPr>
            <xdr:cNvPr id="13" name="CuadroTexto 12">
              <a:extLst>
                <a:ext uri="{FF2B5EF4-FFF2-40B4-BE49-F238E27FC236}">
                  <a16:creationId xmlns="" xmlns:a16="http://schemas.microsoft.com/office/drawing/2014/main" xmlns:a14="http://schemas.microsoft.com/office/drawing/2010/main" id="{00000000-0008-0000-1000-00000D000000}"/>
                </a:ext>
              </a:extLst>
            </xdr:cNvPr>
            <xdr:cNvSpPr txBox="1"/>
          </xdr:nvSpPr>
          <xdr:spPr>
            <a:xfrm>
              <a:off x="5101715" y="2874337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100" b="1" i="0">
                  <a:latin typeface="Cambria Math" panose="02040503050406030204" pitchFamily="18" charset="0"/>
                </a:rPr>
                <a:t>𝑼(</a:t>
              </a:r>
              <a:r>
                <a:rPr lang="es-CO" sz="1100" b="1" i="0">
                  <a:latin typeface="Cambria Math" panose="02040503050406030204" pitchFamily="18" charset="0"/>
                  <a:ea typeface="Cambria Math" panose="02040503050406030204" pitchFamily="18" charset="0"/>
                </a:rPr>
                <a:t>𝒎_𝒄𝒕)</a:t>
              </a:r>
              <a:r>
                <a:rPr lang="es-CO" sz="1100" b="1"/>
                <a:t> (k=2)</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14" name="CuadroTexto 13">
              <a:extLst>
                <a:ext uri="{FF2B5EF4-FFF2-40B4-BE49-F238E27FC236}">
                  <a16:creationId xmlns:a16="http://schemas.microsoft.com/office/drawing/2014/main" id="{00000000-0008-0000-1A00-00000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14" name="CuadroTexto 13">
              <a:extLst>
                <a:ext uri="{FF2B5EF4-FFF2-40B4-BE49-F238E27FC236}">
                  <a16:creationId xmlns="" xmlns:a16="http://schemas.microsoft.com/office/drawing/2014/main" xmlns:a14="http://schemas.microsoft.com/office/drawing/2010/main" id="{00000000-0008-0000-1000-00000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8</xdr:col>
      <xdr:colOff>541269</xdr:colOff>
      <xdr:row>52</xdr:row>
      <xdr:rowOff>78683</xdr:rowOff>
    </xdr:from>
    <xdr:ext cx="304571" cy="172227"/>
    <mc:AlternateContent xmlns:mc="http://schemas.openxmlformats.org/markup-compatibility/2006" xmlns:a14="http://schemas.microsoft.com/office/drawing/2010/main">
      <mc:Choice Requires="a14">
        <xdr:sp macro="" textlink="">
          <xdr:nvSpPr>
            <xdr:cNvPr id="15" name="CuadroTexto 14">
              <a:extLst>
                <a:ext uri="{FF2B5EF4-FFF2-40B4-BE49-F238E27FC236}">
                  <a16:creationId xmlns:a16="http://schemas.microsoft.com/office/drawing/2014/main" id="{00000000-0008-0000-1A00-00000F000000}"/>
                </a:ext>
              </a:extLst>
            </xdr:cNvPr>
            <xdr:cNvSpPr txBox="1"/>
          </xdr:nvSpPr>
          <xdr:spPr>
            <a:xfrm>
              <a:off x="9313794" y="18623858"/>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oMath>
                </m:oMathPara>
              </a14:m>
              <a:endParaRPr lang="es-CO" sz="1100" b="1"/>
            </a:p>
          </xdr:txBody>
        </xdr:sp>
      </mc:Choice>
      <mc:Fallback xmlns="">
        <xdr:sp macro="" textlink="">
          <xdr:nvSpPr>
            <xdr:cNvPr id="15" name="CuadroTexto 14">
              <a:extLst>
                <a:ext uri="{FF2B5EF4-FFF2-40B4-BE49-F238E27FC236}">
                  <a16:creationId xmlns="" xmlns:a16="http://schemas.microsoft.com/office/drawing/2014/main" xmlns:a14="http://schemas.microsoft.com/office/drawing/2010/main" id="{00000000-0008-0000-1000-00000F000000}"/>
                </a:ext>
              </a:extLst>
            </xdr:cNvPr>
            <xdr:cNvSpPr txBox="1"/>
          </xdr:nvSpPr>
          <xdr:spPr>
            <a:xfrm>
              <a:off x="9313794" y="18623858"/>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4</xdr:col>
      <xdr:colOff>155713</xdr:colOff>
      <xdr:row>39</xdr:row>
      <xdr:rowOff>106017</xdr:rowOff>
    </xdr:from>
    <xdr:ext cx="65" cy="172227"/>
    <xdr:sp macro="" textlink="">
      <xdr:nvSpPr>
        <xdr:cNvPr id="16" name="CuadroTexto 15">
          <a:extLst>
            <a:ext uri="{FF2B5EF4-FFF2-40B4-BE49-F238E27FC236}">
              <a16:creationId xmlns:a16="http://schemas.microsoft.com/office/drawing/2014/main" id="{00000000-0008-0000-1A00-000010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17" name="CuadroTexto 16">
              <a:extLst>
                <a:ext uri="{FF2B5EF4-FFF2-40B4-BE49-F238E27FC236}">
                  <a16:creationId xmlns:a16="http://schemas.microsoft.com/office/drawing/2014/main" id="{00000000-0008-0000-1A00-000011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7" name="CuadroTexto 16">
              <a:extLst>
                <a:ext uri="{FF2B5EF4-FFF2-40B4-BE49-F238E27FC236}">
                  <a16:creationId xmlns="" xmlns:a16="http://schemas.microsoft.com/office/drawing/2014/main" xmlns:a14="http://schemas.microsoft.com/office/drawing/2010/main" id="{00000000-0008-0000-1000-000011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18" name="CuadroTexto 17">
              <a:extLst>
                <a:ext uri="{FF2B5EF4-FFF2-40B4-BE49-F238E27FC236}">
                  <a16:creationId xmlns:a16="http://schemas.microsoft.com/office/drawing/2014/main" id="{00000000-0008-0000-1A00-000012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18" name="CuadroTexto 17">
              <a:extLst>
                <a:ext uri="{FF2B5EF4-FFF2-40B4-BE49-F238E27FC236}">
                  <a16:creationId xmlns="" xmlns:a16="http://schemas.microsoft.com/office/drawing/2014/main" xmlns:a14="http://schemas.microsoft.com/office/drawing/2010/main" id="{00000000-0008-0000-1000-000012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19" name="CuadroTexto 18">
              <a:extLst>
                <a:ext uri="{FF2B5EF4-FFF2-40B4-BE49-F238E27FC236}">
                  <a16:creationId xmlns:a16="http://schemas.microsoft.com/office/drawing/2014/main" id="{00000000-0008-0000-1A00-000013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9" name="CuadroTexto 18">
              <a:extLst>
                <a:ext uri="{FF2B5EF4-FFF2-40B4-BE49-F238E27FC236}">
                  <a16:creationId xmlns="" xmlns:a16="http://schemas.microsoft.com/office/drawing/2014/main" xmlns:a14="http://schemas.microsoft.com/office/drawing/2010/main" id="{00000000-0008-0000-1000-000013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0" name="CuadroTexto 19">
              <a:extLst>
                <a:ext uri="{FF2B5EF4-FFF2-40B4-BE49-F238E27FC236}">
                  <a16:creationId xmlns:a16="http://schemas.microsoft.com/office/drawing/2014/main" id="{00000000-0008-0000-1A00-000014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0" name="CuadroTexto 19">
              <a:extLst>
                <a:ext uri="{FF2B5EF4-FFF2-40B4-BE49-F238E27FC236}">
                  <a16:creationId xmlns="" xmlns:a16="http://schemas.microsoft.com/office/drawing/2014/main" xmlns:a14="http://schemas.microsoft.com/office/drawing/2010/main" id="{00000000-0008-0000-1000-000014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1" name="CuadroTexto 20">
          <a:extLst>
            <a:ext uri="{FF2B5EF4-FFF2-40B4-BE49-F238E27FC236}">
              <a16:creationId xmlns:a16="http://schemas.microsoft.com/office/drawing/2014/main" id="{00000000-0008-0000-1A00-000015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3</xdr:col>
      <xdr:colOff>236456</xdr:colOff>
      <xdr:row>73</xdr:row>
      <xdr:rowOff>141002</xdr:rowOff>
    </xdr:from>
    <xdr:ext cx="730521" cy="219163"/>
    <mc:AlternateContent xmlns:mc="http://schemas.openxmlformats.org/markup-compatibility/2006" xmlns:a14="http://schemas.microsoft.com/office/drawing/2010/main">
      <mc:Choice Requires="a14">
        <xdr:sp macro="" textlink="">
          <xdr:nvSpPr>
            <xdr:cNvPr id="22" name="CuadroTexto 21">
              <a:extLst>
                <a:ext uri="{FF2B5EF4-FFF2-40B4-BE49-F238E27FC236}">
                  <a16:creationId xmlns:a16="http://schemas.microsoft.com/office/drawing/2014/main" id="{00000000-0008-0000-1A00-000016000000}"/>
                </a:ext>
              </a:extLst>
            </xdr:cNvPr>
            <xdr:cNvSpPr txBox="1"/>
          </xdr:nvSpPr>
          <xdr:spPr>
            <a:xfrm>
              <a:off x="2922506" y="30059027"/>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m:t>
                  </m:r>
                  <m:sSub>
                    <m:sSubPr>
                      <m:ctrlPr>
                        <a:rPr lang="es-CO" sz="1400" b="1" i="1">
                          <a:latin typeface="Cambria Math" panose="02040503050406030204" pitchFamily="18" charset="0"/>
                          <a:ea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𝒎</m:t>
                      </m:r>
                    </m:e>
                    <m:sub>
                      <m:r>
                        <a:rPr lang="es-CO" sz="1400" b="1" i="1">
                          <a:latin typeface="Cambria Math" panose="02040503050406030204" pitchFamily="18" charset="0"/>
                          <a:ea typeface="Cambria Math" panose="02040503050406030204" pitchFamily="18" charset="0"/>
                        </a:rPr>
                        <m:t>𝒄</m:t>
                      </m:r>
                    </m:sub>
                  </m:sSub>
                </m:oMath>
              </a14:m>
              <a:r>
                <a:rPr lang="es-CO" sz="1400" b="1" i="1"/>
                <a:t> (mg</a:t>
              </a:r>
              <a:r>
                <a:rPr lang="es-CO" sz="1200" b="1" i="0"/>
                <a:t>)</a:t>
              </a:r>
            </a:p>
          </xdr:txBody>
        </xdr:sp>
      </mc:Choice>
      <mc:Fallback xmlns="">
        <xdr:sp macro="" textlink="">
          <xdr:nvSpPr>
            <xdr:cNvPr id="22" name="CuadroTexto 21">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2922506" y="30059027"/>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400" b="1" i="0">
                  <a:latin typeface="Cambria Math" panose="02040503050406030204" pitchFamily="18" charset="0"/>
                  <a:ea typeface="Cambria Math" panose="02040503050406030204" pitchFamily="18" charset="0"/>
                </a:rPr>
                <a:t>∆𝒎_𝒄</a:t>
              </a:r>
              <a:r>
                <a:rPr lang="es-CO" sz="1400" b="1" i="1"/>
                <a:t> (mg</a:t>
              </a:r>
              <a:r>
                <a:rPr lang="es-CO" sz="1200" b="1" i="0"/>
                <a:t>)</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23" name="CuadroTexto 22">
              <a:extLst>
                <a:ext uri="{FF2B5EF4-FFF2-40B4-BE49-F238E27FC236}">
                  <a16:creationId xmlns:a16="http://schemas.microsoft.com/office/drawing/2014/main" id="{00000000-0008-0000-1A00-000017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23" name="CuadroTexto 22">
              <a:extLst>
                <a:ext uri="{FF2B5EF4-FFF2-40B4-BE49-F238E27FC236}">
                  <a16:creationId xmlns="" xmlns:a16="http://schemas.microsoft.com/office/drawing/2014/main" xmlns:a14="http://schemas.microsoft.com/office/drawing/2010/main" id="{00000000-0008-0000-1000-000023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24" name="CuadroTexto 23">
          <a:extLst>
            <a:ext uri="{FF2B5EF4-FFF2-40B4-BE49-F238E27FC236}">
              <a16:creationId xmlns:a16="http://schemas.microsoft.com/office/drawing/2014/main" id="{00000000-0008-0000-1A00-000018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25" name="CuadroTexto 24">
              <a:extLst>
                <a:ext uri="{FF2B5EF4-FFF2-40B4-BE49-F238E27FC236}">
                  <a16:creationId xmlns:a16="http://schemas.microsoft.com/office/drawing/2014/main" id="{00000000-0008-0000-1A00-000019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5" name="CuadroTexto 24">
              <a:extLst>
                <a:ext uri="{FF2B5EF4-FFF2-40B4-BE49-F238E27FC236}">
                  <a16:creationId xmlns="" xmlns:a16="http://schemas.microsoft.com/office/drawing/2014/main" xmlns:a14="http://schemas.microsoft.com/office/drawing/2010/main" id="{00000000-0008-0000-1000-000026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26" name="CuadroTexto 25">
              <a:extLst>
                <a:ext uri="{FF2B5EF4-FFF2-40B4-BE49-F238E27FC236}">
                  <a16:creationId xmlns:a16="http://schemas.microsoft.com/office/drawing/2014/main" id="{00000000-0008-0000-1A00-00001A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6" name="CuadroTexto 25">
              <a:extLst>
                <a:ext uri="{FF2B5EF4-FFF2-40B4-BE49-F238E27FC236}">
                  <a16:creationId xmlns="" xmlns:a16="http://schemas.microsoft.com/office/drawing/2014/main" xmlns:a14="http://schemas.microsoft.com/office/drawing/2010/main" id="{00000000-0008-0000-1000-000027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27" name="CuadroTexto 26">
              <a:extLst>
                <a:ext uri="{FF2B5EF4-FFF2-40B4-BE49-F238E27FC236}">
                  <a16:creationId xmlns:a16="http://schemas.microsoft.com/office/drawing/2014/main" id="{00000000-0008-0000-1A00-00001B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7" name="CuadroTexto 26">
              <a:extLst>
                <a:ext uri="{FF2B5EF4-FFF2-40B4-BE49-F238E27FC236}">
                  <a16:creationId xmlns="" xmlns:a16="http://schemas.microsoft.com/office/drawing/2014/main" xmlns:a14="http://schemas.microsoft.com/office/drawing/2010/main" id="{00000000-0008-0000-1000-000028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8" name="CuadroTexto 27">
              <a:extLst>
                <a:ext uri="{FF2B5EF4-FFF2-40B4-BE49-F238E27FC236}">
                  <a16:creationId xmlns:a16="http://schemas.microsoft.com/office/drawing/2014/main" id="{00000000-0008-0000-1A00-00001C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8" name="CuadroTexto 27">
              <a:extLst>
                <a:ext uri="{FF2B5EF4-FFF2-40B4-BE49-F238E27FC236}">
                  <a16:creationId xmlns="" xmlns:a16="http://schemas.microsoft.com/office/drawing/2014/main" xmlns:a14="http://schemas.microsoft.com/office/drawing/2010/main" id="{00000000-0008-0000-1000-000029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9" name="CuadroTexto 28">
          <a:extLst>
            <a:ext uri="{FF2B5EF4-FFF2-40B4-BE49-F238E27FC236}">
              <a16:creationId xmlns:a16="http://schemas.microsoft.com/office/drawing/2014/main" id="{00000000-0008-0000-1A00-00001D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30" name="CuadroTexto 29">
              <a:extLst>
                <a:ext uri="{FF2B5EF4-FFF2-40B4-BE49-F238E27FC236}">
                  <a16:creationId xmlns:a16="http://schemas.microsoft.com/office/drawing/2014/main" id="{00000000-0008-0000-1A00-00001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30" name="CuadroTexto 29">
              <a:extLst>
                <a:ext uri="{FF2B5EF4-FFF2-40B4-BE49-F238E27FC236}">
                  <a16:creationId xmlns="" xmlns:a16="http://schemas.microsoft.com/office/drawing/2014/main" xmlns:a14="http://schemas.microsoft.com/office/drawing/2010/main" id="{00000000-0008-0000-1000-000038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31" name="CuadroTexto 30">
          <a:extLst>
            <a:ext uri="{FF2B5EF4-FFF2-40B4-BE49-F238E27FC236}">
              <a16:creationId xmlns:a16="http://schemas.microsoft.com/office/drawing/2014/main" id="{00000000-0008-0000-1A00-00001F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32" name="CuadroTexto 31">
              <a:extLst>
                <a:ext uri="{FF2B5EF4-FFF2-40B4-BE49-F238E27FC236}">
                  <a16:creationId xmlns:a16="http://schemas.microsoft.com/office/drawing/2014/main" id="{00000000-0008-0000-1A00-000020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2" name="CuadroTexto 31">
              <a:extLst>
                <a:ext uri="{FF2B5EF4-FFF2-40B4-BE49-F238E27FC236}">
                  <a16:creationId xmlns="" xmlns:a16="http://schemas.microsoft.com/office/drawing/2014/main" xmlns:a14="http://schemas.microsoft.com/office/drawing/2010/main" id="{00000000-0008-0000-1000-00003B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33" name="CuadroTexto 32">
              <a:extLst>
                <a:ext uri="{FF2B5EF4-FFF2-40B4-BE49-F238E27FC236}">
                  <a16:creationId xmlns:a16="http://schemas.microsoft.com/office/drawing/2014/main" id="{00000000-0008-0000-1A00-000021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3" name="CuadroTexto 32">
              <a:extLst>
                <a:ext uri="{FF2B5EF4-FFF2-40B4-BE49-F238E27FC236}">
                  <a16:creationId xmlns="" xmlns:a16="http://schemas.microsoft.com/office/drawing/2014/main" xmlns:a14="http://schemas.microsoft.com/office/drawing/2010/main" id="{00000000-0008-0000-1000-00003C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34" name="CuadroTexto 33">
              <a:extLst>
                <a:ext uri="{FF2B5EF4-FFF2-40B4-BE49-F238E27FC236}">
                  <a16:creationId xmlns:a16="http://schemas.microsoft.com/office/drawing/2014/main" id="{00000000-0008-0000-1A00-000022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4" name="CuadroTexto 33">
              <a:extLst>
                <a:ext uri="{FF2B5EF4-FFF2-40B4-BE49-F238E27FC236}">
                  <a16:creationId xmlns="" xmlns:a16="http://schemas.microsoft.com/office/drawing/2014/main" xmlns:a14="http://schemas.microsoft.com/office/drawing/2010/main" id="{00000000-0008-0000-1000-00003D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35" name="CuadroTexto 34">
              <a:extLst>
                <a:ext uri="{FF2B5EF4-FFF2-40B4-BE49-F238E27FC236}">
                  <a16:creationId xmlns:a16="http://schemas.microsoft.com/office/drawing/2014/main" id="{00000000-0008-0000-1A00-000023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5" name="CuadroTexto 34">
              <a:extLst>
                <a:ext uri="{FF2B5EF4-FFF2-40B4-BE49-F238E27FC236}">
                  <a16:creationId xmlns="" xmlns:a16="http://schemas.microsoft.com/office/drawing/2014/main" xmlns:a14="http://schemas.microsoft.com/office/drawing/2010/main" id="{00000000-0008-0000-1000-00003E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36" name="CuadroTexto 35">
          <a:extLst>
            <a:ext uri="{FF2B5EF4-FFF2-40B4-BE49-F238E27FC236}">
              <a16:creationId xmlns:a16="http://schemas.microsoft.com/office/drawing/2014/main" id="{00000000-0008-0000-1A00-000024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11</xdr:col>
      <xdr:colOff>628650</xdr:colOff>
      <xdr:row>61</xdr:row>
      <xdr:rowOff>0</xdr:rowOff>
    </xdr:from>
    <xdr:ext cx="65" cy="172227"/>
    <xdr:sp macro="" textlink="">
      <xdr:nvSpPr>
        <xdr:cNvPr id="38" name="CuadroTexto 37">
          <a:extLst>
            <a:ext uri="{FF2B5EF4-FFF2-40B4-BE49-F238E27FC236}">
              <a16:creationId xmlns:a16="http://schemas.microsoft.com/office/drawing/2014/main" id="{00000000-0008-0000-1A00-000026000000}"/>
            </a:ext>
          </a:extLst>
        </xdr:cNvPr>
        <xdr:cNvSpPr txBox="1"/>
      </xdr:nvSpPr>
      <xdr:spPr>
        <a:xfrm>
          <a:off x="12001500" y="2272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5</xdr:col>
      <xdr:colOff>539750</xdr:colOff>
      <xdr:row>73</xdr:row>
      <xdr:rowOff>158749</xdr:rowOff>
    </xdr:from>
    <xdr:ext cx="984250" cy="210507"/>
    <mc:AlternateContent xmlns:mc="http://schemas.openxmlformats.org/markup-compatibility/2006" xmlns:a14="http://schemas.microsoft.com/office/drawing/2010/main">
      <mc:Choice Requires="a14">
        <xdr:sp macro="" textlink="">
          <xdr:nvSpPr>
            <xdr:cNvPr id="39" name="CuadroTexto 38">
              <a:extLst>
                <a:ext uri="{FF2B5EF4-FFF2-40B4-BE49-F238E27FC236}">
                  <a16:creationId xmlns:a16="http://schemas.microsoft.com/office/drawing/2014/main" id="{00000000-0008-0000-1A00-000027000000}"/>
                </a:ext>
              </a:extLst>
            </xdr:cNvPr>
            <xdr:cNvSpPr txBox="1"/>
          </xdr:nvSpPr>
          <xdr:spPr>
            <a:xfrm>
              <a:off x="5397500" y="30076774"/>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𝒆</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39" name="CuadroTexto 38">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5397500" y="30076774"/>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𝒆 𝒄𝒕</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4</xdr:col>
      <xdr:colOff>52917</xdr:colOff>
      <xdr:row>73</xdr:row>
      <xdr:rowOff>148167</xdr:rowOff>
    </xdr:from>
    <xdr:ext cx="984250" cy="210507"/>
    <mc:AlternateContent xmlns:mc="http://schemas.openxmlformats.org/markup-compatibility/2006" xmlns:a14="http://schemas.microsoft.com/office/drawing/2010/main">
      <mc:Choice Requires="a14">
        <xdr:sp macro="" textlink="">
          <xdr:nvSpPr>
            <xdr:cNvPr id="40" name="CuadroTexto 39">
              <a:extLst>
                <a:ext uri="{FF2B5EF4-FFF2-40B4-BE49-F238E27FC236}">
                  <a16:creationId xmlns:a16="http://schemas.microsoft.com/office/drawing/2014/main" id="{00000000-0008-0000-1A00-000028000000}"/>
                </a:ext>
              </a:extLst>
            </xdr:cNvPr>
            <xdr:cNvSpPr txBox="1"/>
          </xdr:nvSpPr>
          <xdr:spPr>
            <a:xfrm>
              <a:off x="3872442" y="30066192"/>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0" name="CuadroTexto 39">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3872442" y="30066192"/>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𝒄𝒕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1</xdr:col>
      <xdr:colOff>0</xdr:colOff>
      <xdr:row>73</xdr:row>
      <xdr:rowOff>95250</xdr:rowOff>
    </xdr:from>
    <xdr:ext cx="748770" cy="210507"/>
    <mc:AlternateContent xmlns:mc="http://schemas.openxmlformats.org/markup-compatibility/2006" xmlns:a14="http://schemas.microsoft.com/office/drawing/2010/main">
      <mc:Choice Requires="a14">
        <xdr:sp macro="" textlink="">
          <xdr:nvSpPr>
            <xdr:cNvPr id="42" name="CuadroTexto 41">
              <a:extLst>
                <a:ext uri="{FF2B5EF4-FFF2-40B4-BE49-F238E27FC236}">
                  <a16:creationId xmlns:a16="http://schemas.microsoft.com/office/drawing/2014/main" id="{00000000-0008-0000-1A00-00002A000000}"/>
                </a:ext>
              </a:extLst>
            </xdr:cNvPr>
            <xdr:cNvSpPr txBox="1"/>
          </xdr:nvSpPr>
          <xdr:spPr>
            <a:xfrm>
              <a:off x="976313" y="30206156"/>
              <a:ext cx="74877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𝑵𝒓</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2" name="CuadroTexto 41">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976313" y="30206156"/>
              <a:ext cx="74877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𝑵𝒓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8</xdr:col>
      <xdr:colOff>624417</xdr:colOff>
      <xdr:row>73</xdr:row>
      <xdr:rowOff>285751</xdr:rowOff>
    </xdr:from>
    <xdr:ext cx="1524000" cy="210507"/>
    <mc:AlternateContent xmlns:mc="http://schemas.openxmlformats.org/markup-compatibility/2006" xmlns:a14="http://schemas.microsoft.com/office/drawing/2010/main">
      <mc:Choice Requires="a14">
        <xdr:sp macro="" textlink="">
          <xdr:nvSpPr>
            <xdr:cNvPr id="43" name="CuadroTexto 42">
              <a:extLst>
                <a:ext uri="{FF2B5EF4-FFF2-40B4-BE49-F238E27FC236}">
                  <a16:creationId xmlns:a16="http://schemas.microsoft.com/office/drawing/2014/main" id="{00000000-0008-0000-1A00-00002B000000}"/>
                </a:ext>
              </a:extLst>
            </xdr:cNvPr>
            <xdr:cNvSpPr txBox="1"/>
          </xdr:nvSpPr>
          <xdr:spPr>
            <a:xfrm>
              <a:off x="9396942" y="30203776"/>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𝑼</m:t>
                  </m:r>
                  <m:r>
                    <a:rPr lang="es-CO" sz="1400" b="1" i="1">
                      <a:latin typeface="Cambria Math" panose="02040503050406030204" pitchFamily="18" charset="0"/>
                      <a:ea typeface="Cambria Math" panose="02040503050406030204" pitchFamily="18" charset="0"/>
                    </a:rPr>
                    <m:t> </m:t>
                  </m:r>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 </m:t>
                  </m:r>
                  <m:r>
                    <a:rPr lang="es-CO" sz="1400" b="1" i="1">
                      <a:latin typeface="Cambria Math" panose="02040503050406030204" pitchFamily="18" charset="0"/>
                      <a:ea typeface="Cambria Math" panose="02040503050406030204" pitchFamily="18" charset="0"/>
                    </a:rPr>
                    <m:t>𝒌</m:t>
                  </m:r>
                  <m:r>
                    <a:rPr lang="es-CO" sz="1400" b="1" i="1">
                      <a:latin typeface="Cambria Math" panose="02040503050406030204" pitchFamily="18" charset="0"/>
                      <a:ea typeface="Cambria Math" panose="02040503050406030204" pitchFamily="18" charset="0"/>
                    </a:rPr>
                    <m:t>=</m:t>
                  </m:r>
                  <m:r>
                    <a:rPr lang="es-CO" sz="1400" b="1" i="1">
                      <a:latin typeface="Cambria Math" panose="02040503050406030204" pitchFamily="18" charset="0"/>
                      <a:ea typeface="Cambria Math" panose="02040503050406030204" pitchFamily="18" charset="0"/>
                    </a:rPr>
                    <m:t>𝟐</m:t>
                  </m:r>
                </m:oMath>
              </a14:m>
              <a:r>
                <a:rPr lang="es-CO" sz="1400" b="1" i="1">
                  <a:latin typeface="Arial" panose="020B0604020202020204" pitchFamily="34" charset="0"/>
                  <a:cs typeface="Arial" panose="020B0604020202020204" pitchFamily="34" charset="0"/>
                </a:rPr>
                <a:t>)</a:t>
              </a:r>
            </a:p>
          </xdr:txBody>
        </xdr:sp>
      </mc:Choice>
      <mc:Fallback xmlns="">
        <xdr:sp macro="" textlink="">
          <xdr:nvSpPr>
            <xdr:cNvPr id="43" name="CuadroTexto 42">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9396942" y="30203776"/>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0">
                  <a:latin typeface="Cambria Math" panose="02040503050406030204" pitchFamily="18" charset="0"/>
                  <a:ea typeface="Cambria Math" panose="02040503050406030204" pitchFamily="18" charset="0"/>
                </a:rPr>
                <a:t>𝑼 </a:t>
              </a:r>
              <a:r>
                <a:rPr lang="es-CO" sz="1400" b="1" i="0">
                  <a:latin typeface="Cambria Math"/>
                  <a:ea typeface="Cambria Math" panose="02040503050406030204" pitchFamily="18" charset="0"/>
                </a:rPr>
                <a:t>(</a:t>
              </a:r>
              <a:r>
                <a:rPr lang="es-CO" sz="1400" b="1" i="0">
                  <a:latin typeface="Cambria Math" panose="02040503050406030204" pitchFamily="18" charset="0"/>
                  <a:ea typeface="Cambria Math" panose="02040503050406030204" pitchFamily="18" charset="0"/>
                </a:rPr>
                <a:t> 𝒎 𝒄𝒕 </a:t>
              </a:r>
              <a:r>
                <a:rPr lang="es-CO" sz="1400" b="1" i="0">
                  <a:latin typeface="Cambria Math"/>
                  <a:ea typeface="Cambria Math" panose="02040503050406030204" pitchFamily="18" charset="0"/>
                </a:rPr>
                <a:t>)</a:t>
              </a:r>
              <a:r>
                <a:rPr lang="es-CO" sz="1400" b="1" i="0">
                  <a:latin typeface="Cambria Math" panose="02040503050406030204" pitchFamily="18" charset="0"/>
                  <a:ea typeface="Cambria Math" panose="02040503050406030204" pitchFamily="18" charset="0"/>
                </a:rPr>
                <a:t>  ( 𝒌=𝟐</a:t>
              </a:r>
              <a:r>
                <a:rPr lang="es-CO" sz="1400" b="1" i="1">
                  <a:latin typeface="Arial" panose="020B0604020202020204" pitchFamily="34" charset="0"/>
                  <a:cs typeface="Arial" panose="020B0604020202020204" pitchFamily="34" charset="0"/>
                </a:rPr>
                <a:t>)</a:t>
              </a:r>
            </a:p>
          </xdr:txBody>
        </xdr:sp>
      </mc:Fallback>
    </mc:AlternateContent>
    <xdr:clientData/>
  </xdr:oneCellAnchor>
  <xdr:oneCellAnchor>
    <xdr:from>
      <xdr:col>9</xdr:col>
      <xdr:colOff>603252</xdr:colOff>
      <xdr:row>74</xdr:row>
      <xdr:rowOff>84667</xdr:rowOff>
    </xdr:from>
    <xdr:ext cx="465666" cy="219163"/>
    <xdr:sp macro="" textlink="">
      <xdr:nvSpPr>
        <xdr:cNvPr id="44" name="CuadroTexto 43">
          <a:extLst>
            <a:ext uri="{FF2B5EF4-FFF2-40B4-BE49-F238E27FC236}">
              <a16:creationId xmlns:a16="http://schemas.microsoft.com/office/drawing/2014/main" id="{00000000-0008-0000-1A00-00002C000000}"/>
            </a:ext>
          </a:extLst>
        </xdr:cNvPr>
        <xdr:cNvSpPr txBox="1"/>
      </xdr:nvSpPr>
      <xdr:spPr>
        <a:xfrm>
          <a:off x="10299702" y="30517042"/>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9</xdr:col>
      <xdr:colOff>571499</xdr:colOff>
      <xdr:row>75</xdr:row>
      <xdr:rowOff>116416</xdr:rowOff>
    </xdr:from>
    <xdr:ext cx="359835" cy="219163"/>
    <xdr:sp macro="" textlink="">
      <xdr:nvSpPr>
        <xdr:cNvPr id="45" name="CuadroTexto 44">
          <a:extLst>
            <a:ext uri="{FF2B5EF4-FFF2-40B4-BE49-F238E27FC236}">
              <a16:creationId xmlns:a16="http://schemas.microsoft.com/office/drawing/2014/main" id="{00000000-0008-0000-1A00-00002D000000}"/>
            </a:ext>
          </a:extLst>
        </xdr:cNvPr>
        <xdr:cNvSpPr txBox="1"/>
      </xdr:nvSpPr>
      <xdr:spPr>
        <a:xfrm>
          <a:off x="10267949" y="30986941"/>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6</xdr:col>
      <xdr:colOff>275167</xdr:colOff>
      <xdr:row>74</xdr:row>
      <xdr:rowOff>148166</xdr:rowOff>
    </xdr:from>
    <xdr:ext cx="465666" cy="219163"/>
    <xdr:sp macro="" textlink="">
      <xdr:nvSpPr>
        <xdr:cNvPr id="46" name="CuadroTexto 45">
          <a:extLst>
            <a:ext uri="{FF2B5EF4-FFF2-40B4-BE49-F238E27FC236}">
              <a16:creationId xmlns:a16="http://schemas.microsoft.com/office/drawing/2014/main" id="{00000000-0008-0000-1A00-00002E000000}"/>
            </a:ext>
          </a:extLst>
        </xdr:cNvPr>
        <xdr:cNvSpPr txBox="1"/>
      </xdr:nvSpPr>
      <xdr:spPr>
        <a:xfrm>
          <a:off x="6371167" y="30580541"/>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6</xdr:col>
      <xdr:colOff>328083</xdr:colOff>
      <xdr:row>75</xdr:row>
      <xdr:rowOff>84667</xdr:rowOff>
    </xdr:from>
    <xdr:ext cx="359835" cy="219163"/>
    <xdr:sp macro="" textlink="">
      <xdr:nvSpPr>
        <xdr:cNvPr id="47" name="CuadroTexto 46">
          <a:extLst>
            <a:ext uri="{FF2B5EF4-FFF2-40B4-BE49-F238E27FC236}">
              <a16:creationId xmlns:a16="http://schemas.microsoft.com/office/drawing/2014/main" id="{00000000-0008-0000-1A00-00002F000000}"/>
            </a:ext>
          </a:extLst>
        </xdr:cNvPr>
        <xdr:cNvSpPr txBox="1"/>
      </xdr:nvSpPr>
      <xdr:spPr>
        <a:xfrm>
          <a:off x="6424083" y="30955192"/>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3</xdr:col>
      <xdr:colOff>560916</xdr:colOff>
      <xdr:row>72</xdr:row>
      <xdr:rowOff>74084</xdr:rowOff>
    </xdr:from>
    <xdr:ext cx="1524000" cy="210507"/>
    <mc:AlternateContent xmlns:mc="http://schemas.openxmlformats.org/markup-compatibility/2006" xmlns:a14="http://schemas.microsoft.com/office/drawing/2010/main">
      <mc:Choice Requires="a14">
        <xdr:sp macro="" textlink="">
          <xdr:nvSpPr>
            <xdr:cNvPr id="48" name="CuadroTexto 47">
              <a:extLst>
                <a:ext uri="{FF2B5EF4-FFF2-40B4-BE49-F238E27FC236}">
                  <a16:creationId xmlns:a16="http://schemas.microsoft.com/office/drawing/2014/main" id="{00000000-0008-0000-1A00-000030000000}"/>
                </a:ext>
              </a:extLst>
            </xdr:cNvPr>
            <xdr:cNvSpPr txBox="1"/>
          </xdr:nvSpPr>
          <xdr:spPr>
            <a:xfrm>
              <a:off x="3246966" y="29553959"/>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m:t>
                    </m:r>
                  </m:oMath>
                </m:oMathPara>
              </a14:m>
              <a:endParaRPr lang="es-CO" sz="1400" b="1" i="1">
                <a:latin typeface="Arial" panose="020B0604020202020204" pitchFamily="34" charset="0"/>
                <a:cs typeface="Arial" panose="020B0604020202020204" pitchFamily="34" charset="0"/>
              </a:endParaRPr>
            </a:p>
          </xdr:txBody>
        </xdr:sp>
      </mc:Choice>
      <mc:Fallback xmlns="">
        <xdr:sp macro="" textlink="">
          <xdr:nvSpPr>
            <xdr:cNvPr id="48" name="CuadroTexto 47">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3246966" y="29553959"/>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 𝒎 𝒄𝒕 )   </a:t>
              </a:r>
              <a:endParaRPr lang="es-CO" sz="1400" b="1" i="1">
                <a:latin typeface="Arial" panose="020B0604020202020204" pitchFamily="34" charset="0"/>
                <a:cs typeface="Arial" panose="020B0604020202020204" pitchFamily="34" charset="0"/>
              </a:endParaRPr>
            </a:p>
          </xdr:txBody>
        </xdr:sp>
      </mc:Fallback>
    </mc:AlternateContent>
    <xdr:clientData/>
  </xdr:oneCellAnchor>
  <xdr:oneCellAnchor>
    <xdr:from>
      <xdr:col>7</xdr:col>
      <xdr:colOff>411956</xdr:colOff>
      <xdr:row>71</xdr:row>
      <xdr:rowOff>406003</xdr:rowOff>
    </xdr:from>
    <xdr:ext cx="65" cy="172227"/>
    <xdr:sp macro="" textlink="">
      <xdr:nvSpPr>
        <xdr:cNvPr id="49" name="CuadroTexto 48">
          <a:extLst>
            <a:ext uri="{FF2B5EF4-FFF2-40B4-BE49-F238E27FC236}">
              <a16:creationId xmlns:a16="http://schemas.microsoft.com/office/drawing/2014/main" id="{00000000-0008-0000-1A00-000031000000}"/>
            </a:ext>
          </a:extLst>
        </xdr:cNvPr>
        <xdr:cNvSpPr txBox="1"/>
      </xdr:nvSpPr>
      <xdr:spPr>
        <a:xfrm>
          <a:off x="7555706" y="29457253"/>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51" name="CuadroTexto 50">
              <a:extLst>
                <a:ext uri="{FF2B5EF4-FFF2-40B4-BE49-F238E27FC236}">
                  <a16:creationId xmlns:a16="http://schemas.microsoft.com/office/drawing/2014/main" id="{00000000-0008-0000-1A00-000033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51" name="CuadroTexto 50">
              <a:extLst>
                <a:ext uri="{FF2B5EF4-FFF2-40B4-BE49-F238E27FC236}">
                  <a16:creationId xmlns:a16="http://schemas.microsoft.com/office/drawing/2014/main" id="{A6423C26-4C91-4378-AD2D-301D30D6FC05}"/>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52" name="CuadroTexto 51">
              <a:extLst>
                <a:ext uri="{FF2B5EF4-FFF2-40B4-BE49-F238E27FC236}">
                  <a16:creationId xmlns:a16="http://schemas.microsoft.com/office/drawing/2014/main" id="{00000000-0008-0000-1A00-000034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52" name="CuadroTexto 51">
              <a:extLst>
                <a:ext uri="{FF2B5EF4-FFF2-40B4-BE49-F238E27FC236}">
                  <a16:creationId xmlns:a16="http://schemas.microsoft.com/office/drawing/2014/main" id="{ED019746-72C6-45BD-BF03-2F4A8C5F6E85}"/>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twoCellAnchor>
    <xdr:from>
      <xdr:col>7</xdr:col>
      <xdr:colOff>809625</xdr:colOff>
      <xdr:row>62</xdr:row>
      <xdr:rowOff>198437</xdr:rowOff>
    </xdr:from>
    <xdr:to>
      <xdr:col>11</xdr:col>
      <xdr:colOff>746124</xdr:colOff>
      <xdr:row>64</xdr:row>
      <xdr:rowOff>468312</xdr:rowOff>
    </xdr:to>
    <xdr:graphicFrame macro="">
      <xdr:nvGraphicFramePr>
        <xdr:cNvPr id="53" name="Gráfico 52">
          <a:extLst>
            <a:ext uri="{FF2B5EF4-FFF2-40B4-BE49-F238E27FC236}">
              <a16:creationId xmlns:a16="http://schemas.microsoft.com/office/drawing/2014/main" id="{00000000-0008-0000-1A00-00003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214313</xdr:colOff>
      <xdr:row>0</xdr:row>
      <xdr:rowOff>47625</xdr:rowOff>
    </xdr:from>
    <xdr:to>
      <xdr:col>1</xdr:col>
      <xdr:colOff>613586</xdr:colOff>
      <xdr:row>0</xdr:row>
      <xdr:rowOff>690562</xdr:rowOff>
    </xdr:to>
    <xdr:pic>
      <xdr:nvPicPr>
        <xdr:cNvPr id="54" name="53 Imagen">
          <a:extLst>
            <a:ext uri="{FF2B5EF4-FFF2-40B4-BE49-F238E27FC236}">
              <a16:creationId xmlns:a16="http://schemas.microsoft.com/office/drawing/2014/main" id="{00000000-0008-0000-1A00-000036000000}"/>
            </a:ext>
          </a:extLst>
        </xdr:cNvPr>
        <xdr:cNvPicPr>
          <a:picLocks noChangeAspect="1"/>
        </xdr:cNvPicPr>
      </xdr:nvPicPr>
      <xdr:blipFill>
        <a:blip xmlns:r="http://schemas.openxmlformats.org/officeDocument/2006/relationships" r:embed="rId2"/>
        <a:stretch>
          <a:fillRect/>
        </a:stretch>
      </xdr:blipFill>
      <xdr:spPr>
        <a:xfrm>
          <a:off x="214313" y="47625"/>
          <a:ext cx="1375586" cy="642937"/>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oneCellAnchor>
    <xdr:from>
      <xdr:col>1</xdr:col>
      <xdr:colOff>285935</xdr:colOff>
      <xdr:row>42</xdr:row>
      <xdr:rowOff>169517</xdr:rowOff>
    </xdr:from>
    <xdr:ext cx="177356" cy="176202"/>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00000000-0008-0000-1B00-000003000000}"/>
                </a:ext>
              </a:extLst>
            </xdr:cNvPr>
            <xdr:cNvSpPr txBox="1"/>
          </xdr:nvSpPr>
          <xdr:spPr>
            <a:xfrm>
              <a:off x="1124135" y="14980892"/>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bg1"/>
                            </a:solidFill>
                            <a:latin typeface="Cambria Math" panose="02040503050406030204" pitchFamily="18" charset="0"/>
                          </a:rPr>
                        </m:ctrlPr>
                      </m:accPr>
                      <m:e>
                        <m:r>
                          <a:rPr lang="es-CO" sz="1100" b="1" i="1">
                            <a:solidFill>
                              <a:schemeClr val="bg1"/>
                            </a:solidFill>
                            <a:latin typeface="Cambria Math" panose="02040503050406030204" pitchFamily="18" charset="0"/>
                            <a:ea typeface="Cambria Math" panose="02040503050406030204" pitchFamily="18" charset="0"/>
                          </a:rPr>
                          <m:t>∆</m:t>
                        </m:r>
                        <m:r>
                          <a:rPr lang="es-CO" sz="1100" b="1" i="1">
                            <a:solidFill>
                              <a:schemeClr val="bg1"/>
                            </a:solidFill>
                            <a:latin typeface="Cambria Math" panose="02040503050406030204" pitchFamily="18" charset="0"/>
                            <a:ea typeface="Cambria Math" panose="02040503050406030204" pitchFamily="18" charset="0"/>
                          </a:rPr>
                          <m:t>𝑰</m:t>
                        </m:r>
                      </m:e>
                    </m:acc>
                  </m:oMath>
                </m:oMathPara>
              </a14:m>
              <a:endParaRPr lang="es-CO" sz="1100" b="1">
                <a:solidFill>
                  <a:schemeClr val="bg1"/>
                </a:solidFill>
              </a:endParaRPr>
            </a:p>
          </xdr:txBody>
        </xdr:sp>
      </mc:Choice>
      <mc:Fallback xmlns="">
        <xdr:sp macro="" textlink="">
          <xdr:nvSpPr>
            <xdr:cNvPr id="3" name="CuadroTexto 2">
              <a:extLst>
                <a:ext uri="{FF2B5EF4-FFF2-40B4-BE49-F238E27FC236}">
                  <a16:creationId xmlns="" xmlns:a16="http://schemas.microsoft.com/office/drawing/2014/main" xmlns:a14="http://schemas.microsoft.com/office/drawing/2010/main" id="{00000000-0008-0000-1000-000003000000}"/>
                </a:ext>
              </a:extLst>
            </xdr:cNvPr>
            <xdr:cNvSpPr txBox="1"/>
          </xdr:nvSpPr>
          <xdr:spPr>
            <a:xfrm>
              <a:off x="1124135" y="14980892"/>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bg1"/>
                  </a:solidFill>
                  <a:latin typeface="Cambria Math" panose="02040503050406030204" pitchFamily="18" charset="0"/>
                </a:rPr>
                <a:t>(</a:t>
              </a:r>
              <a:r>
                <a:rPr lang="es-CO" sz="1100" b="1" i="0">
                  <a:solidFill>
                    <a:schemeClr val="bg1"/>
                  </a:solidFill>
                  <a:latin typeface="Cambria Math" panose="02040503050406030204" pitchFamily="18" charset="0"/>
                  <a:ea typeface="Cambria Math" panose="02040503050406030204" pitchFamily="18" charset="0"/>
                </a:rPr>
                <a:t>∆𝑰) ̅</a:t>
              </a:r>
              <a:endParaRPr lang="es-CO" sz="1100" b="1">
                <a:solidFill>
                  <a:schemeClr val="bg1"/>
                </a:solidFill>
              </a:endParaRPr>
            </a:p>
          </xdr:txBody>
        </xdr:sp>
      </mc:Fallback>
    </mc:AlternateContent>
    <xdr:clientData/>
  </xdr:oneCellAnchor>
  <xdr:oneCellAnchor>
    <xdr:from>
      <xdr:col>1</xdr:col>
      <xdr:colOff>136732</xdr:colOff>
      <xdr:row>58</xdr:row>
      <xdr:rowOff>253032</xdr:rowOff>
    </xdr:from>
    <xdr:ext cx="599716" cy="172227"/>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id="{00000000-0008-0000-1B00-000004000000}"/>
                </a:ext>
              </a:extLst>
            </xdr:cNvPr>
            <xdr:cNvSpPr txBox="1"/>
          </xdr:nvSpPr>
          <xdr:spPr>
            <a:xfrm>
              <a:off x="974932" y="20779407"/>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𝒘</m:t>
                        </m:r>
                      </m:sub>
                    </m:sSub>
                    <m:r>
                      <a:rPr lang="es-CO" sz="1100" b="1" i="1">
                        <a:latin typeface="Cambria Math" panose="02040503050406030204" pitchFamily="18" charset="0"/>
                      </a:rPr>
                      <m:t>(</m:t>
                    </m:r>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4" name="CuadroTexto 3">
              <a:extLst>
                <a:ext uri="{FF2B5EF4-FFF2-40B4-BE49-F238E27FC236}">
                  <a16:creationId xmlns="" xmlns:a16="http://schemas.microsoft.com/office/drawing/2014/main" xmlns:a14="http://schemas.microsoft.com/office/drawing/2010/main" id="{00000000-0008-0000-1000-000004000000}"/>
                </a:ext>
              </a:extLst>
            </xdr:cNvPr>
            <xdr:cNvSpPr txBox="1"/>
          </xdr:nvSpPr>
          <xdr:spPr>
            <a:xfrm>
              <a:off x="974932" y="20779407"/>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𝒖_𝒘 (</a:t>
              </a: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1</xdr:col>
      <xdr:colOff>202651</xdr:colOff>
      <xdr:row>61</xdr:row>
      <xdr:rowOff>265287</xdr:rowOff>
    </xdr:from>
    <xdr:ext cx="483915" cy="172227"/>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id="{00000000-0008-0000-1B00-000005000000}"/>
                </a:ext>
              </a:extLst>
            </xdr:cNvPr>
            <xdr:cNvSpPr txBox="1"/>
          </xdr:nvSpPr>
          <xdr:spPr>
            <a:xfrm>
              <a:off x="1040851" y="2299193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5" name="CuadroTexto 4">
              <a:extLst>
                <a:ext uri="{FF2B5EF4-FFF2-40B4-BE49-F238E27FC236}">
                  <a16:creationId xmlns="" xmlns:a16="http://schemas.microsoft.com/office/drawing/2014/main" xmlns:a14="http://schemas.microsoft.com/office/drawing/2010/main" id="{00000000-0008-0000-1000-000005000000}"/>
                </a:ext>
              </a:extLst>
            </xdr:cNvPr>
            <xdr:cNvSpPr txBox="1"/>
          </xdr:nvSpPr>
          <xdr:spPr>
            <a:xfrm>
              <a:off x="1040851" y="2299193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𝒖(𝒎_𝒄𝒓)</a:t>
              </a:r>
              <a:endParaRPr lang="es-CO" sz="1100" b="1"/>
            </a:p>
          </xdr:txBody>
        </xdr:sp>
      </mc:Fallback>
    </mc:AlternateContent>
    <xdr:clientData/>
  </xdr:oneCellAnchor>
  <xdr:oneCellAnchor>
    <xdr:from>
      <xdr:col>1</xdr:col>
      <xdr:colOff>34166</xdr:colOff>
      <xdr:row>60</xdr:row>
      <xdr:rowOff>250203</xdr:rowOff>
    </xdr:from>
    <xdr:ext cx="689483" cy="172227"/>
    <mc:AlternateContent xmlns:mc="http://schemas.openxmlformats.org/markup-compatibility/2006" xmlns:a14="http://schemas.microsoft.com/office/drawing/2010/main">
      <mc:Choice Requires="a14">
        <xdr:sp macro="" textlink="">
          <xdr:nvSpPr>
            <xdr:cNvPr id="6" name="CuadroTexto 5">
              <a:extLst>
                <a:ext uri="{FF2B5EF4-FFF2-40B4-BE49-F238E27FC236}">
                  <a16:creationId xmlns:a16="http://schemas.microsoft.com/office/drawing/2014/main" id="{00000000-0008-0000-1B00-000006000000}"/>
                </a:ext>
              </a:extLst>
            </xdr:cNvPr>
            <xdr:cNvSpPr txBox="1"/>
          </xdr:nvSpPr>
          <xdr:spPr>
            <a:xfrm>
              <a:off x="872366" y="22243428"/>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𝒊𝒏𝒔𝒕</m:t>
                        </m:r>
                      </m:sub>
                    </m:sSub>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0" i="1">
                        <a:latin typeface="Cambria Math" panose="02040503050406030204" pitchFamily="18" charset="0"/>
                      </a:rPr>
                      <m:t>)</m:t>
                    </m:r>
                  </m:oMath>
                </m:oMathPara>
              </a14:m>
              <a:endParaRPr lang="es-CO" sz="1100"/>
            </a:p>
          </xdr:txBody>
        </xdr:sp>
      </mc:Choice>
      <mc:Fallback xmlns="">
        <xdr:sp macro="" textlink="">
          <xdr:nvSpPr>
            <xdr:cNvPr id="6" name="CuadroTexto 5">
              <a:extLst>
                <a:ext uri="{FF2B5EF4-FFF2-40B4-BE49-F238E27FC236}">
                  <a16:creationId xmlns="" xmlns:a16="http://schemas.microsoft.com/office/drawing/2014/main" xmlns:a14="http://schemas.microsoft.com/office/drawing/2010/main" id="{00000000-0008-0000-1000-000006000000}"/>
                </a:ext>
              </a:extLst>
            </xdr:cNvPr>
            <xdr:cNvSpPr txBox="1"/>
          </xdr:nvSpPr>
          <xdr:spPr>
            <a:xfrm>
              <a:off x="872366" y="22243428"/>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𝒖_𝒊𝒏𝒔𝒕 (𝒎_𝒄𝒓</a:t>
              </a:r>
              <a:r>
                <a:rPr lang="es-CO" sz="1100" b="0" i="0">
                  <a:latin typeface="Cambria Math" panose="02040503050406030204" pitchFamily="18" charset="0"/>
                </a:rPr>
                <a:t>)</a:t>
              </a:r>
              <a:endParaRPr lang="es-CO" sz="1100"/>
            </a:p>
          </xdr:txBody>
        </xdr:sp>
      </mc:Fallback>
    </mc:AlternateContent>
    <xdr:clientData/>
  </xdr:oneCellAnchor>
  <xdr:oneCellAnchor>
    <xdr:from>
      <xdr:col>1</xdr:col>
      <xdr:colOff>183870</xdr:colOff>
      <xdr:row>62</xdr:row>
      <xdr:rowOff>264645</xdr:rowOff>
    </xdr:from>
    <xdr:ext cx="397353" cy="172227"/>
    <mc:AlternateContent xmlns:mc="http://schemas.openxmlformats.org/markup-compatibility/2006" xmlns:a14="http://schemas.microsoft.com/office/drawing/2010/main">
      <mc:Choice Requires="a14">
        <xdr:sp macro="" textlink="">
          <xdr:nvSpPr>
            <xdr:cNvPr id="7" name="CuadroTexto 6">
              <a:extLst>
                <a:ext uri="{FF2B5EF4-FFF2-40B4-BE49-F238E27FC236}">
                  <a16:creationId xmlns:a16="http://schemas.microsoft.com/office/drawing/2014/main" id="{00000000-0008-0000-1B00-000007000000}"/>
                </a:ext>
              </a:extLst>
            </xdr:cNvPr>
            <xdr:cNvSpPr txBox="1"/>
          </xdr:nvSpPr>
          <xdr:spPr>
            <a:xfrm>
              <a:off x="1022070" y="23724720"/>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𝒂</m:t>
                        </m:r>
                      </m:sub>
                    </m:sSub>
                    <m:r>
                      <a:rPr lang="es-CO" sz="1100" b="1" i="1">
                        <a:latin typeface="Cambria Math" panose="02040503050406030204" pitchFamily="18" charset="0"/>
                      </a:rPr>
                      <m:t>)</m:t>
                    </m:r>
                  </m:oMath>
                </m:oMathPara>
              </a14:m>
              <a:endParaRPr lang="es-CO" sz="1100" b="1"/>
            </a:p>
          </xdr:txBody>
        </xdr:sp>
      </mc:Choice>
      <mc:Fallback xmlns="">
        <xdr:sp macro="" textlink="">
          <xdr:nvSpPr>
            <xdr:cNvPr id="7" name="CuadroTexto 6">
              <a:extLst>
                <a:ext uri="{FF2B5EF4-FFF2-40B4-BE49-F238E27FC236}">
                  <a16:creationId xmlns="" xmlns:a16="http://schemas.microsoft.com/office/drawing/2014/main" xmlns:a14="http://schemas.microsoft.com/office/drawing/2010/main" id="{00000000-0008-0000-1000-000007000000}"/>
                </a:ext>
              </a:extLst>
            </xdr:cNvPr>
            <xdr:cNvSpPr txBox="1"/>
          </xdr:nvSpPr>
          <xdr:spPr>
            <a:xfrm>
              <a:off x="1022070" y="23724720"/>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𝒂)</a:t>
              </a:r>
              <a:endParaRPr lang="es-CO" sz="1100" b="1"/>
            </a:p>
          </xdr:txBody>
        </xdr:sp>
      </mc:Fallback>
    </mc:AlternateContent>
    <xdr:clientData/>
  </xdr:oneCellAnchor>
  <xdr:oneCellAnchor>
    <xdr:from>
      <xdr:col>1</xdr:col>
      <xdr:colOff>186298</xdr:colOff>
      <xdr:row>63</xdr:row>
      <xdr:rowOff>266606</xdr:rowOff>
    </xdr:from>
    <xdr:ext cx="376642" cy="172227"/>
    <mc:AlternateContent xmlns:mc="http://schemas.openxmlformats.org/markup-compatibility/2006" xmlns:a14="http://schemas.microsoft.com/office/drawing/2010/main">
      <mc:Choice Requires="a14">
        <xdr:sp macro="" textlink="">
          <xdr:nvSpPr>
            <xdr:cNvPr id="8" name="CuadroTexto 7">
              <a:extLst>
                <a:ext uri="{FF2B5EF4-FFF2-40B4-BE49-F238E27FC236}">
                  <a16:creationId xmlns:a16="http://schemas.microsoft.com/office/drawing/2014/main" id="{00000000-0008-0000-1B00-000008000000}"/>
                </a:ext>
              </a:extLst>
            </xdr:cNvPr>
            <xdr:cNvSpPr txBox="1"/>
          </xdr:nvSpPr>
          <xdr:spPr>
            <a:xfrm>
              <a:off x="1024498" y="244601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𝒕</m:t>
                        </m:r>
                      </m:sub>
                    </m:sSub>
                    <m:r>
                      <a:rPr lang="es-CO" sz="1100" b="1" i="1">
                        <a:latin typeface="Cambria Math" panose="02040503050406030204" pitchFamily="18" charset="0"/>
                      </a:rPr>
                      <m:t>)</m:t>
                    </m:r>
                  </m:oMath>
                </m:oMathPara>
              </a14:m>
              <a:endParaRPr lang="es-CO" sz="1100" b="1"/>
            </a:p>
          </xdr:txBody>
        </xdr:sp>
      </mc:Choice>
      <mc:Fallback xmlns="">
        <xdr:sp macro="" textlink="">
          <xdr:nvSpPr>
            <xdr:cNvPr id="8" name="CuadroTexto 7">
              <a:extLst>
                <a:ext uri="{FF2B5EF4-FFF2-40B4-BE49-F238E27FC236}">
                  <a16:creationId xmlns="" xmlns:a16="http://schemas.microsoft.com/office/drawing/2014/main" xmlns:a14="http://schemas.microsoft.com/office/drawing/2010/main" id="{00000000-0008-0000-1000-000008000000}"/>
                </a:ext>
              </a:extLst>
            </xdr:cNvPr>
            <xdr:cNvSpPr txBox="1"/>
          </xdr:nvSpPr>
          <xdr:spPr>
            <a:xfrm>
              <a:off x="1024498" y="244601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𝒕)</a:t>
              </a:r>
              <a:endParaRPr lang="es-CO" sz="1100" b="1"/>
            </a:p>
          </xdr:txBody>
        </xdr:sp>
      </mc:Fallback>
    </mc:AlternateContent>
    <xdr:clientData/>
  </xdr:oneCellAnchor>
  <xdr:oneCellAnchor>
    <xdr:from>
      <xdr:col>1</xdr:col>
      <xdr:colOff>186298</xdr:colOff>
      <xdr:row>64</xdr:row>
      <xdr:rowOff>222250</xdr:rowOff>
    </xdr:from>
    <xdr:ext cx="388696" cy="172227"/>
    <mc:AlternateContent xmlns:mc="http://schemas.openxmlformats.org/markup-compatibility/2006" xmlns:a14="http://schemas.microsoft.com/office/drawing/2010/main">
      <mc:Choice Requires="a14">
        <xdr:sp macro="" textlink="">
          <xdr:nvSpPr>
            <xdr:cNvPr id="9" name="CuadroTexto 8">
              <a:extLst>
                <a:ext uri="{FF2B5EF4-FFF2-40B4-BE49-F238E27FC236}">
                  <a16:creationId xmlns:a16="http://schemas.microsoft.com/office/drawing/2014/main" id="{00000000-0008-0000-1B00-000009000000}"/>
                </a:ext>
              </a:extLst>
            </xdr:cNvPr>
            <xdr:cNvSpPr txBox="1"/>
          </xdr:nvSpPr>
          <xdr:spPr>
            <a:xfrm>
              <a:off x="1024498" y="25149175"/>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9" name="CuadroTexto 8">
              <a:extLst>
                <a:ext uri="{FF2B5EF4-FFF2-40B4-BE49-F238E27FC236}">
                  <a16:creationId xmlns="" xmlns:a16="http://schemas.microsoft.com/office/drawing/2014/main" xmlns:a14="http://schemas.microsoft.com/office/drawing/2010/main" id="{00000000-0008-0000-1000-000009000000}"/>
                </a:ext>
              </a:extLst>
            </xdr:cNvPr>
            <xdr:cNvSpPr txBox="1"/>
          </xdr:nvSpPr>
          <xdr:spPr>
            <a:xfrm>
              <a:off x="1024498" y="25149175"/>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𝒓)</a:t>
              </a:r>
              <a:endParaRPr lang="es-CO" sz="1100" b="1"/>
            </a:p>
          </xdr:txBody>
        </xdr:sp>
      </mc:Fallback>
    </mc:AlternateContent>
    <xdr:clientData/>
  </xdr:oneCellAnchor>
  <xdr:oneCellAnchor>
    <xdr:from>
      <xdr:col>1</xdr:col>
      <xdr:colOff>265579</xdr:colOff>
      <xdr:row>65</xdr:row>
      <xdr:rowOff>288458</xdr:rowOff>
    </xdr:from>
    <xdr:ext cx="191271" cy="172227"/>
    <mc:AlternateContent xmlns:mc="http://schemas.openxmlformats.org/markup-compatibility/2006" xmlns:a14="http://schemas.microsoft.com/office/drawing/2010/main">
      <mc:Choice Requires="a14">
        <xdr:sp macro="" textlink="">
          <xdr:nvSpPr>
            <xdr:cNvPr id="10" name="CuadroTexto 9">
              <a:extLst>
                <a:ext uri="{FF2B5EF4-FFF2-40B4-BE49-F238E27FC236}">
                  <a16:creationId xmlns:a16="http://schemas.microsoft.com/office/drawing/2014/main" id="{00000000-0008-0000-1B00-00000A000000}"/>
                </a:ext>
              </a:extLst>
            </xdr:cNvPr>
            <xdr:cNvSpPr txBox="1"/>
          </xdr:nvSpPr>
          <xdr:spPr>
            <a:xfrm>
              <a:off x="1103779" y="2594880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𝒃</m:t>
                        </m:r>
                      </m:sub>
                    </m:sSub>
                  </m:oMath>
                </m:oMathPara>
              </a14:m>
              <a:endParaRPr lang="es-CO" sz="1100" b="1"/>
            </a:p>
          </xdr:txBody>
        </xdr:sp>
      </mc:Choice>
      <mc:Fallback xmlns="">
        <xdr:sp macro="" textlink="">
          <xdr:nvSpPr>
            <xdr:cNvPr id="10" name="CuadroTexto 9">
              <a:extLst>
                <a:ext uri="{FF2B5EF4-FFF2-40B4-BE49-F238E27FC236}">
                  <a16:creationId xmlns="" xmlns:a16="http://schemas.microsoft.com/office/drawing/2014/main" xmlns:a14="http://schemas.microsoft.com/office/drawing/2010/main" id="{00000000-0008-0000-1000-00000A000000}"/>
                </a:ext>
              </a:extLst>
            </xdr:cNvPr>
            <xdr:cNvSpPr txBox="1"/>
          </xdr:nvSpPr>
          <xdr:spPr>
            <a:xfrm>
              <a:off x="1103779" y="2594880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𝒖_𝒃</a:t>
              </a:r>
              <a:endParaRPr lang="es-CO" sz="1100" b="1"/>
            </a:p>
          </xdr:txBody>
        </xdr:sp>
      </mc:Fallback>
    </mc:AlternateContent>
    <xdr:clientData/>
  </xdr:oneCellAnchor>
  <xdr:oneCellAnchor>
    <xdr:from>
      <xdr:col>1</xdr:col>
      <xdr:colOff>261391</xdr:colOff>
      <xdr:row>66</xdr:row>
      <xdr:rowOff>294234</xdr:rowOff>
    </xdr:from>
    <xdr:ext cx="195053" cy="172227"/>
    <mc:AlternateContent xmlns:mc="http://schemas.openxmlformats.org/markup-compatibility/2006" xmlns:a14="http://schemas.microsoft.com/office/drawing/2010/main">
      <mc:Choice Requires="a14">
        <xdr:sp macro="" textlink="">
          <xdr:nvSpPr>
            <xdr:cNvPr id="11" name="CuadroTexto 10">
              <a:extLst>
                <a:ext uri="{FF2B5EF4-FFF2-40B4-BE49-F238E27FC236}">
                  <a16:creationId xmlns:a16="http://schemas.microsoft.com/office/drawing/2014/main" id="{00000000-0008-0000-1B00-00000B000000}"/>
                </a:ext>
              </a:extLst>
            </xdr:cNvPr>
            <xdr:cNvSpPr txBox="1"/>
          </xdr:nvSpPr>
          <xdr:spPr>
            <a:xfrm>
              <a:off x="1099591" y="26688009"/>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𝒅</m:t>
                        </m:r>
                      </m:sub>
                    </m:sSub>
                  </m:oMath>
                </m:oMathPara>
              </a14:m>
              <a:endParaRPr lang="es-CO" sz="1100" b="1"/>
            </a:p>
          </xdr:txBody>
        </xdr:sp>
      </mc:Choice>
      <mc:Fallback xmlns="">
        <xdr:sp macro="" textlink="">
          <xdr:nvSpPr>
            <xdr:cNvPr id="11" name="CuadroTexto 10">
              <a:extLst>
                <a:ext uri="{FF2B5EF4-FFF2-40B4-BE49-F238E27FC236}">
                  <a16:creationId xmlns="" xmlns:a16="http://schemas.microsoft.com/office/drawing/2014/main" xmlns:a14="http://schemas.microsoft.com/office/drawing/2010/main" id="{00000000-0008-0000-1000-00000B000000}"/>
                </a:ext>
              </a:extLst>
            </xdr:cNvPr>
            <xdr:cNvSpPr txBox="1"/>
          </xdr:nvSpPr>
          <xdr:spPr>
            <a:xfrm>
              <a:off x="1099591" y="26688009"/>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𝒖_𝒅</a:t>
              </a:r>
              <a:endParaRPr lang="es-CO" sz="1100" b="1"/>
            </a:p>
          </xdr:txBody>
        </xdr:sp>
      </mc:Fallback>
    </mc:AlternateContent>
    <xdr:clientData/>
  </xdr:oneCellAnchor>
  <xdr:oneCellAnchor>
    <xdr:from>
      <xdr:col>5</xdr:col>
      <xdr:colOff>393571</xdr:colOff>
      <xdr:row>69</xdr:row>
      <xdr:rowOff>265119</xdr:rowOff>
    </xdr:from>
    <xdr:ext cx="529697" cy="172227"/>
    <mc:AlternateContent xmlns:mc="http://schemas.openxmlformats.org/markup-compatibility/2006" xmlns:a14="http://schemas.microsoft.com/office/drawing/2010/main">
      <mc:Choice Requires="a14">
        <xdr:sp macro="" textlink="">
          <xdr:nvSpPr>
            <xdr:cNvPr id="12" name="CuadroTexto 11">
              <a:extLst>
                <a:ext uri="{FF2B5EF4-FFF2-40B4-BE49-F238E27FC236}">
                  <a16:creationId xmlns:a16="http://schemas.microsoft.com/office/drawing/2014/main" id="{00000000-0008-0000-1B00-00000C000000}"/>
                </a:ext>
              </a:extLst>
            </xdr:cNvPr>
            <xdr:cNvSpPr txBox="1"/>
          </xdr:nvSpPr>
          <xdr:spPr>
            <a:xfrm>
              <a:off x="5251321" y="28220994"/>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𝒄</m:t>
                        </m:r>
                      </m:sub>
                    </m:sSub>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12" name="CuadroTexto 11">
              <a:extLst>
                <a:ext uri="{FF2B5EF4-FFF2-40B4-BE49-F238E27FC236}">
                  <a16:creationId xmlns="" xmlns:a16="http://schemas.microsoft.com/office/drawing/2014/main" xmlns:a14="http://schemas.microsoft.com/office/drawing/2010/main" id="{00000000-0008-0000-1000-00000C000000}"/>
                </a:ext>
              </a:extLst>
            </xdr:cNvPr>
            <xdr:cNvSpPr txBox="1"/>
          </xdr:nvSpPr>
          <xdr:spPr>
            <a:xfrm>
              <a:off x="5251321" y="28220994"/>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𝒖_𝒄 (</a:t>
              </a:r>
              <a:r>
                <a:rPr lang="es-CO" sz="1100" b="1" i="0">
                  <a:latin typeface="Cambria Math" panose="02040503050406030204" pitchFamily="18" charset="0"/>
                  <a:ea typeface="Cambria Math" panose="02040503050406030204" pitchFamily="18" charset="0"/>
                </a:rPr>
                <a:t>𝒎_𝒄𝒕)</a:t>
              </a:r>
              <a:endParaRPr lang="es-CO" sz="1100" b="1"/>
            </a:p>
          </xdr:txBody>
        </xdr:sp>
      </mc:Fallback>
    </mc:AlternateContent>
    <xdr:clientData/>
  </xdr:oneCellAnchor>
  <xdr:oneCellAnchor>
    <xdr:from>
      <xdr:col>5</xdr:col>
      <xdr:colOff>243965</xdr:colOff>
      <xdr:row>70</xdr:row>
      <xdr:rowOff>130277</xdr:rowOff>
    </xdr:from>
    <xdr:ext cx="780598" cy="172227"/>
    <mc:AlternateContent xmlns:mc="http://schemas.openxmlformats.org/markup-compatibility/2006" xmlns:a14="http://schemas.microsoft.com/office/drawing/2010/main">
      <mc:Choice Requires="a14">
        <xdr:sp macro="" textlink="">
          <xdr:nvSpPr>
            <xdr:cNvPr id="13" name="CuadroTexto 12">
              <a:extLst>
                <a:ext uri="{FF2B5EF4-FFF2-40B4-BE49-F238E27FC236}">
                  <a16:creationId xmlns:a16="http://schemas.microsoft.com/office/drawing/2014/main" id="{00000000-0008-0000-1B00-00000D000000}"/>
                </a:ext>
              </a:extLst>
            </xdr:cNvPr>
            <xdr:cNvSpPr txBox="1"/>
          </xdr:nvSpPr>
          <xdr:spPr>
            <a:xfrm>
              <a:off x="5101715" y="2874337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100" b="1" i="1">
                      <a:latin typeface="Cambria Math" panose="02040503050406030204" pitchFamily="18" charset="0"/>
                    </a:rPr>
                    <m:t>𝑼</m:t>
                  </m:r>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a14:m>
              <a:r>
                <a:rPr lang="es-CO" sz="1100" b="1"/>
                <a:t> (k=2)</a:t>
              </a:r>
            </a:p>
          </xdr:txBody>
        </xdr:sp>
      </mc:Choice>
      <mc:Fallback xmlns="">
        <xdr:sp macro="" textlink="">
          <xdr:nvSpPr>
            <xdr:cNvPr id="13" name="CuadroTexto 12">
              <a:extLst>
                <a:ext uri="{FF2B5EF4-FFF2-40B4-BE49-F238E27FC236}">
                  <a16:creationId xmlns="" xmlns:a16="http://schemas.microsoft.com/office/drawing/2014/main" xmlns:a14="http://schemas.microsoft.com/office/drawing/2010/main" id="{00000000-0008-0000-1000-00000D000000}"/>
                </a:ext>
              </a:extLst>
            </xdr:cNvPr>
            <xdr:cNvSpPr txBox="1"/>
          </xdr:nvSpPr>
          <xdr:spPr>
            <a:xfrm>
              <a:off x="5101715" y="2874337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100" b="1" i="0">
                  <a:latin typeface="Cambria Math" panose="02040503050406030204" pitchFamily="18" charset="0"/>
                </a:rPr>
                <a:t>𝑼(</a:t>
              </a:r>
              <a:r>
                <a:rPr lang="es-CO" sz="1100" b="1" i="0">
                  <a:latin typeface="Cambria Math" panose="02040503050406030204" pitchFamily="18" charset="0"/>
                  <a:ea typeface="Cambria Math" panose="02040503050406030204" pitchFamily="18" charset="0"/>
                </a:rPr>
                <a:t>𝒎_𝒄𝒕)</a:t>
              </a:r>
              <a:r>
                <a:rPr lang="es-CO" sz="1100" b="1"/>
                <a:t> (k=2)</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14" name="CuadroTexto 13">
              <a:extLst>
                <a:ext uri="{FF2B5EF4-FFF2-40B4-BE49-F238E27FC236}">
                  <a16:creationId xmlns:a16="http://schemas.microsoft.com/office/drawing/2014/main" id="{00000000-0008-0000-1B00-00000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14" name="CuadroTexto 13">
              <a:extLst>
                <a:ext uri="{FF2B5EF4-FFF2-40B4-BE49-F238E27FC236}">
                  <a16:creationId xmlns="" xmlns:a16="http://schemas.microsoft.com/office/drawing/2014/main" xmlns:a14="http://schemas.microsoft.com/office/drawing/2010/main" id="{00000000-0008-0000-1000-00000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8</xdr:col>
      <xdr:colOff>541269</xdr:colOff>
      <xdr:row>52</xdr:row>
      <xdr:rowOff>78683</xdr:rowOff>
    </xdr:from>
    <xdr:ext cx="304571" cy="172227"/>
    <mc:AlternateContent xmlns:mc="http://schemas.openxmlformats.org/markup-compatibility/2006" xmlns:a14="http://schemas.microsoft.com/office/drawing/2010/main">
      <mc:Choice Requires="a14">
        <xdr:sp macro="" textlink="">
          <xdr:nvSpPr>
            <xdr:cNvPr id="15" name="CuadroTexto 14">
              <a:extLst>
                <a:ext uri="{FF2B5EF4-FFF2-40B4-BE49-F238E27FC236}">
                  <a16:creationId xmlns:a16="http://schemas.microsoft.com/office/drawing/2014/main" id="{00000000-0008-0000-1B00-00000F000000}"/>
                </a:ext>
              </a:extLst>
            </xdr:cNvPr>
            <xdr:cNvSpPr txBox="1"/>
          </xdr:nvSpPr>
          <xdr:spPr>
            <a:xfrm>
              <a:off x="9313794" y="18623858"/>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oMath>
                </m:oMathPara>
              </a14:m>
              <a:endParaRPr lang="es-CO" sz="1100" b="1"/>
            </a:p>
          </xdr:txBody>
        </xdr:sp>
      </mc:Choice>
      <mc:Fallback xmlns="">
        <xdr:sp macro="" textlink="">
          <xdr:nvSpPr>
            <xdr:cNvPr id="15" name="CuadroTexto 14">
              <a:extLst>
                <a:ext uri="{FF2B5EF4-FFF2-40B4-BE49-F238E27FC236}">
                  <a16:creationId xmlns="" xmlns:a16="http://schemas.microsoft.com/office/drawing/2014/main" xmlns:a14="http://schemas.microsoft.com/office/drawing/2010/main" id="{00000000-0008-0000-1000-00000F000000}"/>
                </a:ext>
              </a:extLst>
            </xdr:cNvPr>
            <xdr:cNvSpPr txBox="1"/>
          </xdr:nvSpPr>
          <xdr:spPr>
            <a:xfrm>
              <a:off x="9313794" y="18623858"/>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4</xdr:col>
      <xdr:colOff>155713</xdr:colOff>
      <xdr:row>39</xdr:row>
      <xdr:rowOff>106017</xdr:rowOff>
    </xdr:from>
    <xdr:ext cx="65" cy="172227"/>
    <xdr:sp macro="" textlink="">
      <xdr:nvSpPr>
        <xdr:cNvPr id="16" name="CuadroTexto 15">
          <a:extLst>
            <a:ext uri="{FF2B5EF4-FFF2-40B4-BE49-F238E27FC236}">
              <a16:creationId xmlns:a16="http://schemas.microsoft.com/office/drawing/2014/main" id="{00000000-0008-0000-1B00-000010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17" name="CuadroTexto 16">
              <a:extLst>
                <a:ext uri="{FF2B5EF4-FFF2-40B4-BE49-F238E27FC236}">
                  <a16:creationId xmlns:a16="http://schemas.microsoft.com/office/drawing/2014/main" id="{00000000-0008-0000-1B00-000011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7" name="CuadroTexto 16">
              <a:extLst>
                <a:ext uri="{FF2B5EF4-FFF2-40B4-BE49-F238E27FC236}">
                  <a16:creationId xmlns="" xmlns:a16="http://schemas.microsoft.com/office/drawing/2014/main" xmlns:a14="http://schemas.microsoft.com/office/drawing/2010/main" id="{00000000-0008-0000-1000-000011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18" name="CuadroTexto 17">
              <a:extLst>
                <a:ext uri="{FF2B5EF4-FFF2-40B4-BE49-F238E27FC236}">
                  <a16:creationId xmlns:a16="http://schemas.microsoft.com/office/drawing/2014/main" id="{00000000-0008-0000-1B00-000012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18" name="CuadroTexto 17">
              <a:extLst>
                <a:ext uri="{FF2B5EF4-FFF2-40B4-BE49-F238E27FC236}">
                  <a16:creationId xmlns="" xmlns:a16="http://schemas.microsoft.com/office/drawing/2014/main" xmlns:a14="http://schemas.microsoft.com/office/drawing/2010/main" id="{00000000-0008-0000-1000-000012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19" name="CuadroTexto 18">
              <a:extLst>
                <a:ext uri="{FF2B5EF4-FFF2-40B4-BE49-F238E27FC236}">
                  <a16:creationId xmlns:a16="http://schemas.microsoft.com/office/drawing/2014/main" id="{00000000-0008-0000-1B00-000013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9" name="CuadroTexto 18">
              <a:extLst>
                <a:ext uri="{FF2B5EF4-FFF2-40B4-BE49-F238E27FC236}">
                  <a16:creationId xmlns="" xmlns:a16="http://schemas.microsoft.com/office/drawing/2014/main" xmlns:a14="http://schemas.microsoft.com/office/drawing/2010/main" id="{00000000-0008-0000-1000-000013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0" name="CuadroTexto 19">
              <a:extLst>
                <a:ext uri="{FF2B5EF4-FFF2-40B4-BE49-F238E27FC236}">
                  <a16:creationId xmlns:a16="http://schemas.microsoft.com/office/drawing/2014/main" id="{00000000-0008-0000-1B00-000014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0" name="CuadroTexto 19">
              <a:extLst>
                <a:ext uri="{FF2B5EF4-FFF2-40B4-BE49-F238E27FC236}">
                  <a16:creationId xmlns="" xmlns:a16="http://schemas.microsoft.com/office/drawing/2014/main" xmlns:a14="http://schemas.microsoft.com/office/drawing/2010/main" id="{00000000-0008-0000-1000-000014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1" name="CuadroTexto 20">
          <a:extLst>
            <a:ext uri="{FF2B5EF4-FFF2-40B4-BE49-F238E27FC236}">
              <a16:creationId xmlns:a16="http://schemas.microsoft.com/office/drawing/2014/main" id="{00000000-0008-0000-1B00-000015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3</xdr:col>
      <xdr:colOff>236456</xdr:colOff>
      <xdr:row>73</xdr:row>
      <xdr:rowOff>141002</xdr:rowOff>
    </xdr:from>
    <xdr:ext cx="730521" cy="219163"/>
    <mc:AlternateContent xmlns:mc="http://schemas.openxmlformats.org/markup-compatibility/2006" xmlns:a14="http://schemas.microsoft.com/office/drawing/2010/main">
      <mc:Choice Requires="a14">
        <xdr:sp macro="" textlink="">
          <xdr:nvSpPr>
            <xdr:cNvPr id="22" name="CuadroTexto 21">
              <a:extLst>
                <a:ext uri="{FF2B5EF4-FFF2-40B4-BE49-F238E27FC236}">
                  <a16:creationId xmlns:a16="http://schemas.microsoft.com/office/drawing/2014/main" id="{00000000-0008-0000-1B00-000016000000}"/>
                </a:ext>
              </a:extLst>
            </xdr:cNvPr>
            <xdr:cNvSpPr txBox="1"/>
          </xdr:nvSpPr>
          <xdr:spPr>
            <a:xfrm>
              <a:off x="2922506" y="30059027"/>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m:t>
                  </m:r>
                  <m:sSub>
                    <m:sSubPr>
                      <m:ctrlPr>
                        <a:rPr lang="es-CO" sz="1400" b="1" i="1">
                          <a:latin typeface="Cambria Math" panose="02040503050406030204" pitchFamily="18" charset="0"/>
                          <a:ea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𝒎</m:t>
                      </m:r>
                    </m:e>
                    <m:sub>
                      <m:r>
                        <a:rPr lang="es-CO" sz="1400" b="1" i="1">
                          <a:latin typeface="Cambria Math" panose="02040503050406030204" pitchFamily="18" charset="0"/>
                          <a:ea typeface="Cambria Math" panose="02040503050406030204" pitchFamily="18" charset="0"/>
                        </a:rPr>
                        <m:t>𝒄</m:t>
                      </m:r>
                    </m:sub>
                  </m:sSub>
                </m:oMath>
              </a14:m>
              <a:r>
                <a:rPr lang="es-CO" sz="1400" b="1" i="1"/>
                <a:t> (mg</a:t>
              </a:r>
              <a:r>
                <a:rPr lang="es-CO" sz="1200" b="1" i="0"/>
                <a:t>)</a:t>
              </a:r>
            </a:p>
          </xdr:txBody>
        </xdr:sp>
      </mc:Choice>
      <mc:Fallback xmlns="">
        <xdr:sp macro="" textlink="">
          <xdr:nvSpPr>
            <xdr:cNvPr id="22" name="CuadroTexto 21">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2922506" y="30059027"/>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400" b="1" i="0">
                  <a:latin typeface="Cambria Math" panose="02040503050406030204" pitchFamily="18" charset="0"/>
                  <a:ea typeface="Cambria Math" panose="02040503050406030204" pitchFamily="18" charset="0"/>
                </a:rPr>
                <a:t>∆𝒎_𝒄</a:t>
              </a:r>
              <a:r>
                <a:rPr lang="es-CO" sz="1400" b="1" i="1"/>
                <a:t> (mg</a:t>
              </a:r>
              <a:r>
                <a:rPr lang="es-CO" sz="1200" b="1" i="0"/>
                <a:t>)</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23" name="CuadroTexto 22">
              <a:extLst>
                <a:ext uri="{FF2B5EF4-FFF2-40B4-BE49-F238E27FC236}">
                  <a16:creationId xmlns:a16="http://schemas.microsoft.com/office/drawing/2014/main" id="{00000000-0008-0000-1B00-000017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23" name="CuadroTexto 22">
              <a:extLst>
                <a:ext uri="{FF2B5EF4-FFF2-40B4-BE49-F238E27FC236}">
                  <a16:creationId xmlns="" xmlns:a16="http://schemas.microsoft.com/office/drawing/2014/main" xmlns:a14="http://schemas.microsoft.com/office/drawing/2010/main" id="{00000000-0008-0000-1000-000023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24" name="CuadroTexto 23">
          <a:extLst>
            <a:ext uri="{FF2B5EF4-FFF2-40B4-BE49-F238E27FC236}">
              <a16:creationId xmlns:a16="http://schemas.microsoft.com/office/drawing/2014/main" id="{00000000-0008-0000-1B00-000018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25" name="CuadroTexto 24">
              <a:extLst>
                <a:ext uri="{FF2B5EF4-FFF2-40B4-BE49-F238E27FC236}">
                  <a16:creationId xmlns:a16="http://schemas.microsoft.com/office/drawing/2014/main" id="{00000000-0008-0000-1B00-000019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5" name="CuadroTexto 24">
              <a:extLst>
                <a:ext uri="{FF2B5EF4-FFF2-40B4-BE49-F238E27FC236}">
                  <a16:creationId xmlns="" xmlns:a16="http://schemas.microsoft.com/office/drawing/2014/main" xmlns:a14="http://schemas.microsoft.com/office/drawing/2010/main" id="{00000000-0008-0000-1000-000026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26" name="CuadroTexto 25">
              <a:extLst>
                <a:ext uri="{FF2B5EF4-FFF2-40B4-BE49-F238E27FC236}">
                  <a16:creationId xmlns:a16="http://schemas.microsoft.com/office/drawing/2014/main" id="{00000000-0008-0000-1B00-00001A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6" name="CuadroTexto 25">
              <a:extLst>
                <a:ext uri="{FF2B5EF4-FFF2-40B4-BE49-F238E27FC236}">
                  <a16:creationId xmlns="" xmlns:a16="http://schemas.microsoft.com/office/drawing/2014/main" xmlns:a14="http://schemas.microsoft.com/office/drawing/2010/main" id="{00000000-0008-0000-1000-000027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27" name="CuadroTexto 26">
              <a:extLst>
                <a:ext uri="{FF2B5EF4-FFF2-40B4-BE49-F238E27FC236}">
                  <a16:creationId xmlns:a16="http://schemas.microsoft.com/office/drawing/2014/main" id="{00000000-0008-0000-1B00-00001B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7" name="CuadroTexto 26">
              <a:extLst>
                <a:ext uri="{FF2B5EF4-FFF2-40B4-BE49-F238E27FC236}">
                  <a16:creationId xmlns="" xmlns:a16="http://schemas.microsoft.com/office/drawing/2014/main" xmlns:a14="http://schemas.microsoft.com/office/drawing/2010/main" id="{00000000-0008-0000-1000-000028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8" name="CuadroTexto 27">
              <a:extLst>
                <a:ext uri="{FF2B5EF4-FFF2-40B4-BE49-F238E27FC236}">
                  <a16:creationId xmlns:a16="http://schemas.microsoft.com/office/drawing/2014/main" id="{00000000-0008-0000-1B00-00001C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8" name="CuadroTexto 27">
              <a:extLst>
                <a:ext uri="{FF2B5EF4-FFF2-40B4-BE49-F238E27FC236}">
                  <a16:creationId xmlns="" xmlns:a16="http://schemas.microsoft.com/office/drawing/2014/main" xmlns:a14="http://schemas.microsoft.com/office/drawing/2010/main" id="{00000000-0008-0000-1000-000029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9" name="CuadroTexto 28">
          <a:extLst>
            <a:ext uri="{FF2B5EF4-FFF2-40B4-BE49-F238E27FC236}">
              <a16:creationId xmlns:a16="http://schemas.microsoft.com/office/drawing/2014/main" id="{00000000-0008-0000-1B00-00001D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30" name="CuadroTexto 29">
              <a:extLst>
                <a:ext uri="{FF2B5EF4-FFF2-40B4-BE49-F238E27FC236}">
                  <a16:creationId xmlns:a16="http://schemas.microsoft.com/office/drawing/2014/main" id="{00000000-0008-0000-1B00-00001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30" name="CuadroTexto 29">
              <a:extLst>
                <a:ext uri="{FF2B5EF4-FFF2-40B4-BE49-F238E27FC236}">
                  <a16:creationId xmlns="" xmlns:a16="http://schemas.microsoft.com/office/drawing/2014/main" xmlns:a14="http://schemas.microsoft.com/office/drawing/2010/main" id="{00000000-0008-0000-1000-000038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31" name="CuadroTexto 30">
          <a:extLst>
            <a:ext uri="{FF2B5EF4-FFF2-40B4-BE49-F238E27FC236}">
              <a16:creationId xmlns:a16="http://schemas.microsoft.com/office/drawing/2014/main" id="{00000000-0008-0000-1B00-00001F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32" name="CuadroTexto 31">
              <a:extLst>
                <a:ext uri="{FF2B5EF4-FFF2-40B4-BE49-F238E27FC236}">
                  <a16:creationId xmlns:a16="http://schemas.microsoft.com/office/drawing/2014/main" id="{00000000-0008-0000-1B00-000020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2" name="CuadroTexto 31">
              <a:extLst>
                <a:ext uri="{FF2B5EF4-FFF2-40B4-BE49-F238E27FC236}">
                  <a16:creationId xmlns="" xmlns:a16="http://schemas.microsoft.com/office/drawing/2014/main" xmlns:a14="http://schemas.microsoft.com/office/drawing/2010/main" id="{00000000-0008-0000-1000-00003B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33" name="CuadroTexto 32">
              <a:extLst>
                <a:ext uri="{FF2B5EF4-FFF2-40B4-BE49-F238E27FC236}">
                  <a16:creationId xmlns:a16="http://schemas.microsoft.com/office/drawing/2014/main" id="{00000000-0008-0000-1B00-000021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3" name="CuadroTexto 32">
              <a:extLst>
                <a:ext uri="{FF2B5EF4-FFF2-40B4-BE49-F238E27FC236}">
                  <a16:creationId xmlns="" xmlns:a16="http://schemas.microsoft.com/office/drawing/2014/main" xmlns:a14="http://schemas.microsoft.com/office/drawing/2010/main" id="{00000000-0008-0000-1000-00003C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34" name="CuadroTexto 33">
              <a:extLst>
                <a:ext uri="{FF2B5EF4-FFF2-40B4-BE49-F238E27FC236}">
                  <a16:creationId xmlns:a16="http://schemas.microsoft.com/office/drawing/2014/main" id="{00000000-0008-0000-1B00-000022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4" name="CuadroTexto 33">
              <a:extLst>
                <a:ext uri="{FF2B5EF4-FFF2-40B4-BE49-F238E27FC236}">
                  <a16:creationId xmlns="" xmlns:a16="http://schemas.microsoft.com/office/drawing/2014/main" xmlns:a14="http://schemas.microsoft.com/office/drawing/2010/main" id="{00000000-0008-0000-1000-00003D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35" name="CuadroTexto 34">
              <a:extLst>
                <a:ext uri="{FF2B5EF4-FFF2-40B4-BE49-F238E27FC236}">
                  <a16:creationId xmlns:a16="http://schemas.microsoft.com/office/drawing/2014/main" id="{00000000-0008-0000-1B00-000023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5" name="CuadroTexto 34">
              <a:extLst>
                <a:ext uri="{FF2B5EF4-FFF2-40B4-BE49-F238E27FC236}">
                  <a16:creationId xmlns="" xmlns:a16="http://schemas.microsoft.com/office/drawing/2014/main" xmlns:a14="http://schemas.microsoft.com/office/drawing/2010/main" id="{00000000-0008-0000-1000-00003E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36" name="CuadroTexto 35">
          <a:extLst>
            <a:ext uri="{FF2B5EF4-FFF2-40B4-BE49-F238E27FC236}">
              <a16:creationId xmlns:a16="http://schemas.microsoft.com/office/drawing/2014/main" id="{00000000-0008-0000-1B00-000024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11</xdr:col>
      <xdr:colOff>628650</xdr:colOff>
      <xdr:row>61</xdr:row>
      <xdr:rowOff>0</xdr:rowOff>
    </xdr:from>
    <xdr:ext cx="65" cy="172227"/>
    <xdr:sp macro="" textlink="">
      <xdr:nvSpPr>
        <xdr:cNvPr id="38" name="CuadroTexto 37">
          <a:extLst>
            <a:ext uri="{FF2B5EF4-FFF2-40B4-BE49-F238E27FC236}">
              <a16:creationId xmlns:a16="http://schemas.microsoft.com/office/drawing/2014/main" id="{00000000-0008-0000-1B00-000026000000}"/>
            </a:ext>
          </a:extLst>
        </xdr:cNvPr>
        <xdr:cNvSpPr txBox="1"/>
      </xdr:nvSpPr>
      <xdr:spPr>
        <a:xfrm>
          <a:off x="12001500" y="2272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5</xdr:col>
      <xdr:colOff>539750</xdr:colOff>
      <xdr:row>73</xdr:row>
      <xdr:rowOff>158749</xdr:rowOff>
    </xdr:from>
    <xdr:ext cx="984250" cy="210507"/>
    <mc:AlternateContent xmlns:mc="http://schemas.openxmlformats.org/markup-compatibility/2006" xmlns:a14="http://schemas.microsoft.com/office/drawing/2010/main">
      <mc:Choice Requires="a14">
        <xdr:sp macro="" textlink="">
          <xdr:nvSpPr>
            <xdr:cNvPr id="39" name="CuadroTexto 38">
              <a:extLst>
                <a:ext uri="{FF2B5EF4-FFF2-40B4-BE49-F238E27FC236}">
                  <a16:creationId xmlns:a16="http://schemas.microsoft.com/office/drawing/2014/main" id="{00000000-0008-0000-1B00-000027000000}"/>
                </a:ext>
              </a:extLst>
            </xdr:cNvPr>
            <xdr:cNvSpPr txBox="1"/>
          </xdr:nvSpPr>
          <xdr:spPr>
            <a:xfrm>
              <a:off x="5397500" y="30076774"/>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𝒆</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39" name="CuadroTexto 38">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5397500" y="30076774"/>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𝒆 𝒄𝒕</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4</xdr:col>
      <xdr:colOff>52917</xdr:colOff>
      <xdr:row>73</xdr:row>
      <xdr:rowOff>148167</xdr:rowOff>
    </xdr:from>
    <xdr:ext cx="984250" cy="210507"/>
    <mc:AlternateContent xmlns:mc="http://schemas.openxmlformats.org/markup-compatibility/2006" xmlns:a14="http://schemas.microsoft.com/office/drawing/2010/main">
      <mc:Choice Requires="a14">
        <xdr:sp macro="" textlink="">
          <xdr:nvSpPr>
            <xdr:cNvPr id="40" name="CuadroTexto 39">
              <a:extLst>
                <a:ext uri="{FF2B5EF4-FFF2-40B4-BE49-F238E27FC236}">
                  <a16:creationId xmlns:a16="http://schemas.microsoft.com/office/drawing/2014/main" id="{00000000-0008-0000-1B00-000028000000}"/>
                </a:ext>
              </a:extLst>
            </xdr:cNvPr>
            <xdr:cNvSpPr txBox="1"/>
          </xdr:nvSpPr>
          <xdr:spPr>
            <a:xfrm>
              <a:off x="3872442" y="30066192"/>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0" name="CuadroTexto 39">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3872442" y="30066192"/>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𝒄𝒕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1</xdr:col>
      <xdr:colOff>23812</xdr:colOff>
      <xdr:row>73</xdr:row>
      <xdr:rowOff>95250</xdr:rowOff>
    </xdr:from>
    <xdr:ext cx="724958" cy="210507"/>
    <mc:AlternateContent xmlns:mc="http://schemas.openxmlformats.org/markup-compatibility/2006" xmlns:a14="http://schemas.microsoft.com/office/drawing/2010/main">
      <mc:Choice Requires="a14">
        <xdr:sp macro="" textlink="">
          <xdr:nvSpPr>
            <xdr:cNvPr id="42" name="CuadroTexto 41">
              <a:extLst>
                <a:ext uri="{FF2B5EF4-FFF2-40B4-BE49-F238E27FC236}">
                  <a16:creationId xmlns:a16="http://schemas.microsoft.com/office/drawing/2014/main" id="{00000000-0008-0000-1B00-00002A000000}"/>
                </a:ext>
              </a:extLst>
            </xdr:cNvPr>
            <xdr:cNvSpPr txBox="1"/>
          </xdr:nvSpPr>
          <xdr:spPr>
            <a:xfrm>
              <a:off x="1000125" y="30206156"/>
              <a:ext cx="724958"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𝑵𝒓</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2" name="CuadroTexto 41">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1000125" y="30206156"/>
              <a:ext cx="724958"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𝑵𝒓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8</xdr:col>
      <xdr:colOff>624417</xdr:colOff>
      <xdr:row>73</xdr:row>
      <xdr:rowOff>285751</xdr:rowOff>
    </xdr:from>
    <xdr:ext cx="1524000" cy="210507"/>
    <mc:AlternateContent xmlns:mc="http://schemas.openxmlformats.org/markup-compatibility/2006" xmlns:a14="http://schemas.microsoft.com/office/drawing/2010/main">
      <mc:Choice Requires="a14">
        <xdr:sp macro="" textlink="">
          <xdr:nvSpPr>
            <xdr:cNvPr id="43" name="CuadroTexto 42">
              <a:extLst>
                <a:ext uri="{FF2B5EF4-FFF2-40B4-BE49-F238E27FC236}">
                  <a16:creationId xmlns:a16="http://schemas.microsoft.com/office/drawing/2014/main" id="{00000000-0008-0000-1B00-00002B000000}"/>
                </a:ext>
              </a:extLst>
            </xdr:cNvPr>
            <xdr:cNvSpPr txBox="1"/>
          </xdr:nvSpPr>
          <xdr:spPr>
            <a:xfrm>
              <a:off x="9396942" y="30203776"/>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𝑼</m:t>
                  </m:r>
                  <m:r>
                    <a:rPr lang="es-CO" sz="1400" b="1" i="1">
                      <a:latin typeface="Cambria Math" panose="02040503050406030204" pitchFamily="18" charset="0"/>
                      <a:ea typeface="Cambria Math" panose="02040503050406030204" pitchFamily="18" charset="0"/>
                    </a:rPr>
                    <m:t> </m:t>
                  </m:r>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 </m:t>
                  </m:r>
                  <m:r>
                    <a:rPr lang="es-CO" sz="1400" b="1" i="1">
                      <a:latin typeface="Cambria Math" panose="02040503050406030204" pitchFamily="18" charset="0"/>
                      <a:ea typeface="Cambria Math" panose="02040503050406030204" pitchFamily="18" charset="0"/>
                    </a:rPr>
                    <m:t>𝒌</m:t>
                  </m:r>
                  <m:r>
                    <a:rPr lang="es-CO" sz="1400" b="1" i="1">
                      <a:latin typeface="Cambria Math" panose="02040503050406030204" pitchFamily="18" charset="0"/>
                      <a:ea typeface="Cambria Math" panose="02040503050406030204" pitchFamily="18" charset="0"/>
                    </a:rPr>
                    <m:t>=</m:t>
                  </m:r>
                  <m:r>
                    <a:rPr lang="es-CO" sz="1400" b="1" i="1">
                      <a:latin typeface="Cambria Math" panose="02040503050406030204" pitchFamily="18" charset="0"/>
                      <a:ea typeface="Cambria Math" panose="02040503050406030204" pitchFamily="18" charset="0"/>
                    </a:rPr>
                    <m:t>𝟐</m:t>
                  </m:r>
                </m:oMath>
              </a14:m>
              <a:r>
                <a:rPr lang="es-CO" sz="1400" b="1" i="1">
                  <a:latin typeface="Arial" panose="020B0604020202020204" pitchFamily="34" charset="0"/>
                  <a:cs typeface="Arial" panose="020B0604020202020204" pitchFamily="34" charset="0"/>
                </a:rPr>
                <a:t>)</a:t>
              </a:r>
            </a:p>
          </xdr:txBody>
        </xdr:sp>
      </mc:Choice>
      <mc:Fallback xmlns="">
        <xdr:sp macro="" textlink="">
          <xdr:nvSpPr>
            <xdr:cNvPr id="43" name="CuadroTexto 42">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9396942" y="30203776"/>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0">
                  <a:latin typeface="Cambria Math" panose="02040503050406030204" pitchFamily="18" charset="0"/>
                  <a:ea typeface="Cambria Math" panose="02040503050406030204" pitchFamily="18" charset="0"/>
                </a:rPr>
                <a:t>𝑼 </a:t>
              </a:r>
              <a:r>
                <a:rPr lang="es-CO" sz="1400" b="1" i="0">
                  <a:latin typeface="Cambria Math"/>
                  <a:ea typeface="Cambria Math" panose="02040503050406030204" pitchFamily="18" charset="0"/>
                </a:rPr>
                <a:t>(</a:t>
              </a:r>
              <a:r>
                <a:rPr lang="es-CO" sz="1400" b="1" i="0">
                  <a:latin typeface="Cambria Math" panose="02040503050406030204" pitchFamily="18" charset="0"/>
                  <a:ea typeface="Cambria Math" panose="02040503050406030204" pitchFamily="18" charset="0"/>
                </a:rPr>
                <a:t> 𝒎 𝒄𝒕 </a:t>
              </a:r>
              <a:r>
                <a:rPr lang="es-CO" sz="1400" b="1" i="0">
                  <a:latin typeface="Cambria Math"/>
                  <a:ea typeface="Cambria Math" panose="02040503050406030204" pitchFamily="18" charset="0"/>
                </a:rPr>
                <a:t>)</a:t>
              </a:r>
              <a:r>
                <a:rPr lang="es-CO" sz="1400" b="1" i="0">
                  <a:latin typeface="Cambria Math" panose="02040503050406030204" pitchFamily="18" charset="0"/>
                  <a:ea typeface="Cambria Math" panose="02040503050406030204" pitchFamily="18" charset="0"/>
                </a:rPr>
                <a:t>  ( 𝒌=𝟐</a:t>
              </a:r>
              <a:r>
                <a:rPr lang="es-CO" sz="1400" b="1" i="1">
                  <a:latin typeface="Arial" panose="020B0604020202020204" pitchFamily="34" charset="0"/>
                  <a:cs typeface="Arial" panose="020B0604020202020204" pitchFamily="34" charset="0"/>
                </a:rPr>
                <a:t>)</a:t>
              </a:r>
            </a:p>
          </xdr:txBody>
        </xdr:sp>
      </mc:Fallback>
    </mc:AlternateContent>
    <xdr:clientData/>
  </xdr:oneCellAnchor>
  <xdr:oneCellAnchor>
    <xdr:from>
      <xdr:col>9</xdr:col>
      <xdr:colOff>603252</xdr:colOff>
      <xdr:row>74</xdr:row>
      <xdr:rowOff>84667</xdr:rowOff>
    </xdr:from>
    <xdr:ext cx="465666" cy="219163"/>
    <xdr:sp macro="" textlink="">
      <xdr:nvSpPr>
        <xdr:cNvPr id="44" name="CuadroTexto 43">
          <a:extLst>
            <a:ext uri="{FF2B5EF4-FFF2-40B4-BE49-F238E27FC236}">
              <a16:creationId xmlns:a16="http://schemas.microsoft.com/office/drawing/2014/main" id="{00000000-0008-0000-1B00-00002C000000}"/>
            </a:ext>
          </a:extLst>
        </xdr:cNvPr>
        <xdr:cNvSpPr txBox="1"/>
      </xdr:nvSpPr>
      <xdr:spPr>
        <a:xfrm>
          <a:off x="10299702" y="30517042"/>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9</xdr:col>
      <xdr:colOff>571499</xdr:colOff>
      <xdr:row>75</xdr:row>
      <xdr:rowOff>116416</xdr:rowOff>
    </xdr:from>
    <xdr:ext cx="359835" cy="219163"/>
    <xdr:sp macro="" textlink="">
      <xdr:nvSpPr>
        <xdr:cNvPr id="45" name="CuadroTexto 44">
          <a:extLst>
            <a:ext uri="{FF2B5EF4-FFF2-40B4-BE49-F238E27FC236}">
              <a16:creationId xmlns:a16="http://schemas.microsoft.com/office/drawing/2014/main" id="{00000000-0008-0000-1B00-00002D000000}"/>
            </a:ext>
          </a:extLst>
        </xdr:cNvPr>
        <xdr:cNvSpPr txBox="1"/>
      </xdr:nvSpPr>
      <xdr:spPr>
        <a:xfrm>
          <a:off x="10267949" y="30986941"/>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6</xdr:col>
      <xdr:colOff>275167</xdr:colOff>
      <xdr:row>74</xdr:row>
      <xdr:rowOff>148166</xdr:rowOff>
    </xdr:from>
    <xdr:ext cx="465666" cy="219163"/>
    <xdr:sp macro="" textlink="">
      <xdr:nvSpPr>
        <xdr:cNvPr id="46" name="CuadroTexto 45">
          <a:extLst>
            <a:ext uri="{FF2B5EF4-FFF2-40B4-BE49-F238E27FC236}">
              <a16:creationId xmlns:a16="http://schemas.microsoft.com/office/drawing/2014/main" id="{00000000-0008-0000-1B00-00002E000000}"/>
            </a:ext>
          </a:extLst>
        </xdr:cNvPr>
        <xdr:cNvSpPr txBox="1"/>
      </xdr:nvSpPr>
      <xdr:spPr>
        <a:xfrm>
          <a:off x="6371167" y="30580541"/>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6</xdr:col>
      <xdr:colOff>328083</xdr:colOff>
      <xdr:row>75</xdr:row>
      <xdr:rowOff>84667</xdr:rowOff>
    </xdr:from>
    <xdr:ext cx="359835" cy="219163"/>
    <xdr:sp macro="" textlink="">
      <xdr:nvSpPr>
        <xdr:cNvPr id="47" name="CuadroTexto 46">
          <a:extLst>
            <a:ext uri="{FF2B5EF4-FFF2-40B4-BE49-F238E27FC236}">
              <a16:creationId xmlns:a16="http://schemas.microsoft.com/office/drawing/2014/main" id="{00000000-0008-0000-1B00-00002F000000}"/>
            </a:ext>
          </a:extLst>
        </xdr:cNvPr>
        <xdr:cNvSpPr txBox="1"/>
      </xdr:nvSpPr>
      <xdr:spPr>
        <a:xfrm>
          <a:off x="6424083" y="30955192"/>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3</xdr:col>
      <xdr:colOff>560916</xdr:colOff>
      <xdr:row>72</xdr:row>
      <xdr:rowOff>74084</xdr:rowOff>
    </xdr:from>
    <xdr:ext cx="1524000" cy="210507"/>
    <mc:AlternateContent xmlns:mc="http://schemas.openxmlformats.org/markup-compatibility/2006" xmlns:a14="http://schemas.microsoft.com/office/drawing/2010/main">
      <mc:Choice Requires="a14">
        <xdr:sp macro="" textlink="">
          <xdr:nvSpPr>
            <xdr:cNvPr id="48" name="CuadroTexto 47">
              <a:extLst>
                <a:ext uri="{FF2B5EF4-FFF2-40B4-BE49-F238E27FC236}">
                  <a16:creationId xmlns:a16="http://schemas.microsoft.com/office/drawing/2014/main" id="{00000000-0008-0000-1B00-000030000000}"/>
                </a:ext>
              </a:extLst>
            </xdr:cNvPr>
            <xdr:cNvSpPr txBox="1"/>
          </xdr:nvSpPr>
          <xdr:spPr>
            <a:xfrm>
              <a:off x="3246966" y="29553959"/>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m:t>
                    </m:r>
                  </m:oMath>
                </m:oMathPara>
              </a14:m>
              <a:endParaRPr lang="es-CO" sz="1400" b="1" i="1">
                <a:latin typeface="Arial" panose="020B0604020202020204" pitchFamily="34" charset="0"/>
                <a:cs typeface="Arial" panose="020B0604020202020204" pitchFamily="34" charset="0"/>
              </a:endParaRPr>
            </a:p>
          </xdr:txBody>
        </xdr:sp>
      </mc:Choice>
      <mc:Fallback xmlns="">
        <xdr:sp macro="" textlink="">
          <xdr:nvSpPr>
            <xdr:cNvPr id="48" name="CuadroTexto 47">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3246966" y="29553959"/>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 𝒎 𝒄𝒕 )   </a:t>
              </a:r>
              <a:endParaRPr lang="es-CO" sz="1400" b="1" i="1">
                <a:latin typeface="Arial" panose="020B0604020202020204" pitchFamily="34" charset="0"/>
                <a:cs typeface="Arial" panose="020B0604020202020204" pitchFamily="34" charset="0"/>
              </a:endParaRPr>
            </a:p>
          </xdr:txBody>
        </xdr:sp>
      </mc:Fallback>
    </mc:AlternateContent>
    <xdr:clientData/>
  </xdr:oneCellAnchor>
  <xdr:oneCellAnchor>
    <xdr:from>
      <xdr:col>7</xdr:col>
      <xdr:colOff>411956</xdr:colOff>
      <xdr:row>71</xdr:row>
      <xdr:rowOff>406003</xdr:rowOff>
    </xdr:from>
    <xdr:ext cx="65" cy="172227"/>
    <xdr:sp macro="" textlink="">
      <xdr:nvSpPr>
        <xdr:cNvPr id="49" name="CuadroTexto 48">
          <a:extLst>
            <a:ext uri="{FF2B5EF4-FFF2-40B4-BE49-F238E27FC236}">
              <a16:creationId xmlns:a16="http://schemas.microsoft.com/office/drawing/2014/main" id="{00000000-0008-0000-1B00-000031000000}"/>
            </a:ext>
          </a:extLst>
        </xdr:cNvPr>
        <xdr:cNvSpPr txBox="1"/>
      </xdr:nvSpPr>
      <xdr:spPr>
        <a:xfrm>
          <a:off x="7555706" y="29457253"/>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51" name="CuadroTexto 50">
              <a:extLst>
                <a:ext uri="{FF2B5EF4-FFF2-40B4-BE49-F238E27FC236}">
                  <a16:creationId xmlns:a16="http://schemas.microsoft.com/office/drawing/2014/main" id="{00000000-0008-0000-1B00-000033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51" name="CuadroTexto 50">
              <a:extLst>
                <a:ext uri="{FF2B5EF4-FFF2-40B4-BE49-F238E27FC236}">
                  <a16:creationId xmlns:a16="http://schemas.microsoft.com/office/drawing/2014/main" id="{C202A7E4-EC1A-4334-AD9F-7A83025EFBC4}"/>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52" name="CuadroTexto 51">
              <a:extLst>
                <a:ext uri="{FF2B5EF4-FFF2-40B4-BE49-F238E27FC236}">
                  <a16:creationId xmlns:a16="http://schemas.microsoft.com/office/drawing/2014/main" id="{00000000-0008-0000-1B00-000034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52" name="CuadroTexto 51">
              <a:extLst>
                <a:ext uri="{FF2B5EF4-FFF2-40B4-BE49-F238E27FC236}">
                  <a16:creationId xmlns:a16="http://schemas.microsoft.com/office/drawing/2014/main" id="{3A8CECE6-4976-4594-8EC7-474F1713308D}"/>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twoCellAnchor>
    <xdr:from>
      <xdr:col>7</xdr:col>
      <xdr:colOff>825500</xdr:colOff>
      <xdr:row>62</xdr:row>
      <xdr:rowOff>269875</xdr:rowOff>
    </xdr:from>
    <xdr:to>
      <xdr:col>11</xdr:col>
      <xdr:colOff>761999</xdr:colOff>
      <xdr:row>64</xdr:row>
      <xdr:rowOff>539750</xdr:rowOff>
    </xdr:to>
    <xdr:graphicFrame macro="">
      <xdr:nvGraphicFramePr>
        <xdr:cNvPr id="53" name="Gráfico 52">
          <a:extLst>
            <a:ext uri="{FF2B5EF4-FFF2-40B4-BE49-F238E27FC236}">
              <a16:creationId xmlns:a16="http://schemas.microsoft.com/office/drawing/2014/main" id="{00000000-0008-0000-1B00-00003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226220</xdr:colOff>
      <xdr:row>0</xdr:row>
      <xdr:rowOff>71437</xdr:rowOff>
    </xdr:from>
    <xdr:to>
      <xdr:col>1</xdr:col>
      <xdr:colOff>621626</xdr:colOff>
      <xdr:row>0</xdr:row>
      <xdr:rowOff>711572</xdr:rowOff>
    </xdr:to>
    <xdr:pic>
      <xdr:nvPicPr>
        <xdr:cNvPr id="37" name="36 Imagen">
          <a:extLst>
            <a:ext uri="{FF2B5EF4-FFF2-40B4-BE49-F238E27FC236}">
              <a16:creationId xmlns:a16="http://schemas.microsoft.com/office/drawing/2014/main" id="{00000000-0008-0000-1B00-000025000000}"/>
            </a:ext>
          </a:extLst>
        </xdr:cNvPr>
        <xdr:cNvPicPr>
          <a:picLocks noChangeAspect="1"/>
        </xdr:cNvPicPr>
      </xdr:nvPicPr>
      <xdr:blipFill>
        <a:blip xmlns:r="http://schemas.openxmlformats.org/officeDocument/2006/relationships" r:embed="rId2"/>
        <a:stretch>
          <a:fillRect/>
        </a:stretch>
      </xdr:blipFill>
      <xdr:spPr>
        <a:xfrm>
          <a:off x="226220" y="71437"/>
          <a:ext cx="1371719" cy="640135"/>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oneCellAnchor>
    <xdr:from>
      <xdr:col>1</xdr:col>
      <xdr:colOff>285935</xdr:colOff>
      <xdr:row>42</xdr:row>
      <xdr:rowOff>169517</xdr:rowOff>
    </xdr:from>
    <xdr:ext cx="177356" cy="176202"/>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00000000-0008-0000-1C00-000003000000}"/>
                </a:ext>
              </a:extLst>
            </xdr:cNvPr>
            <xdr:cNvSpPr txBox="1"/>
          </xdr:nvSpPr>
          <xdr:spPr>
            <a:xfrm>
              <a:off x="1124135" y="14980892"/>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bg1"/>
                            </a:solidFill>
                            <a:latin typeface="Cambria Math" panose="02040503050406030204" pitchFamily="18" charset="0"/>
                          </a:rPr>
                        </m:ctrlPr>
                      </m:accPr>
                      <m:e>
                        <m:r>
                          <a:rPr lang="es-CO" sz="1100" b="1" i="1">
                            <a:solidFill>
                              <a:schemeClr val="bg1"/>
                            </a:solidFill>
                            <a:latin typeface="Cambria Math" panose="02040503050406030204" pitchFamily="18" charset="0"/>
                            <a:ea typeface="Cambria Math" panose="02040503050406030204" pitchFamily="18" charset="0"/>
                          </a:rPr>
                          <m:t>∆</m:t>
                        </m:r>
                        <m:r>
                          <a:rPr lang="es-CO" sz="1100" b="1" i="1">
                            <a:solidFill>
                              <a:schemeClr val="bg1"/>
                            </a:solidFill>
                            <a:latin typeface="Cambria Math" panose="02040503050406030204" pitchFamily="18" charset="0"/>
                            <a:ea typeface="Cambria Math" panose="02040503050406030204" pitchFamily="18" charset="0"/>
                          </a:rPr>
                          <m:t>𝑰</m:t>
                        </m:r>
                      </m:e>
                    </m:acc>
                  </m:oMath>
                </m:oMathPara>
              </a14:m>
              <a:endParaRPr lang="es-CO" sz="1100" b="1">
                <a:solidFill>
                  <a:schemeClr val="bg1"/>
                </a:solidFill>
              </a:endParaRPr>
            </a:p>
          </xdr:txBody>
        </xdr:sp>
      </mc:Choice>
      <mc:Fallback xmlns="">
        <xdr:sp macro="" textlink="">
          <xdr:nvSpPr>
            <xdr:cNvPr id="3" name="CuadroTexto 2">
              <a:extLst>
                <a:ext uri="{FF2B5EF4-FFF2-40B4-BE49-F238E27FC236}">
                  <a16:creationId xmlns="" xmlns:a16="http://schemas.microsoft.com/office/drawing/2014/main" xmlns:a14="http://schemas.microsoft.com/office/drawing/2010/main" id="{00000000-0008-0000-1000-000003000000}"/>
                </a:ext>
              </a:extLst>
            </xdr:cNvPr>
            <xdr:cNvSpPr txBox="1"/>
          </xdr:nvSpPr>
          <xdr:spPr>
            <a:xfrm>
              <a:off x="1124135" y="14980892"/>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bg1"/>
                  </a:solidFill>
                  <a:latin typeface="Cambria Math" panose="02040503050406030204" pitchFamily="18" charset="0"/>
                </a:rPr>
                <a:t>(</a:t>
              </a:r>
              <a:r>
                <a:rPr lang="es-CO" sz="1100" b="1" i="0">
                  <a:solidFill>
                    <a:schemeClr val="bg1"/>
                  </a:solidFill>
                  <a:latin typeface="Cambria Math" panose="02040503050406030204" pitchFamily="18" charset="0"/>
                  <a:ea typeface="Cambria Math" panose="02040503050406030204" pitchFamily="18" charset="0"/>
                </a:rPr>
                <a:t>∆𝑰) ̅</a:t>
              </a:r>
              <a:endParaRPr lang="es-CO" sz="1100" b="1">
                <a:solidFill>
                  <a:schemeClr val="bg1"/>
                </a:solidFill>
              </a:endParaRPr>
            </a:p>
          </xdr:txBody>
        </xdr:sp>
      </mc:Fallback>
    </mc:AlternateContent>
    <xdr:clientData/>
  </xdr:oneCellAnchor>
  <xdr:oneCellAnchor>
    <xdr:from>
      <xdr:col>1</xdr:col>
      <xdr:colOff>136732</xdr:colOff>
      <xdr:row>58</xdr:row>
      <xdr:rowOff>253032</xdr:rowOff>
    </xdr:from>
    <xdr:ext cx="599716" cy="172227"/>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id="{00000000-0008-0000-1C00-000004000000}"/>
                </a:ext>
              </a:extLst>
            </xdr:cNvPr>
            <xdr:cNvSpPr txBox="1"/>
          </xdr:nvSpPr>
          <xdr:spPr>
            <a:xfrm>
              <a:off x="974932" y="20779407"/>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𝒘</m:t>
                        </m:r>
                      </m:sub>
                    </m:sSub>
                    <m:r>
                      <a:rPr lang="es-CO" sz="1100" b="1" i="1">
                        <a:latin typeface="Cambria Math" panose="02040503050406030204" pitchFamily="18" charset="0"/>
                      </a:rPr>
                      <m:t>(</m:t>
                    </m:r>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4" name="CuadroTexto 3">
              <a:extLst>
                <a:ext uri="{FF2B5EF4-FFF2-40B4-BE49-F238E27FC236}">
                  <a16:creationId xmlns="" xmlns:a16="http://schemas.microsoft.com/office/drawing/2014/main" xmlns:a14="http://schemas.microsoft.com/office/drawing/2010/main" id="{00000000-0008-0000-1000-000004000000}"/>
                </a:ext>
              </a:extLst>
            </xdr:cNvPr>
            <xdr:cNvSpPr txBox="1"/>
          </xdr:nvSpPr>
          <xdr:spPr>
            <a:xfrm>
              <a:off x="974932" y="20779407"/>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𝒖_𝒘 (</a:t>
              </a: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1</xdr:col>
      <xdr:colOff>202651</xdr:colOff>
      <xdr:row>61</xdr:row>
      <xdr:rowOff>265287</xdr:rowOff>
    </xdr:from>
    <xdr:ext cx="483915" cy="172227"/>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id="{00000000-0008-0000-1C00-000005000000}"/>
                </a:ext>
              </a:extLst>
            </xdr:cNvPr>
            <xdr:cNvSpPr txBox="1"/>
          </xdr:nvSpPr>
          <xdr:spPr>
            <a:xfrm>
              <a:off x="1040851" y="2299193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5" name="CuadroTexto 4">
              <a:extLst>
                <a:ext uri="{FF2B5EF4-FFF2-40B4-BE49-F238E27FC236}">
                  <a16:creationId xmlns="" xmlns:a16="http://schemas.microsoft.com/office/drawing/2014/main" xmlns:a14="http://schemas.microsoft.com/office/drawing/2010/main" id="{00000000-0008-0000-1000-000005000000}"/>
                </a:ext>
              </a:extLst>
            </xdr:cNvPr>
            <xdr:cNvSpPr txBox="1"/>
          </xdr:nvSpPr>
          <xdr:spPr>
            <a:xfrm>
              <a:off x="1040851" y="2299193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𝒖(𝒎_𝒄𝒓)</a:t>
              </a:r>
              <a:endParaRPr lang="es-CO" sz="1100" b="1"/>
            </a:p>
          </xdr:txBody>
        </xdr:sp>
      </mc:Fallback>
    </mc:AlternateContent>
    <xdr:clientData/>
  </xdr:oneCellAnchor>
  <xdr:oneCellAnchor>
    <xdr:from>
      <xdr:col>1</xdr:col>
      <xdr:colOff>34166</xdr:colOff>
      <xdr:row>60</xdr:row>
      <xdr:rowOff>250203</xdr:rowOff>
    </xdr:from>
    <xdr:ext cx="689483" cy="172227"/>
    <mc:AlternateContent xmlns:mc="http://schemas.openxmlformats.org/markup-compatibility/2006" xmlns:a14="http://schemas.microsoft.com/office/drawing/2010/main">
      <mc:Choice Requires="a14">
        <xdr:sp macro="" textlink="">
          <xdr:nvSpPr>
            <xdr:cNvPr id="6" name="CuadroTexto 5">
              <a:extLst>
                <a:ext uri="{FF2B5EF4-FFF2-40B4-BE49-F238E27FC236}">
                  <a16:creationId xmlns:a16="http://schemas.microsoft.com/office/drawing/2014/main" id="{00000000-0008-0000-1C00-000006000000}"/>
                </a:ext>
              </a:extLst>
            </xdr:cNvPr>
            <xdr:cNvSpPr txBox="1"/>
          </xdr:nvSpPr>
          <xdr:spPr>
            <a:xfrm>
              <a:off x="872366" y="22243428"/>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𝒊𝒏𝒔𝒕</m:t>
                        </m:r>
                      </m:sub>
                    </m:sSub>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0" i="1">
                        <a:latin typeface="Cambria Math" panose="02040503050406030204" pitchFamily="18" charset="0"/>
                      </a:rPr>
                      <m:t>)</m:t>
                    </m:r>
                  </m:oMath>
                </m:oMathPara>
              </a14:m>
              <a:endParaRPr lang="es-CO" sz="1100"/>
            </a:p>
          </xdr:txBody>
        </xdr:sp>
      </mc:Choice>
      <mc:Fallback xmlns="">
        <xdr:sp macro="" textlink="">
          <xdr:nvSpPr>
            <xdr:cNvPr id="6" name="CuadroTexto 5">
              <a:extLst>
                <a:ext uri="{FF2B5EF4-FFF2-40B4-BE49-F238E27FC236}">
                  <a16:creationId xmlns="" xmlns:a16="http://schemas.microsoft.com/office/drawing/2014/main" xmlns:a14="http://schemas.microsoft.com/office/drawing/2010/main" id="{00000000-0008-0000-1000-000006000000}"/>
                </a:ext>
              </a:extLst>
            </xdr:cNvPr>
            <xdr:cNvSpPr txBox="1"/>
          </xdr:nvSpPr>
          <xdr:spPr>
            <a:xfrm>
              <a:off x="872366" y="22243428"/>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𝒖_𝒊𝒏𝒔𝒕 (𝒎_𝒄𝒓</a:t>
              </a:r>
              <a:r>
                <a:rPr lang="es-CO" sz="1100" b="0" i="0">
                  <a:latin typeface="Cambria Math" panose="02040503050406030204" pitchFamily="18" charset="0"/>
                </a:rPr>
                <a:t>)</a:t>
              </a:r>
              <a:endParaRPr lang="es-CO" sz="1100"/>
            </a:p>
          </xdr:txBody>
        </xdr:sp>
      </mc:Fallback>
    </mc:AlternateContent>
    <xdr:clientData/>
  </xdr:oneCellAnchor>
  <xdr:oneCellAnchor>
    <xdr:from>
      <xdr:col>1</xdr:col>
      <xdr:colOff>183870</xdr:colOff>
      <xdr:row>62</xdr:row>
      <xdr:rowOff>264645</xdr:rowOff>
    </xdr:from>
    <xdr:ext cx="397353" cy="172227"/>
    <mc:AlternateContent xmlns:mc="http://schemas.openxmlformats.org/markup-compatibility/2006" xmlns:a14="http://schemas.microsoft.com/office/drawing/2010/main">
      <mc:Choice Requires="a14">
        <xdr:sp macro="" textlink="">
          <xdr:nvSpPr>
            <xdr:cNvPr id="7" name="CuadroTexto 6">
              <a:extLst>
                <a:ext uri="{FF2B5EF4-FFF2-40B4-BE49-F238E27FC236}">
                  <a16:creationId xmlns:a16="http://schemas.microsoft.com/office/drawing/2014/main" id="{00000000-0008-0000-1C00-000007000000}"/>
                </a:ext>
              </a:extLst>
            </xdr:cNvPr>
            <xdr:cNvSpPr txBox="1"/>
          </xdr:nvSpPr>
          <xdr:spPr>
            <a:xfrm>
              <a:off x="1022070" y="23724720"/>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𝒂</m:t>
                        </m:r>
                      </m:sub>
                    </m:sSub>
                    <m:r>
                      <a:rPr lang="es-CO" sz="1100" b="1" i="1">
                        <a:latin typeface="Cambria Math" panose="02040503050406030204" pitchFamily="18" charset="0"/>
                      </a:rPr>
                      <m:t>)</m:t>
                    </m:r>
                  </m:oMath>
                </m:oMathPara>
              </a14:m>
              <a:endParaRPr lang="es-CO" sz="1100" b="1"/>
            </a:p>
          </xdr:txBody>
        </xdr:sp>
      </mc:Choice>
      <mc:Fallback xmlns="">
        <xdr:sp macro="" textlink="">
          <xdr:nvSpPr>
            <xdr:cNvPr id="7" name="CuadroTexto 6">
              <a:extLst>
                <a:ext uri="{FF2B5EF4-FFF2-40B4-BE49-F238E27FC236}">
                  <a16:creationId xmlns="" xmlns:a16="http://schemas.microsoft.com/office/drawing/2014/main" xmlns:a14="http://schemas.microsoft.com/office/drawing/2010/main" id="{00000000-0008-0000-1000-000007000000}"/>
                </a:ext>
              </a:extLst>
            </xdr:cNvPr>
            <xdr:cNvSpPr txBox="1"/>
          </xdr:nvSpPr>
          <xdr:spPr>
            <a:xfrm>
              <a:off x="1022070" y="23724720"/>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𝒂)</a:t>
              </a:r>
              <a:endParaRPr lang="es-CO" sz="1100" b="1"/>
            </a:p>
          </xdr:txBody>
        </xdr:sp>
      </mc:Fallback>
    </mc:AlternateContent>
    <xdr:clientData/>
  </xdr:oneCellAnchor>
  <xdr:oneCellAnchor>
    <xdr:from>
      <xdr:col>1</xdr:col>
      <xdr:colOff>186298</xdr:colOff>
      <xdr:row>63</xdr:row>
      <xdr:rowOff>266606</xdr:rowOff>
    </xdr:from>
    <xdr:ext cx="376642" cy="172227"/>
    <mc:AlternateContent xmlns:mc="http://schemas.openxmlformats.org/markup-compatibility/2006" xmlns:a14="http://schemas.microsoft.com/office/drawing/2010/main">
      <mc:Choice Requires="a14">
        <xdr:sp macro="" textlink="">
          <xdr:nvSpPr>
            <xdr:cNvPr id="8" name="CuadroTexto 7">
              <a:extLst>
                <a:ext uri="{FF2B5EF4-FFF2-40B4-BE49-F238E27FC236}">
                  <a16:creationId xmlns:a16="http://schemas.microsoft.com/office/drawing/2014/main" id="{00000000-0008-0000-1C00-000008000000}"/>
                </a:ext>
              </a:extLst>
            </xdr:cNvPr>
            <xdr:cNvSpPr txBox="1"/>
          </xdr:nvSpPr>
          <xdr:spPr>
            <a:xfrm>
              <a:off x="1024498" y="244601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𝒕</m:t>
                        </m:r>
                      </m:sub>
                    </m:sSub>
                    <m:r>
                      <a:rPr lang="es-CO" sz="1100" b="1" i="1">
                        <a:latin typeface="Cambria Math" panose="02040503050406030204" pitchFamily="18" charset="0"/>
                      </a:rPr>
                      <m:t>)</m:t>
                    </m:r>
                  </m:oMath>
                </m:oMathPara>
              </a14:m>
              <a:endParaRPr lang="es-CO" sz="1100" b="1"/>
            </a:p>
          </xdr:txBody>
        </xdr:sp>
      </mc:Choice>
      <mc:Fallback xmlns="">
        <xdr:sp macro="" textlink="">
          <xdr:nvSpPr>
            <xdr:cNvPr id="8" name="CuadroTexto 7">
              <a:extLst>
                <a:ext uri="{FF2B5EF4-FFF2-40B4-BE49-F238E27FC236}">
                  <a16:creationId xmlns="" xmlns:a16="http://schemas.microsoft.com/office/drawing/2014/main" xmlns:a14="http://schemas.microsoft.com/office/drawing/2010/main" id="{00000000-0008-0000-1000-000008000000}"/>
                </a:ext>
              </a:extLst>
            </xdr:cNvPr>
            <xdr:cNvSpPr txBox="1"/>
          </xdr:nvSpPr>
          <xdr:spPr>
            <a:xfrm>
              <a:off x="1024498" y="244601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𝒕)</a:t>
              </a:r>
              <a:endParaRPr lang="es-CO" sz="1100" b="1"/>
            </a:p>
          </xdr:txBody>
        </xdr:sp>
      </mc:Fallback>
    </mc:AlternateContent>
    <xdr:clientData/>
  </xdr:oneCellAnchor>
  <xdr:oneCellAnchor>
    <xdr:from>
      <xdr:col>1</xdr:col>
      <xdr:colOff>186298</xdr:colOff>
      <xdr:row>64</xdr:row>
      <xdr:rowOff>222250</xdr:rowOff>
    </xdr:from>
    <xdr:ext cx="388696" cy="172227"/>
    <mc:AlternateContent xmlns:mc="http://schemas.openxmlformats.org/markup-compatibility/2006" xmlns:a14="http://schemas.microsoft.com/office/drawing/2010/main">
      <mc:Choice Requires="a14">
        <xdr:sp macro="" textlink="">
          <xdr:nvSpPr>
            <xdr:cNvPr id="9" name="CuadroTexto 8">
              <a:extLst>
                <a:ext uri="{FF2B5EF4-FFF2-40B4-BE49-F238E27FC236}">
                  <a16:creationId xmlns:a16="http://schemas.microsoft.com/office/drawing/2014/main" id="{00000000-0008-0000-1C00-000009000000}"/>
                </a:ext>
              </a:extLst>
            </xdr:cNvPr>
            <xdr:cNvSpPr txBox="1"/>
          </xdr:nvSpPr>
          <xdr:spPr>
            <a:xfrm>
              <a:off x="1024498" y="25149175"/>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9" name="CuadroTexto 8">
              <a:extLst>
                <a:ext uri="{FF2B5EF4-FFF2-40B4-BE49-F238E27FC236}">
                  <a16:creationId xmlns="" xmlns:a16="http://schemas.microsoft.com/office/drawing/2014/main" xmlns:a14="http://schemas.microsoft.com/office/drawing/2010/main" id="{00000000-0008-0000-1000-000009000000}"/>
                </a:ext>
              </a:extLst>
            </xdr:cNvPr>
            <xdr:cNvSpPr txBox="1"/>
          </xdr:nvSpPr>
          <xdr:spPr>
            <a:xfrm>
              <a:off x="1024498" y="25149175"/>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𝒓)</a:t>
              </a:r>
              <a:endParaRPr lang="es-CO" sz="1100" b="1"/>
            </a:p>
          </xdr:txBody>
        </xdr:sp>
      </mc:Fallback>
    </mc:AlternateContent>
    <xdr:clientData/>
  </xdr:oneCellAnchor>
  <xdr:oneCellAnchor>
    <xdr:from>
      <xdr:col>1</xdr:col>
      <xdr:colOff>265579</xdr:colOff>
      <xdr:row>65</xdr:row>
      <xdr:rowOff>288458</xdr:rowOff>
    </xdr:from>
    <xdr:ext cx="191271" cy="172227"/>
    <mc:AlternateContent xmlns:mc="http://schemas.openxmlformats.org/markup-compatibility/2006" xmlns:a14="http://schemas.microsoft.com/office/drawing/2010/main">
      <mc:Choice Requires="a14">
        <xdr:sp macro="" textlink="">
          <xdr:nvSpPr>
            <xdr:cNvPr id="10" name="CuadroTexto 9">
              <a:extLst>
                <a:ext uri="{FF2B5EF4-FFF2-40B4-BE49-F238E27FC236}">
                  <a16:creationId xmlns:a16="http://schemas.microsoft.com/office/drawing/2014/main" id="{00000000-0008-0000-1C00-00000A000000}"/>
                </a:ext>
              </a:extLst>
            </xdr:cNvPr>
            <xdr:cNvSpPr txBox="1"/>
          </xdr:nvSpPr>
          <xdr:spPr>
            <a:xfrm>
              <a:off x="1103779" y="2594880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𝒃</m:t>
                        </m:r>
                      </m:sub>
                    </m:sSub>
                  </m:oMath>
                </m:oMathPara>
              </a14:m>
              <a:endParaRPr lang="es-CO" sz="1100" b="1"/>
            </a:p>
          </xdr:txBody>
        </xdr:sp>
      </mc:Choice>
      <mc:Fallback xmlns="">
        <xdr:sp macro="" textlink="">
          <xdr:nvSpPr>
            <xdr:cNvPr id="10" name="CuadroTexto 9">
              <a:extLst>
                <a:ext uri="{FF2B5EF4-FFF2-40B4-BE49-F238E27FC236}">
                  <a16:creationId xmlns="" xmlns:a16="http://schemas.microsoft.com/office/drawing/2014/main" xmlns:a14="http://schemas.microsoft.com/office/drawing/2010/main" id="{00000000-0008-0000-1000-00000A000000}"/>
                </a:ext>
              </a:extLst>
            </xdr:cNvPr>
            <xdr:cNvSpPr txBox="1"/>
          </xdr:nvSpPr>
          <xdr:spPr>
            <a:xfrm>
              <a:off x="1103779" y="2594880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𝒖_𝒃</a:t>
              </a:r>
              <a:endParaRPr lang="es-CO" sz="1100" b="1"/>
            </a:p>
          </xdr:txBody>
        </xdr:sp>
      </mc:Fallback>
    </mc:AlternateContent>
    <xdr:clientData/>
  </xdr:oneCellAnchor>
  <xdr:oneCellAnchor>
    <xdr:from>
      <xdr:col>1</xdr:col>
      <xdr:colOff>261391</xdr:colOff>
      <xdr:row>66</xdr:row>
      <xdr:rowOff>294234</xdr:rowOff>
    </xdr:from>
    <xdr:ext cx="195053" cy="172227"/>
    <mc:AlternateContent xmlns:mc="http://schemas.openxmlformats.org/markup-compatibility/2006" xmlns:a14="http://schemas.microsoft.com/office/drawing/2010/main">
      <mc:Choice Requires="a14">
        <xdr:sp macro="" textlink="">
          <xdr:nvSpPr>
            <xdr:cNvPr id="11" name="CuadroTexto 10">
              <a:extLst>
                <a:ext uri="{FF2B5EF4-FFF2-40B4-BE49-F238E27FC236}">
                  <a16:creationId xmlns:a16="http://schemas.microsoft.com/office/drawing/2014/main" id="{00000000-0008-0000-1C00-00000B000000}"/>
                </a:ext>
              </a:extLst>
            </xdr:cNvPr>
            <xdr:cNvSpPr txBox="1"/>
          </xdr:nvSpPr>
          <xdr:spPr>
            <a:xfrm>
              <a:off x="1099591" y="26688009"/>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𝒅</m:t>
                        </m:r>
                      </m:sub>
                    </m:sSub>
                  </m:oMath>
                </m:oMathPara>
              </a14:m>
              <a:endParaRPr lang="es-CO" sz="1100" b="1"/>
            </a:p>
          </xdr:txBody>
        </xdr:sp>
      </mc:Choice>
      <mc:Fallback xmlns="">
        <xdr:sp macro="" textlink="">
          <xdr:nvSpPr>
            <xdr:cNvPr id="11" name="CuadroTexto 10">
              <a:extLst>
                <a:ext uri="{FF2B5EF4-FFF2-40B4-BE49-F238E27FC236}">
                  <a16:creationId xmlns="" xmlns:a16="http://schemas.microsoft.com/office/drawing/2014/main" xmlns:a14="http://schemas.microsoft.com/office/drawing/2010/main" id="{00000000-0008-0000-1000-00000B000000}"/>
                </a:ext>
              </a:extLst>
            </xdr:cNvPr>
            <xdr:cNvSpPr txBox="1"/>
          </xdr:nvSpPr>
          <xdr:spPr>
            <a:xfrm>
              <a:off x="1099591" y="26688009"/>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𝒖_𝒅</a:t>
              </a:r>
              <a:endParaRPr lang="es-CO" sz="1100" b="1"/>
            </a:p>
          </xdr:txBody>
        </xdr:sp>
      </mc:Fallback>
    </mc:AlternateContent>
    <xdr:clientData/>
  </xdr:oneCellAnchor>
  <xdr:oneCellAnchor>
    <xdr:from>
      <xdr:col>5</xdr:col>
      <xdr:colOff>393571</xdr:colOff>
      <xdr:row>69</xdr:row>
      <xdr:rowOff>265119</xdr:rowOff>
    </xdr:from>
    <xdr:ext cx="529697" cy="172227"/>
    <mc:AlternateContent xmlns:mc="http://schemas.openxmlformats.org/markup-compatibility/2006" xmlns:a14="http://schemas.microsoft.com/office/drawing/2010/main">
      <mc:Choice Requires="a14">
        <xdr:sp macro="" textlink="">
          <xdr:nvSpPr>
            <xdr:cNvPr id="12" name="CuadroTexto 11">
              <a:extLst>
                <a:ext uri="{FF2B5EF4-FFF2-40B4-BE49-F238E27FC236}">
                  <a16:creationId xmlns:a16="http://schemas.microsoft.com/office/drawing/2014/main" id="{00000000-0008-0000-1C00-00000C000000}"/>
                </a:ext>
              </a:extLst>
            </xdr:cNvPr>
            <xdr:cNvSpPr txBox="1"/>
          </xdr:nvSpPr>
          <xdr:spPr>
            <a:xfrm>
              <a:off x="5251321" y="28220994"/>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𝒄</m:t>
                        </m:r>
                      </m:sub>
                    </m:sSub>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12" name="CuadroTexto 11">
              <a:extLst>
                <a:ext uri="{FF2B5EF4-FFF2-40B4-BE49-F238E27FC236}">
                  <a16:creationId xmlns="" xmlns:a16="http://schemas.microsoft.com/office/drawing/2014/main" xmlns:a14="http://schemas.microsoft.com/office/drawing/2010/main" id="{00000000-0008-0000-1000-00000C000000}"/>
                </a:ext>
              </a:extLst>
            </xdr:cNvPr>
            <xdr:cNvSpPr txBox="1"/>
          </xdr:nvSpPr>
          <xdr:spPr>
            <a:xfrm>
              <a:off x="5251321" y="28220994"/>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𝒖_𝒄 (</a:t>
              </a:r>
              <a:r>
                <a:rPr lang="es-CO" sz="1100" b="1" i="0">
                  <a:latin typeface="Cambria Math" panose="02040503050406030204" pitchFamily="18" charset="0"/>
                  <a:ea typeface="Cambria Math" panose="02040503050406030204" pitchFamily="18" charset="0"/>
                </a:rPr>
                <a:t>𝒎_𝒄𝒕)</a:t>
              </a:r>
              <a:endParaRPr lang="es-CO" sz="1100" b="1"/>
            </a:p>
          </xdr:txBody>
        </xdr:sp>
      </mc:Fallback>
    </mc:AlternateContent>
    <xdr:clientData/>
  </xdr:oneCellAnchor>
  <xdr:oneCellAnchor>
    <xdr:from>
      <xdr:col>5</xdr:col>
      <xdr:colOff>243965</xdr:colOff>
      <xdr:row>70</xdr:row>
      <xdr:rowOff>130277</xdr:rowOff>
    </xdr:from>
    <xdr:ext cx="780598" cy="172227"/>
    <mc:AlternateContent xmlns:mc="http://schemas.openxmlformats.org/markup-compatibility/2006" xmlns:a14="http://schemas.microsoft.com/office/drawing/2010/main">
      <mc:Choice Requires="a14">
        <xdr:sp macro="" textlink="">
          <xdr:nvSpPr>
            <xdr:cNvPr id="13" name="CuadroTexto 12">
              <a:extLst>
                <a:ext uri="{FF2B5EF4-FFF2-40B4-BE49-F238E27FC236}">
                  <a16:creationId xmlns:a16="http://schemas.microsoft.com/office/drawing/2014/main" id="{00000000-0008-0000-1C00-00000D000000}"/>
                </a:ext>
              </a:extLst>
            </xdr:cNvPr>
            <xdr:cNvSpPr txBox="1"/>
          </xdr:nvSpPr>
          <xdr:spPr>
            <a:xfrm>
              <a:off x="5101715" y="2874337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100" b="1" i="1">
                      <a:latin typeface="Cambria Math" panose="02040503050406030204" pitchFamily="18" charset="0"/>
                    </a:rPr>
                    <m:t>𝑼</m:t>
                  </m:r>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a14:m>
              <a:r>
                <a:rPr lang="es-CO" sz="1100" b="1"/>
                <a:t> (k=2)</a:t>
              </a:r>
            </a:p>
          </xdr:txBody>
        </xdr:sp>
      </mc:Choice>
      <mc:Fallback xmlns="">
        <xdr:sp macro="" textlink="">
          <xdr:nvSpPr>
            <xdr:cNvPr id="13" name="CuadroTexto 12">
              <a:extLst>
                <a:ext uri="{FF2B5EF4-FFF2-40B4-BE49-F238E27FC236}">
                  <a16:creationId xmlns="" xmlns:a16="http://schemas.microsoft.com/office/drawing/2014/main" xmlns:a14="http://schemas.microsoft.com/office/drawing/2010/main" id="{00000000-0008-0000-1000-00000D000000}"/>
                </a:ext>
              </a:extLst>
            </xdr:cNvPr>
            <xdr:cNvSpPr txBox="1"/>
          </xdr:nvSpPr>
          <xdr:spPr>
            <a:xfrm>
              <a:off x="5101715" y="2874337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100" b="1" i="0">
                  <a:latin typeface="Cambria Math" panose="02040503050406030204" pitchFamily="18" charset="0"/>
                </a:rPr>
                <a:t>𝑼(</a:t>
              </a:r>
              <a:r>
                <a:rPr lang="es-CO" sz="1100" b="1" i="0">
                  <a:latin typeface="Cambria Math" panose="02040503050406030204" pitchFamily="18" charset="0"/>
                  <a:ea typeface="Cambria Math" panose="02040503050406030204" pitchFamily="18" charset="0"/>
                </a:rPr>
                <a:t>𝒎_𝒄𝒕)</a:t>
              </a:r>
              <a:r>
                <a:rPr lang="es-CO" sz="1100" b="1"/>
                <a:t> (k=2)</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14" name="CuadroTexto 13">
              <a:extLst>
                <a:ext uri="{FF2B5EF4-FFF2-40B4-BE49-F238E27FC236}">
                  <a16:creationId xmlns:a16="http://schemas.microsoft.com/office/drawing/2014/main" id="{00000000-0008-0000-1C00-00000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14" name="CuadroTexto 13">
              <a:extLst>
                <a:ext uri="{FF2B5EF4-FFF2-40B4-BE49-F238E27FC236}">
                  <a16:creationId xmlns="" xmlns:a16="http://schemas.microsoft.com/office/drawing/2014/main" xmlns:a14="http://schemas.microsoft.com/office/drawing/2010/main" id="{00000000-0008-0000-1000-00000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8</xdr:col>
      <xdr:colOff>541269</xdr:colOff>
      <xdr:row>52</xdr:row>
      <xdr:rowOff>78683</xdr:rowOff>
    </xdr:from>
    <xdr:ext cx="304571" cy="172227"/>
    <mc:AlternateContent xmlns:mc="http://schemas.openxmlformats.org/markup-compatibility/2006" xmlns:a14="http://schemas.microsoft.com/office/drawing/2010/main">
      <mc:Choice Requires="a14">
        <xdr:sp macro="" textlink="">
          <xdr:nvSpPr>
            <xdr:cNvPr id="15" name="CuadroTexto 14">
              <a:extLst>
                <a:ext uri="{FF2B5EF4-FFF2-40B4-BE49-F238E27FC236}">
                  <a16:creationId xmlns:a16="http://schemas.microsoft.com/office/drawing/2014/main" id="{00000000-0008-0000-1C00-00000F000000}"/>
                </a:ext>
              </a:extLst>
            </xdr:cNvPr>
            <xdr:cNvSpPr txBox="1"/>
          </xdr:nvSpPr>
          <xdr:spPr>
            <a:xfrm>
              <a:off x="9313794" y="18623858"/>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oMath>
                </m:oMathPara>
              </a14:m>
              <a:endParaRPr lang="es-CO" sz="1100" b="1"/>
            </a:p>
          </xdr:txBody>
        </xdr:sp>
      </mc:Choice>
      <mc:Fallback xmlns="">
        <xdr:sp macro="" textlink="">
          <xdr:nvSpPr>
            <xdr:cNvPr id="15" name="CuadroTexto 14">
              <a:extLst>
                <a:ext uri="{FF2B5EF4-FFF2-40B4-BE49-F238E27FC236}">
                  <a16:creationId xmlns="" xmlns:a16="http://schemas.microsoft.com/office/drawing/2014/main" xmlns:a14="http://schemas.microsoft.com/office/drawing/2010/main" id="{00000000-0008-0000-1000-00000F000000}"/>
                </a:ext>
              </a:extLst>
            </xdr:cNvPr>
            <xdr:cNvSpPr txBox="1"/>
          </xdr:nvSpPr>
          <xdr:spPr>
            <a:xfrm>
              <a:off x="9313794" y="18623858"/>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4</xdr:col>
      <xdr:colOff>155713</xdr:colOff>
      <xdr:row>39</xdr:row>
      <xdr:rowOff>106017</xdr:rowOff>
    </xdr:from>
    <xdr:ext cx="65" cy="172227"/>
    <xdr:sp macro="" textlink="">
      <xdr:nvSpPr>
        <xdr:cNvPr id="16" name="CuadroTexto 15">
          <a:extLst>
            <a:ext uri="{FF2B5EF4-FFF2-40B4-BE49-F238E27FC236}">
              <a16:creationId xmlns:a16="http://schemas.microsoft.com/office/drawing/2014/main" id="{00000000-0008-0000-1C00-000010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17" name="CuadroTexto 16">
              <a:extLst>
                <a:ext uri="{FF2B5EF4-FFF2-40B4-BE49-F238E27FC236}">
                  <a16:creationId xmlns:a16="http://schemas.microsoft.com/office/drawing/2014/main" id="{00000000-0008-0000-1C00-000011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7" name="CuadroTexto 16">
              <a:extLst>
                <a:ext uri="{FF2B5EF4-FFF2-40B4-BE49-F238E27FC236}">
                  <a16:creationId xmlns="" xmlns:a16="http://schemas.microsoft.com/office/drawing/2014/main" xmlns:a14="http://schemas.microsoft.com/office/drawing/2010/main" id="{00000000-0008-0000-1000-000011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18" name="CuadroTexto 17">
              <a:extLst>
                <a:ext uri="{FF2B5EF4-FFF2-40B4-BE49-F238E27FC236}">
                  <a16:creationId xmlns:a16="http://schemas.microsoft.com/office/drawing/2014/main" id="{00000000-0008-0000-1C00-000012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18" name="CuadroTexto 17">
              <a:extLst>
                <a:ext uri="{FF2B5EF4-FFF2-40B4-BE49-F238E27FC236}">
                  <a16:creationId xmlns="" xmlns:a16="http://schemas.microsoft.com/office/drawing/2014/main" xmlns:a14="http://schemas.microsoft.com/office/drawing/2010/main" id="{00000000-0008-0000-1000-000012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19" name="CuadroTexto 18">
              <a:extLst>
                <a:ext uri="{FF2B5EF4-FFF2-40B4-BE49-F238E27FC236}">
                  <a16:creationId xmlns:a16="http://schemas.microsoft.com/office/drawing/2014/main" id="{00000000-0008-0000-1C00-000013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9" name="CuadroTexto 18">
              <a:extLst>
                <a:ext uri="{FF2B5EF4-FFF2-40B4-BE49-F238E27FC236}">
                  <a16:creationId xmlns="" xmlns:a16="http://schemas.microsoft.com/office/drawing/2014/main" xmlns:a14="http://schemas.microsoft.com/office/drawing/2010/main" id="{00000000-0008-0000-1000-000013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0" name="CuadroTexto 19">
              <a:extLst>
                <a:ext uri="{FF2B5EF4-FFF2-40B4-BE49-F238E27FC236}">
                  <a16:creationId xmlns:a16="http://schemas.microsoft.com/office/drawing/2014/main" id="{00000000-0008-0000-1C00-000014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0" name="CuadroTexto 19">
              <a:extLst>
                <a:ext uri="{FF2B5EF4-FFF2-40B4-BE49-F238E27FC236}">
                  <a16:creationId xmlns="" xmlns:a16="http://schemas.microsoft.com/office/drawing/2014/main" xmlns:a14="http://schemas.microsoft.com/office/drawing/2010/main" id="{00000000-0008-0000-1000-000014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1" name="CuadroTexto 20">
          <a:extLst>
            <a:ext uri="{FF2B5EF4-FFF2-40B4-BE49-F238E27FC236}">
              <a16:creationId xmlns:a16="http://schemas.microsoft.com/office/drawing/2014/main" id="{00000000-0008-0000-1C00-000015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3</xdr:col>
      <xdr:colOff>236456</xdr:colOff>
      <xdr:row>73</xdr:row>
      <xdr:rowOff>141002</xdr:rowOff>
    </xdr:from>
    <xdr:ext cx="730521" cy="219163"/>
    <mc:AlternateContent xmlns:mc="http://schemas.openxmlformats.org/markup-compatibility/2006" xmlns:a14="http://schemas.microsoft.com/office/drawing/2010/main">
      <mc:Choice Requires="a14">
        <xdr:sp macro="" textlink="">
          <xdr:nvSpPr>
            <xdr:cNvPr id="22" name="CuadroTexto 21">
              <a:extLst>
                <a:ext uri="{FF2B5EF4-FFF2-40B4-BE49-F238E27FC236}">
                  <a16:creationId xmlns:a16="http://schemas.microsoft.com/office/drawing/2014/main" id="{00000000-0008-0000-1C00-000016000000}"/>
                </a:ext>
              </a:extLst>
            </xdr:cNvPr>
            <xdr:cNvSpPr txBox="1"/>
          </xdr:nvSpPr>
          <xdr:spPr>
            <a:xfrm>
              <a:off x="2922506" y="30059027"/>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m:t>
                  </m:r>
                  <m:sSub>
                    <m:sSubPr>
                      <m:ctrlPr>
                        <a:rPr lang="es-CO" sz="1400" b="1" i="1">
                          <a:latin typeface="Cambria Math" panose="02040503050406030204" pitchFamily="18" charset="0"/>
                          <a:ea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𝒎</m:t>
                      </m:r>
                    </m:e>
                    <m:sub>
                      <m:r>
                        <a:rPr lang="es-CO" sz="1400" b="1" i="1">
                          <a:latin typeface="Cambria Math" panose="02040503050406030204" pitchFamily="18" charset="0"/>
                          <a:ea typeface="Cambria Math" panose="02040503050406030204" pitchFamily="18" charset="0"/>
                        </a:rPr>
                        <m:t>𝒄</m:t>
                      </m:r>
                    </m:sub>
                  </m:sSub>
                </m:oMath>
              </a14:m>
              <a:r>
                <a:rPr lang="es-CO" sz="1400" b="1" i="1"/>
                <a:t> (mg</a:t>
              </a:r>
              <a:r>
                <a:rPr lang="es-CO" sz="1200" b="1" i="0"/>
                <a:t>)</a:t>
              </a:r>
            </a:p>
          </xdr:txBody>
        </xdr:sp>
      </mc:Choice>
      <mc:Fallback xmlns="">
        <xdr:sp macro="" textlink="">
          <xdr:nvSpPr>
            <xdr:cNvPr id="22" name="CuadroTexto 21">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2922506" y="30059027"/>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400" b="1" i="0">
                  <a:latin typeface="Cambria Math" panose="02040503050406030204" pitchFamily="18" charset="0"/>
                  <a:ea typeface="Cambria Math" panose="02040503050406030204" pitchFamily="18" charset="0"/>
                </a:rPr>
                <a:t>∆𝒎_𝒄</a:t>
              </a:r>
              <a:r>
                <a:rPr lang="es-CO" sz="1400" b="1" i="1"/>
                <a:t> (mg</a:t>
              </a:r>
              <a:r>
                <a:rPr lang="es-CO" sz="1200" b="1" i="0"/>
                <a:t>)</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23" name="CuadroTexto 22">
              <a:extLst>
                <a:ext uri="{FF2B5EF4-FFF2-40B4-BE49-F238E27FC236}">
                  <a16:creationId xmlns:a16="http://schemas.microsoft.com/office/drawing/2014/main" id="{00000000-0008-0000-1C00-000017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23" name="CuadroTexto 22">
              <a:extLst>
                <a:ext uri="{FF2B5EF4-FFF2-40B4-BE49-F238E27FC236}">
                  <a16:creationId xmlns="" xmlns:a16="http://schemas.microsoft.com/office/drawing/2014/main" xmlns:a14="http://schemas.microsoft.com/office/drawing/2010/main" id="{00000000-0008-0000-1000-000023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24" name="CuadroTexto 23">
          <a:extLst>
            <a:ext uri="{FF2B5EF4-FFF2-40B4-BE49-F238E27FC236}">
              <a16:creationId xmlns:a16="http://schemas.microsoft.com/office/drawing/2014/main" id="{00000000-0008-0000-1C00-000018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25" name="CuadroTexto 24">
              <a:extLst>
                <a:ext uri="{FF2B5EF4-FFF2-40B4-BE49-F238E27FC236}">
                  <a16:creationId xmlns:a16="http://schemas.microsoft.com/office/drawing/2014/main" id="{00000000-0008-0000-1C00-000019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5" name="CuadroTexto 24">
              <a:extLst>
                <a:ext uri="{FF2B5EF4-FFF2-40B4-BE49-F238E27FC236}">
                  <a16:creationId xmlns="" xmlns:a16="http://schemas.microsoft.com/office/drawing/2014/main" xmlns:a14="http://schemas.microsoft.com/office/drawing/2010/main" id="{00000000-0008-0000-1000-000026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26" name="CuadroTexto 25">
              <a:extLst>
                <a:ext uri="{FF2B5EF4-FFF2-40B4-BE49-F238E27FC236}">
                  <a16:creationId xmlns:a16="http://schemas.microsoft.com/office/drawing/2014/main" id="{00000000-0008-0000-1C00-00001A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6" name="CuadroTexto 25">
              <a:extLst>
                <a:ext uri="{FF2B5EF4-FFF2-40B4-BE49-F238E27FC236}">
                  <a16:creationId xmlns="" xmlns:a16="http://schemas.microsoft.com/office/drawing/2014/main" xmlns:a14="http://schemas.microsoft.com/office/drawing/2010/main" id="{00000000-0008-0000-1000-000027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27" name="CuadroTexto 26">
              <a:extLst>
                <a:ext uri="{FF2B5EF4-FFF2-40B4-BE49-F238E27FC236}">
                  <a16:creationId xmlns:a16="http://schemas.microsoft.com/office/drawing/2014/main" id="{00000000-0008-0000-1C00-00001B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7" name="CuadroTexto 26">
              <a:extLst>
                <a:ext uri="{FF2B5EF4-FFF2-40B4-BE49-F238E27FC236}">
                  <a16:creationId xmlns="" xmlns:a16="http://schemas.microsoft.com/office/drawing/2014/main" xmlns:a14="http://schemas.microsoft.com/office/drawing/2010/main" id="{00000000-0008-0000-1000-000028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8" name="CuadroTexto 27">
              <a:extLst>
                <a:ext uri="{FF2B5EF4-FFF2-40B4-BE49-F238E27FC236}">
                  <a16:creationId xmlns:a16="http://schemas.microsoft.com/office/drawing/2014/main" id="{00000000-0008-0000-1C00-00001C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8" name="CuadroTexto 27">
              <a:extLst>
                <a:ext uri="{FF2B5EF4-FFF2-40B4-BE49-F238E27FC236}">
                  <a16:creationId xmlns="" xmlns:a16="http://schemas.microsoft.com/office/drawing/2014/main" xmlns:a14="http://schemas.microsoft.com/office/drawing/2010/main" id="{00000000-0008-0000-1000-000029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9" name="CuadroTexto 28">
          <a:extLst>
            <a:ext uri="{FF2B5EF4-FFF2-40B4-BE49-F238E27FC236}">
              <a16:creationId xmlns:a16="http://schemas.microsoft.com/office/drawing/2014/main" id="{00000000-0008-0000-1C00-00001D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30" name="CuadroTexto 29">
              <a:extLst>
                <a:ext uri="{FF2B5EF4-FFF2-40B4-BE49-F238E27FC236}">
                  <a16:creationId xmlns:a16="http://schemas.microsoft.com/office/drawing/2014/main" id="{00000000-0008-0000-1C00-00001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30" name="CuadroTexto 29">
              <a:extLst>
                <a:ext uri="{FF2B5EF4-FFF2-40B4-BE49-F238E27FC236}">
                  <a16:creationId xmlns="" xmlns:a16="http://schemas.microsoft.com/office/drawing/2014/main" xmlns:a14="http://schemas.microsoft.com/office/drawing/2010/main" id="{00000000-0008-0000-1000-000038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31" name="CuadroTexto 30">
          <a:extLst>
            <a:ext uri="{FF2B5EF4-FFF2-40B4-BE49-F238E27FC236}">
              <a16:creationId xmlns:a16="http://schemas.microsoft.com/office/drawing/2014/main" id="{00000000-0008-0000-1C00-00001F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32" name="CuadroTexto 31">
              <a:extLst>
                <a:ext uri="{FF2B5EF4-FFF2-40B4-BE49-F238E27FC236}">
                  <a16:creationId xmlns:a16="http://schemas.microsoft.com/office/drawing/2014/main" id="{00000000-0008-0000-1C00-000020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2" name="CuadroTexto 31">
              <a:extLst>
                <a:ext uri="{FF2B5EF4-FFF2-40B4-BE49-F238E27FC236}">
                  <a16:creationId xmlns="" xmlns:a16="http://schemas.microsoft.com/office/drawing/2014/main" xmlns:a14="http://schemas.microsoft.com/office/drawing/2010/main" id="{00000000-0008-0000-1000-00003B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33" name="CuadroTexto 32">
              <a:extLst>
                <a:ext uri="{FF2B5EF4-FFF2-40B4-BE49-F238E27FC236}">
                  <a16:creationId xmlns:a16="http://schemas.microsoft.com/office/drawing/2014/main" id="{00000000-0008-0000-1C00-000021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3" name="CuadroTexto 32">
              <a:extLst>
                <a:ext uri="{FF2B5EF4-FFF2-40B4-BE49-F238E27FC236}">
                  <a16:creationId xmlns="" xmlns:a16="http://schemas.microsoft.com/office/drawing/2014/main" xmlns:a14="http://schemas.microsoft.com/office/drawing/2010/main" id="{00000000-0008-0000-1000-00003C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34" name="CuadroTexto 33">
              <a:extLst>
                <a:ext uri="{FF2B5EF4-FFF2-40B4-BE49-F238E27FC236}">
                  <a16:creationId xmlns:a16="http://schemas.microsoft.com/office/drawing/2014/main" id="{00000000-0008-0000-1C00-000022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4" name="CuadroTexto 33">
              <a:extLst>
                <a:ext uri="{FF2B5EF4-FFF2-40B4-BE49-F238E27FC236}">
                  <a16:creationId xmlns="" xmlns:a16="http://schemas.microsoft.com/office/drawing/2014/main" xmlns:a14="http://schemas.microsoft.com/office/drawing/2010/main" id="{00000000-0008-0000-1000-00003D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35" name="CuadroTexto 34">
              <a:extLst>
                <a:ext uri="{FF2B5EF4-FFF2-40B4-BE49-F238E27FC236}">
                  <a16:creationId xmlns:a16="http://schemas.microsoft.com/office/drawing/2014/main" id="{00000000-0008-0000-1C00-000023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5" name="CuadroTexto 34">
              <a:extLst>
                <a:ext uri="{FF2B5EF4-FFF2-40B4-BE49-F238E27FC236}">
                  <a16:creationId xmlns="" xmlns:a16="http://schemas.microsoft.com/office/drawing/2014/main" xmlns:a14="http://schemas.microsoft.com/office/drawing/2010/main" id="{00000000-0008-0000-1000-00003E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36" name="CuadroTexto 35">
          <a:extLst>
            <a:ext uri="{FF2B5EF4-FFF2-40B4-BE49-F238E27FC236}">
              <a16:creationId xmlns:a16="http://schemas.microsoft.com/office/drawing/2014/main" id="{00000000-0008-0000-1C00-000024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11</xdr:col>
      <xdr:colOff>628650</xdr:colOff>
      <xdr:row>61</xdr:row>
      <xdr:rowOff>0</xdr:rowOff>
    </xdr:from>
    <xdr:ext cx="65" cy="172227"/>
    <xdr:sp macro="" textlink="">
      <xdr:nvSpPr>
        <xdr:cNvPr id="38" name="CuadroTexto 37">
          <a:extLst>
            <a:ext uri="{FF2B5EF4-FFF2-40B4-BE49-F238E27FC236}">
              <a16:creationId xmlns:a16="http://schemas.microsoft.com/office/drawing/2014/main" id="{00000000-0008-0000-1C00-000026000000}"/>
            </a:ext>
          </a:extLst>
        </xdr:cNvPr>
        <xdr:cNvSpPr txBox="1"/>
      </xdr:nvSpPr>
      <xdr:spPr>
        <a:xfrm>
          <a:off x="12001500" y="2272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5</xdr:col>
      <xdr:colOff>539750</xdr:colOff>
      <xdr:row>73</xdr:row>
      <xdr:rowOff>158749</xdr:rowOff>
    </xdr:from>
    <xdr:ext cx="984250" cy="210507"/>
    <mc:AlternateContent xmlns:mc="http://schemas.openxmlformats.org/markup-compatibility/2006" xmlns:a14="http://schemas.microsoft.com/office/drawing/2010/main">
      <mc:Choice Requires="a14">
        <xdr:sp macro="" textlink="">
          <xdr:nvSpPr>
            <xdr:cNvPr id="39" name="CuadroTexto 38">
              <a:extLst>
                <a:ext uri="{FF2B5EF4-FFF2-40B4-BE49-F238E27FC236}">
                  <a16:creationId xmlns:a16="http://schemas.microsoft.com/office/drawing/2014/main" id="{00000000-0008-0000-1C00-000027000000}"/>
                </a:ext>
              </a:extLst>
            </xdr:cNvPr>
            <xdr:cNvSpPr txBox="1"/>
          </xdr:nvSpPr>
          <xdr:spPr>
            <a:xfrm>
              <a:off x="5397500" y="30076774"/>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𝒆</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39" name="CuadroTexto 38">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5397500" y="30076774"/>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𝒆 𝒄𝒕</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4</xdr:col>
      <xdr:colOff>52917</xdr:colOff>
      <xdr:row>73</xdr:row>
      <xdr:rowOff>148167</xdr:rowOff>
    </xdr:from>
    <xdr:ext cx="984250" cy="210507"/>
    <mc:AlternateContent xmlns:mc="http://schemas.openxmlformats.org/markup-compatibility/2006" xmlns:a14="http://schemas.microsoft.com/office/drawing/2010/main">
      <mc:Choice Requires="a14">
        <xdr:sp macro="" textlink="">
          <xdr:nvSpPr>
            <xdr:cNvPr id="40" name="CuadroTexto 39">
              <a:extLst>
                <a:ext uri="{FF2B5EF4-FFF2-40B4-BE49-F238E27FC236}">
                  <a16:creationId xmlns:a16="http://schemas.microsoft.com/office/drawing/2014/main" id="{00000000-0008-0000-1C00-000028000000}"/>
                </a:ext>
              </a:extLst>
            </xdr:cNvPr>
            <xdr:cNvSpPr txBox="1"/>
          </xdr:nvSpPr>
          <xdr:spPr>
            <a:xfrm>
              <a:off x="3872442" y="30066192"/>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0" name="CuadroTexto 39">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3872442" y="30066192"/>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𝒄𝒕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1</xdr:col>
      <xdr:colOff>11906</xdr:colOff>
      <xdr:row>73</xdr:row>
      <xdr:rowOff>95250</xdr:rowOff>
    </xdr:from>
    <xdr:ext cx="736864" cy="210507"/>
    <mc:AlternateContent xmlns:mc="http://schemas.openxmlformats.org/markup-compatibility/2006" xmlns:a14="http://schemas.microsoft.com/office/drawing/2010/main">
      <mc:Choice Requires="a14">
        <xdr:sp macro="" textlink="">
          <xdr:nvSpPr>
            <xdr:cNvPr id="42" name="CuadroTexto 41">
              <a:extLst>
                <a:ext uri="{FF2B5EF4-FFF2-40B4-BE49-F238E27FC236}">
                  <a16:creationId xmlns:a16="http://schemas.microsoft.com/office/drawing/2014/main" id="{00000000-0008-0000-1C00-00002A000000}"/>
                </a:ext>
              </a:extLst>
            </xdr:cNvPr>
            <xdr:cNvSpPr txBox="1"/>
          </xdr:nvSpPr>
          <xdr:spPr>
            <a:xfrm>
              <a:off x="988219" y="30206156"/>
              <a:ext cx="736864"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𝑵𝒓</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2" name="CuadroTexto 41">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988219" y="30206156"/>
              <a:ext cx="736864"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𝑵𝒓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8</xdr:col>
      <xdr:colOff>624417</xdr:colOff>
      <xdr:row>73</xdr:row>
      <xdr:rowOff>285751</xdr:rowOff>
    </xdr:from>
    <xdr:ext cx="1524000" cy="210507"/>
    <mc:AlternateContent xmlns:mc="http://schemas.openxmlformats.org/markup-compatibility/2006" xmlns:a14="http://schemas.microsoft.com/office/drawing/2010/main">
      <mc:Choice Requires="a14">
        <xdr:sp macro="" textlink="">
          <xdr:nvSpPr>
            <xdr:cNvPr id="43" name="CuadroTexto 42">
              <a:extLst>
                <a:ext uri="{FF2B5EF4-FFF2-40B4-BE49-F238E27FC236}">
                  <a16:creationId xmlns:a16="http://schemas.microsoft.com/office/drawing/2014/main" id="{00000000-0008-0000-1C00-00002B000000}"/>
                </a:ext>
              </a:extLst>
            </xdr:cNvPr>
            <xdr:cNvSpPr txBox="1"/>
          </xdr:nvSpPr>
          <xdr:spPr>
            <a:xfrm>
              <a:off x="9396942" y="30203776"/>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𝑼</m:t>
                  </m:r>
                  <m:r>
                    <a:rPr lang="es-CO" sz="1400" b="1" i="1">
                      <a:latin typeface="Cambria Math" panose="02040503050406030204" pitchFamily="18" charset="0"/>
                      <a:ea typeface="Cambria Math" panose="02040503050406030204" pitchFamily="18" charset="0"/>
                    </a:rPr>
                    <m:t> </m:t>
                  </m:r>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 </m:t>
                  </m:r>
                  <m:r>
                    <a:rPr lang="es-CO" sz="1400" b="1" i="1">
                      <a:latin typeface="Cambria Math" panose="02040503050406030204" pitchFamily="18" charset="0"/>
                      <a:ea typeface="Cambria Math" panose="02040503050406030204" pitchFamily="18" charset="0"/>
                    </a:rPr>
                    <m:t>𝒌</m:t>
                  </m:r>
                  <m:r>
                    <a:rPr lang="es-CO" sz="1400" b="1" i="1">
                      <a:latin typeface="Cambria Math" panose="02040503050406030204" pitchFamily="18" charset="0"/>
                      <a:ea typeface="Cambria Math" panose="02040503050406030204" pitchFamily="18" charset="0"/>
                    </a:rPr>
                    <m:t>=</m:t>
                  </m:r>
                  <m:r>
                    <a:rPr lang="es-CO" sz="1400" b="1" i="1">
                      <a:latin typeface="Cambria Math" panose="02040503050406030204" pitchFamily="18" charset="0"/>
                      <a:ea typeface="Cambria Math" panose="02040503050406030204" pitchFamily="18" charset="0"/>
                    </a:rPr>
                    <m:t>𝟐</m:t>
                  </m:r>
                </m:oMath>
              </a14:m>
              <a:r>
                <a:rPr lang="es-CO" sz="1400" b="1" i="1">
                  <a:latin typeface="Arial" panose="020B0604020202020204" pitchFamily="34" charset="0"/>
                  <a:cs typeface="Arial" panose="020B0604020202020204" pitchFamily="34" charset="0"/>
                </a:rPr>
                <a:t>)</a:t>
              </a:r>
            </a:p>
          </xdr:txBody>
        </xdr:sp>
      </mc:Choice>
      <mc:Fallback xmlns="">
        <xdr:sp macro="" textlink="">
          <xdr:nvSpPr>
            <xdr:cNvPr id="43" name="CuadroTexto 42">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9396942" y="30203776"/>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0">
                  <a:latin typeface="Cambria Math" panose="02040503050406030204" pitchFamily="18" charset="0"/>
                  <a:ea typeface="Cambria Math" panose="02040503050406030204" pitchFamily="18" charset="0"/>
                </a:rPr>
                <a:t>𝑼 </a:t>
              </a:r>
              <a:r>
                <a:rPr lang="es-CO" sz="1400" b="1" i="0">
                  <a:latin typeface="Cambria Math"/>
                  <a:ea typeface="Cambria Math" panose="02040503050406030204" pitchFamily="18" charset="0"/>
                </a:rPr>
                <a:t>(</a:t>
              </a:r>
              <a:r>
                <a:rPr lang="es-CO" sz="1400" b="1" i="0">
                  <a:latin typeface="Cambria Math" panose="02040503050406030204" pitchFamily="18" charset="0"/>
                  <a:ea typeface="Cambria Math" panose="02040503050406030204" pitchFamily="18" charset="0"/>
                </a:rPr>
                <a:t> 𝒎 𝒄𝒕 </a:t>
              </a:r>
              <a:r>
                <a:rPr lang="es-CO" sz="1400" b="1" i="0">
                  <a:latin typeface="Cambria Math"/>
                  <a:ea typeface="Cambria Math" panose="02040503050406030204" pitchFamily="18" charset="0"/>
                </a:rPr>
                <a:t>)</a:t>
              </a:r>
              <a:r>
                <a:rPr lang="es-CO" sz="1400" b="1" i="0">
                  <a:latin typeface="Cambria Math" panose="02040503050406030204" pitchFamily="18" charset="0"/>
                  <a:ea typeface="Cambria Math" panose="02040503050406030204" pitchFamily="18" charset="0"/>
                </a:rPr>
                <a:t>  ( 𝒌=𝟐</a:t>
              </a:r>
              <a:r>
                <a:rPr lang="es-CO" sz="1400" b="1" i="1">
                  <a:latin typeface="Arial" panose="020B0604020202020204" pitchFamily="34" charset="0"/>
                  <a:cs typeface="Arial" panose="020B0604020202020204" pitchFamily="34" charset="0"/>
                </a:rPr>
                <a:t>)</a:t>
              </a:r>
            </a:p>
          </xdr:txBody>
        </xdr:sp>
      </mc:Fallback>
    </mc:AlternateContent>
    <xdr:clientData/>
  </xdr:oneCellAnchor>
  <xdr:oneCellAnchor>
    <xdr:from>
      <xdr:col>9</xdr:col>
      <xdr:colOff>603252</xdr:colOff>
      <xdr:row>74</xdr:row>
      <xdr:rowOff>84667</xdr:rowOff>
    </xdr:from>
    <xdr:ext cx="465666" cy="219163"/>
    <xdr:sp macro="" textlink="">
      <xdr:nvSpPr>
        <xdr:cNvPr id="44" name="CuadroTexto 43">
          <a:extLst>
            <a:ext uri="{FF2B5EF4-FFF2-40B4-BE49-F238E27FC236}">
              <a16:creationId xmlns:a16="http://schemas.microsoft.com/office/drawing/2014/main" id="{00000000-0008-0000-1C00-00002C000000}"/>
            </a:ext>
          </a:extLst>
        </xdr:cNvPr>
        <xdr:cNvSpPr txBox="1"/>
      </xdr:nvSpPr>
      <xdr:spPr>
        <a:xfrm>
          <a:off x="10299702" y="30517042"/>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9</xdr:col>
      <xdr:colOff>571499</xdr:colOff>
      <xdr:row>75</xdr:row>
      <xdr:rowOff>116416</xdr:rowOff>
    </xdr:from>
    <xdr:ext cx="359835" cy="219163"/>
    <xdr:sp macro="" textlink="">
      <xdr:nvSpPr>
        <xdr:cNvPr id="45" name="CuadroTexto 44">
          <a:extLst>
            <a:ext uri="{FF2B5EF4-FFF2-40B4-BE49-F238E27FC236}">
              <a16:creationId xmlns:a16="http://schemas.microsoft.com/office/drawing/2014/main" id="{00000000-0008-0000-1C00-00002D000000}"/>
            </a:ext>
          </a:extLst>
        </xdr:cNvPr>
        <xdr:cNvSpPr txBox="1"/>
      </xdr:nvSpPr>
      <xdr:spPr>
        <a:xfrm>
          <a:off x="10267949" y="30986941"/>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6</xdr:col>
      <xdr:colOff>275167</xdr:colOff>
      <xdr:row>74</xdr:row>
      <xdr:rowOff>148166</xdr:rowOff>
    </xdr:from>
    <xdr:ext cx="465666" cy="219163"/>
    <xdr:sp macro="" textlink="">
      <xdr:nvSpPr>
        <xdr:cNvPr id="46" name="CuadroTexto 45">
          <a:extLst>
            <a:ext uri="{FF2B5EF4-FFF2-40B4-BE49-F238E27FC236}">
              <a16:creationId xmlns:a16="http://schemas.microsoft.com/office/drawing/2014/main" id="{00000000-0008-0000-1C00-00002E000000}"/>
            </a:ext>
          </a:extLst>
        </xdr:cNvPr>
        <xdr:cNvSpPr txBox="1"/>
      </xdr:nvSpPr>
      <xdr:spPr>
        <a:xfrm>
          <a:off x="6371167" y="30580541"/>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6</xdr:col>
      <xdr:colOff>328083</xdr:colOff>
      <xdr:row>75</xdr:row>
      <xdr:rowOff>84667</xdr:rowOff>
    </xdr:from>
    <xdr:ext cx="359835" cy="219163"/>
    <xdr:sp macro="" textlink="">
      <xdr:nvSpPr>
        <xdr:cNvPr id="47" name="CuadroTexto 46">
          <a:extLst>
            <a:ext uri="{FF2B5EF4-FFF2-40B4-BE49-F238E27FC236}">
              <a16:creationId xmlns:a16="http://schemas.microsoft.com/office/drawing/2014/main" id="{00000000-0008-0000-1C00-00002F000000}"/>
            </a:ext>
          </a:extLst>
        </xdr:cNvPr>
        <xdr:cNvSpPr txBox="1"/>
      </xdr:nvSpPr>
      <xdr:spPr>
        <a:xfrm>
          <a:off x="6424083" y="30955192"/>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3</xdr:col>
      <xdr:colOff>560916</xdr:colOff>
      <xdr:row>72</xdr:row>
      <xdr:rowOff>74084</xdr:rowOff>
    </xdr:from>
    <xdr:ext cx="1524000" cy="210507"/>
    <mc:AlternateContent xmlns:mc="http://schemas.openxmlformats.org/markup-compatibility/2006" xmlns:a14="http://schemas.microsoft.com/office/drawing/2010/main">
      <mc:Choice Requires="a14">
        <xdr:sp macro="" textlink="">
          <xdr:nvSpPr>
            <xdr:cNvPr id="48" name="CuadroTexto 47">
              <a:extLst>
                <a:ext uri="{FF2B5EF4-FFF2-40B4-BE49-F238E27FC236}">
                  <a16:creationId xmlns:a16="http://schemas.microsoft.com/office/drawing/2014/main" id="{00000000-0008-0000-1C00-000030000000}"/>
                </a:ext>
              </a:extLst>
            </xdr:cNvPr>
            <xdr:cNvSpPr txBox="1"/>
          </xdr:nvSpPr>
          <xdr:spPr>
            <a:xfrm>
              <a:off x="3246966" y="29553959"/>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m:t>
                    </m:r>
                  </m:oMath>
                </m:oMathPara>
              </a14:m>
              <a:endParaRPr lang="es-CO" sz="1400" b="1" i="1">
                <a:latin typeface="Arial" panose="020B0604020202020204" pitchFamily="34" charset="0"/>
                <a:cs typeface="Arial" panose="020B0604020202020204" pitchFamily="34" charset="0"/>
              </a:endParaRPr>
            </a:p>
          </xdr:txBody>
        </xdr:sp>
      </mc:Choice>
      <mc:Fallback xmlns="">
        <xdr:sp macro="" textlink="">
          <xdr:nvSpPr>
            <xdr:cNvPr id="48" name="CuadroTexto 47">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3246966" y="29553959"/>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 𝒎 𝒄𝒕 )   </a:t>
              </a:r>
              <a:endParaRPr lang="es-CO" sz="1400" b="1" i="1">
                <a:latin typeface="Arial" panose="020B0604020202020204" pitchFamily="34" charset="0"/>
                <a:cs typeface="Arial" panose="020B0604020202020204" pitchFamily="34" charset="0"/>
              </a:endParaRPr>
            </a:p>
          </xdr:txBody>
        </xdr:sp>
      </mc:Fallback>
    </mc:AlternateContent>
    <xdr:clientData/>
  </xdr:oneCellAnchor>
  <xdr:oneCellAnchor>
    <xdr:from>
      <xdr:col>7</xdr:col>
      <xdr:colOff>411956</xdr:colOff>
      <xdr:row>71</xdr:row>
      <xdr:rowOff>406003</xdr:rowOff>
    </xdr:from>
    <xdr:ext cx="65" cy="172227"/>
    <xdr:sp macro="" textlink="">
      <xdr:nvSpPr>
        <xdr:cNvPr id="49" name="CuadroTexto 48">
          <a:extLst>
            <a:ext uri="{FF2B5EF4-FFF2-40B4-BE49-F238E27FC236}">
              <a16:creationId xmlns:a16="http://schemas.microsoft.com/office/drawing/2014/main" id="{00000000-0008-0000-1C00-000031000000}"/>
            </a:ext>
          </a:extLst>
        </xdr:cNvPr>
        <xdr:cNvSpPr txBox="1"/>
      </xdr:nvSpPr>
      <xdr:spPr>
        <a:xfrm>
          <a:off x="7555706" y="29457253"/>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51" name="CuadroTexto 50">
              <a:extLst>
                <a:ext uri="{FF2B5EF4-FFF2-40B4-BE49-F238E27FC236}">
                  <a16:creationId xmlns:a16="http://schemas.microsoft.com/office/drawing/2014/main" id="{00000000-0008-0000-1C00-000033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51" name="CuadroTexto 50">
              <a:extLst>
                <a:ext uri="{FF2B5EF4-FFF2-40B4-BE49-F238E27FC236}">
                  <a16:creationId xmlns:a16="http://schemas.microsoft.com/office/drawing/2014/main" id="{C488E316-4EC4-4530-9CDB-D63D25CE89EC}"/>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52" name="CuadroTexto 51">
              <a:extLst>
                <a:ext uri="{FF2B5EF4-FFF2-40B4-BE49-F238E27FC236}">
                  <a16:creationId xmlns:a16="http://schemas.microsoft.com/office/drawing/2014/main" id="{00000000-0008-0000-1C00-000034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52" name="CuadroTexto 51">
              <a:extLst>
                <a:ext uri="{FF2B5EF4-FFF2-40B4-BE49-F238E27FC236}">
                  <a16:creationId xmlns:a16="http://schemas.microsoft.com/office/drawing/2014/main" id="{8C31675C-A502-412C-B74A-08792A49D082}"/>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twoCellAnchor>
    <xdr:from>
      <xdr:col>7</xdr:col>
      <xdr:colOff>833438</xdr:colOff>
      <xdr:row>62</xdr:row>
      <xdr:rowOff>277812</xdr:rowOff>
    </xdr:from>
    <xdr:to>
      <xdr:col>11</xdr:col>
      <xdr:colOff>769937</xdr:colOff>
      <xdr:row>64</xdr:row>
      <xdr:rowOff>547687</xdr:rowOff>
    </xdr:to>
    <xdr:graphicFrame macro="">
      <xdr:nvGraphicFramePr>
        <xdr:cNvPr id="53" name="Gráfico 52">
          <a:extLst>
            <a:ext uri="{FF2B5EF4-FFF2-40B4-BE49-F238E27FC236}">
              <a16:creationId xmlns:a16="http://schemas.microsoft.com/office/drawing/2014/main" id="{00000000-0008-0000-1C00-00003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214312</xdr:colOff>
      <xdr:row>0</xdr:row>
      <xdr:rowOff>59531</xdr:rowOff>
    </xdr:from>
    <xdr:to>
      <xdr:col>1</xdr:col>
      <xdr:colOff>609718</xdr:colOff>
      <xdr:row>0</xdr:row>
      <xdr:rowOff>699666</xdr:rowOff>
    </xdr:to>
    <xdr:pic>
      <xdr:nvPicPr>
        <xdr:cNvPr id="37" name="36 Imagen">
          <a:extLst>
            <a:ext uri="{FF2B5EF4-FFF2-40B4-BE49-F238E27FC236}">
              <a16:creationId xmlns:a16="http://schemas.microsoft.com/office/drawing/2014/main" id="{00000000-0008-0000-1C00-000025000000}"/>
            </a:ext>
          </a:extLst>
        </xdr:cNvPr>
        <xdr:cNvPicPr>
          <a:picLocks noChangeAspect="1"/>
        </xdr:cNvPicPr>
      </xdr:nvPicPr>
      <xdr:blipFill>
        <a:blip xmlns:r="http://schemas.openxmlformats.org/officeDocument/2006/relationships" r:embed="rId2"/>
        <a:stretch>
          <a:fillRect/>
        </a:stretch>
      </xdr:blipFill>
      <xdr:spPr>
        <a:xfrm>
          <a:off x="214312" y="59531"/>
          <a:ext cx="1371719" cy="64013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1</xdr:col>
      <xdr:colOff>285935</xdr:colOff>
      <xdr:row>42</xdr:row>
      <xdr:rowOff>169517</xdr:rowOff>
    </xdr:from>
    <xdr:ext cx="177356" cy="176202"/>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00000000-0008-0000-0200-000003000000}"/>
                </a:ext>
              </a:extLst>
            </xdr:cNvPr>
            <xdr:cNvSpPr txBox="1"/>
          </xdr:nvSpPr>
          <xdr:spPr>
            <a:xfrm>
              <a:off x="1314635" y="14958667"/>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bg1"/>
                            </a:solidFill>
                            <a:latin typeface="Cambria Math" panose="02040503050406030204" pitchFamily="18" charset="0"/>
                          </a:rPr>
                        </m:ctrlPr>
                      </m:accPr>
                      <m:e>
                        <m:r>
                          <a:rPr lang="es-CO" sz="1100" b="1" i="1">
                            <a:solidFill>
                              <a:schemeClr val="bg1"/>
                            </a:solidFill>
                            <a:latin typeface="Cambria Math" panose="02040503050406030204" pitchFamily="18" charset="0"/>
                            <a:ea typeface="Cambria Math" panose="02040503050406030204" pitchFamily="18" charset="0"/>
                          </a:rPr>
                          <m:t>∆</m:t>
                        </m:r>
                        <m:r>
                          <a:rPr lang="es-CO" sz="1100" b="1" i="1">
                            <a:solidFill>
                              <a:schemeClr val="bg1"/>
                            </a:solidFill>
                            <a:latin typeface="Cambria Math" panose="02040503050406030204" pitchFamily="18" charset="0"/>
                            <a:ea typeface="Cambria Math" panose="02040503050406030204" pitchFamily="18" charset="0"/>
                          </a:rPr>
                          <m:t>𝑰</m:t>
                        </m:r>
                      </m:e>
                    </m:acc>
                  </m:oMath>
                </m:oMathPara>
              </a14:m>
              <a:endParaRPr lang="es-CO" sz="1100" b="1">
                <a:solidFill>
                  <a:schemeClr val="bg1"/>
                </a:solidFill>
              </a:endParaRPr>
            </a:p>
          </xdr:txBody>
        </xdr:sp>
      </mc:Choice>
      <mc:Fallback xmlns="">
        <xdr:sp macro="" textlink="">
          <xdr:nvSpPr>
            <xdr:cNvPr id="3" name="CuadroTexto 2">
              <a:extLst>
                <a:ext uri="{FF2B5EF4-FFF2-40B4-BE49-F238E27FC236}">
                  <a16:creationId xmlns:a16="http://schemas.microsoft.com/office/drawing/2014/main" id="{EEB08D93-2709-4996-8663-EF9F46A6D836}"/>
                </a:ext>
              </a:extLst>
            </xdr:cNvPr>
            <xdr:cNvSpPr txBox="1"/>
          </xdr:nvSpPr>
          <xdr:spPr>
            <a:xfrm>
              <a:off x="1314635" y="14958667"/>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bg1"/>
                  </a:solidFill>
                  <a:latin typeface="Cambria Math" panose="02040503050406030204" pitchFamily="18" charset="0"/>
                </a:rPr>
                <a:t>(</a:t>
              </a:r>
              <a:r>
                <a:rPr lang="es-CO" sz="1100" b="1" i="0">
                  <a:solidFill>
                    <a:schemeClr val="bg1"/>
                  </a:solidFill>
                  <a:latin typeface="Cambria Math" panose="02040503050406030204" pitchFamily="18" charset="0"/>
                  <a:ea typeface="Cambria Math" panose="02040503050406030204" pitchFamily="18" charset="0"/>
                </a:rPr>
                <a:t>∆𝑰) ̅</a:t>
              </a:r>
              <a:endParaRPr lang="es-CO" sz="1100" b="1">
                <a:solidFill>
                  <a:schemeClr val="bg1"/>
                </a:solidFill>
              </a:endParaRPr>
            </a:p>
          </xdr:txBody>
        </xdr:sp>
      </mc:Fallback>
    </mc:AlternateContent>
    <xdr:clientData/>
  </xdr:oneCellAnchor>
  <xdr:oneCellAnchor>
    <xdr:from>
      <xdr:col>1</xdr:col>
      <xdr:colOff>136732</xdr:colOff>
      <xdr:row>58</xdr:row>
      <xdr:rowOff>253032</xdr:rowOff>
    </xdr:from>
    <xdr:ext cx="599716" cy="172227"/>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id="{00000000-0008-0000-0200-000004000000}"/>
                </a:ext>
              </a:extLst>
            </xdr:cNvPr>
            <xdr:cNvSpPr txBox="1"/>
          </xdr:nvSpPr>
          <xdr:spPr>
            <a:xfrm>
              <a:off x="1165432" y="20750832"/>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𝒘</m:t>
                        </m:r>
                      </m:sub>
                    </m:sSub>
                    <m:r>
                      <a:rPr lang="es-CO" sz="1100" b="1" i="1">
                        <a:latin typeface="Cambria Math" panose="02040503050406030204" pitchFamily="18" charset="0"/>
                      </a:rPr>
                      <m:t>(</m:t>
                    </m:r>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4" name="CuadroTexto 3">
              <a:extLst>
                <a:ext uri="{FF2B5EF4-FFF2-40B4-BE49-F238E27FC236}">
                  <a16:creationId xmlns:a16="http://schemas.microsoft.com/office/drawing/2014/main" id="{01BF412B-2DD4-4F9E-86A8-45C11A817EB8}"/>
                </a:ext>
              </a:extLst>
            </xdr:cNvPr>
            <xdr:cNvSpPr txBox="1"/>
          </xdr:nvSpPr>
          <xdr:spPr>
            <a:xfrm>
              <a:off x="1165432" y="20750832"/>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𝒖_𝒘 (</a:t>
              </a: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1</xdr:col>
      <xdr:colOff>202651</xdr:colOff>
      <xdr:row>61</xdr:row>
      <xdr:rowOff>265287</xdr:rowOff>
    </xdr:from>
    <xdr:ext cx="483915" cy="172227"/>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id="{00000000-0008-0000-0200-000005000000}"/>
                </a:ext>
              </a:extLst>
            </xdr:cNvPr>
            <xdr:cNvSpPr txBox="1"/>
          </xdr:nvSpPr>
          <xdr:spPr>
            <a:xfrm>
              <a:off x="1231351" y="2297288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5" name="CuadroTexto 4">
              <a:extLst>
                <a:ext uri="{FF2B5EF4-FFF2-40B4-BE49-F238E27FC236}">
                  <a16:creationId xmlns:a16="http://schemas.microsoft.com/office/drawing/2014/main" id="{EC1C26E7-5155-474A-B341-13CA7ACFA763}"/>
                </a:ext>
              </a:extLst>
            </xdr:cNvPr>
            <xdr:cNvSpPr txBox="1"/>
          </xdr:nvSpPr>
          <xdr:spPr>
            <a:xfrm>
              <a:off x="1231351" y="2297288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𝒖(𝒎_𝒄𝒓)</a:t>
              </a:r>
              <a:endParaRPr lang="es-CO" sz="1100" b="1"/>
            </a:p>
          </xdr:txBody>
        </xdr:sp>
      </mc:Fallback>
    </mc:AlternateContent>
    <xdr:clientData/>
  </xdr:oneCellAnchor>
  <xdr:oneCellAnchor>
    <xdr:from>
      <xdr:col>1</xdr:col>
      <xdr:colOff>34166</xdr:colOff>
      <xdr:row>60</xdr:row>
      <xdr:rowOff>250203</xdr:rowOff>
    </xdr:from>
    <xdr:ext cx="689483" cy="172227"/>
    <mc:AlternateContent xmlns:mc="http://schemas.openxmlformats.org/markup-compatibility/2006" xmlns:a14="http://schemas.microsoft.com/office/drawing/2010/main">
      <mc:Choice Requires="a14">
        <xdr:sp macro="" textlink="">
          <xdr:nvSpPr>
            <xdr:cNvPr id="6" name="CuadroTexto 5">
              <a:extLst>
                <a:ext uri="{FF2B5EF4-FFF2-40B4-BE49-F238E27FC236}">
                  <a16:creationId xmlns:a16="http://schemas.microsoft.com/office/drawing/2014/main" id="{00000000-0008-0000-0200-000006000000}"/>
                </a:ext>
              </a:extLst>
            </xdr:cNvPr>
            <xdr:cNvSpPr txBox="1"/>
          </xdr:nvSpPr>
          <xdr:spPr>
            <a:xfrm>
              <a:off x="1062866" y="22221203"/>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𝒊𝒏𝒔𝒕</m:t>
                        </m:r>
                      </m:sub>
                    </m:sSub>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0" i="1">
                        <a:latin typeface="Cambria Math" panose="02040503050406030204" pitchFamily="18" charset="0"/>
                      </a:rPr>
                      <m:t>)</m:t>
                    </m:r>
                  </m:oMath>
                </m:oMathPara>
              </a14:m>
              <a:endParaRPr lang="es-CO" sz="1100"/>
            </a:p>
          </xdr:txBody>
        </xdr:sp>
      </mc:Choice>
      <mc:Fallback xmlns="">
        <xdr:sp macro="" textlink="">
          <xdr:nvSpPr>
            <xdr:cNvPr id="6" name="CuadroTexto 5">
              <a:extLst>
                <a:ext uri="{FF2B5EF4-FFF2-40B4-BE49-F238E27FC236}">
                  <a16:creationId xmlns:a16="http://schemas.microsoft.com/office/drawing/2014/main" id="{18325503-4A4A-41E4-872F-09D753CD8A52}"/>
                </a:ext>
              </a:extLst>
            </xdr:cNvPr>
            <xdr:cNvSpPr txBox="1"/>
          </xdr:nvSpPr>
          <xdr:spPr>
            <a:xfrm>
              <a:off x="1062866" y="22221203"/>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𝒖_𝒊𝒏𝒔𝒕 (𝒎_𝒄𝒓</a:t>
              </a:r>
              <a:r>
                <a:rPr lang="es-CO" sz="1100" b="0" i="0">
                  <a:latin typeface="Cambria Math" panose="02040503050406030204" pitchFamily="18" charset="0"/>
                </a:rPr>
                <a:t>)</a:t>
              </a:r>
              <a:endParaRPr lang="es-CO" sz="1100"/>
            </a:p>
          </xdr:txBody>
        </xdr:sp>
      </mc:Fallback>
    </mc:AlternateContent>
    <xdr:clientData/>
  </xdr:oneCellAnchor>
  <xdr:oneCellAnchor>
    <xdr:from>
      <xdr:col>1</xdr:col>
      <xdr:colOff>183870</xdr:colOff>
      <xdr:row>62</xdr:row>
      <xdr:rowOff>264645</xdr:rowOff>
    </xdr:from>
    <xdr:ext cx="397353" cy="172227"/>
    <mc:AlternateContent xmlns:mc="http://schemas.openxmlformats.org/markup-compatibility/2006" xmlns:a14="http://schemas.microsoft.com/office/drawing/2010/main">
      <mc:Choice Requires="a14">
        <xdr:sp macro="" textlink="">
          <xdr:nvSpPr>
            <xdr:cNvPr id="7" name="CuadroTexto 6">
              <a:extLst>
                <a:ext uri="{FF2B5EF4-FFF2-40B4-BE49-F238E27FC236}">
                  <a16:creationId xmlns:a16="http://schemas.microsoft.com/office/drawing/2014/main" id="{00000000-0008-0000-0200-000007000000}"/>
                </a:ext>
              </a:extLst>
            </xdr:cNvPr>
            <xdr:cNvSpPr txBox="1"/>
          </xdr:nvSpPr>
          <xdr:spPr>
            <a:xfrm>
              <a:off x="1212570" y="23708845"/>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𝒂</m:t>
                        </m:r>
                      </m:sub>
                    </m:sSub>
                    <m:r>
                      <a:rPr lang="es-CO" sz="1100" b="1" i="1">
                        <a:latin typeface="Cambria Math" panose="02040503050406030204" pitchFamily="18" charset="0"/>
                      </a:rPr>
                      <m:t>)</m:t>
                    </m:r>
                  </m:oMath>
                </m:oMathPara>
              </a14:m>
              <a:endParaRPr lang="es-CO" sz="1100" b="1"/>
            </a:p>
          </xdr:txBody>
        </xdr:sp>
      </mc:Choice>
      <mc:Fallback xmlns="">
        <xdr:sp macro="" textlink="">
          <xdr:nvSpPr>
            <xdr:cNvPr id="7" name="CuadroTexto 6">
              <a:extLst>
                <a:ext uri="{FF2B5EF4-FFF2-40B4-BE49-F238E27FC236}">
                  <a16:creationId xmlns:a16="http://schemas.microsoft.com/office/drawing/2014/main" id="{469B640C-99FE-4A89-B153-6192502B19E4}"/>
                </a:ext>
              </a:extLst>
            </xdr:cNvPr>
            <xdr:cNvSpPr txBox="1"/>
          </xdr:nvSpPr>
          <xdr:spPr>
            <a:xfrm>
              <a:off x="1212570" y="23708845"/>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𝒂)</a:t>
              </a:r>
              <a:endParaRPr lang="es-CO" sz="1100" b="1"/>
            </a:p>
          </xdr:txBody>
        </xdr:sp>
      </mc:Fallback>
    </mc:AlternateContent>
    <xdr:clientData/>
  </xdr:oneCellAnchor>
  <xdr:oneCellAnchor>
    <xdr:from>
      <xdr:col>1</xdr:col>
      <xdr:colOff>186298</xdr:colOff>
      <xdr:row>63</xdr:row>
      <xdr:rowOff>266606</xdr:rowOff>
    </xdr:from>
    <xdr:ext cx="376642" cy="172227"/>
    <mc:AlternateContent xmlns:mc="http://schemas.openxmlformats.org/markup-compatibility/2006" xmlns:a14="http://schemas.microsoft.com/office/drawing/2010/main">
      <mc:Choice Requires="a14">
        <xdr:sp macro="" textlink="">
          <xdr:nvSpPr>
            <xdr:cNvPr id="8" name="CuadroTexto 7">
              <a:extLst>
                <a:ext uri="{FF2B5EF4-FFF2-40B4-BE49-F238E27FC236}">
                  <a16:creationId xmlns:a16="http://schemas.microsoft.com/office/drawing/2014/main" id="{00000000-0008-0000-0200-000008000000}"/>
                </a:ext>
              </a:extLst>
            </xdr:cNvPr>
            <xdr:cNvSpPr txBox="1"/>
          </xdr:nvSpPr>
          <xdr:spPr>
            <a:xfrm>
              <a:off x="1214998" y="244474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𝒕</m:t>
                        </m:r>
                      </m:sub>
                    </m:sSub>
                    <m:r>
                      <a:rPr lang="es-CO" sz="1100" b="1" i="1">
                        <a:latin typeface="Cambria Math" panose="02040503050406030204" pitchFamily="18" charset="0"/>
                      </a:rPr>
                      <m:t>)</m:t>
                    </m:r>
                  </m:oMath>
                </m:oMathPara>
              </a14:m>
              <a:endParaRPr lang="es-CO" sz="1100" b="1"/>
            </a:p>
          </xdr:txBody>
        </xdr:sp>
      </mc:Choice>
      <mc:Fallback xmlns="">
        <xdr:sp macro="" textlink="">
          <xdr:nvSpPr>
            <xdr:cNvPr id="8" name="CuadroTexto 7">
              <a:extLst>
                <a:ext uri="{FF2B5EF4-FFF2-40B4-BE49-F238E27FC236}">
                  <a16:creationId xmlns:a16="http://schemas.microsoft.com/office/drawing/2014/main" id="{81026EEE-DD8E-4FB3-8BE9-C69CACAF4D8C}"/>
                </a:ext>
              </a:extLst>
            </xdr:cNvPr>
            <xdr:cNvSpPr txBox="1"/>
          </xdr:nvSpPr>
          <xdr:spPr>
            <a:xfrm>
              <a:off x="1214998" y="244474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𝒕)</a:t>
              </a:r>
              <a:endParaRPr lang="es-CO" sz="1100" b="1"/>
            </a:p>
          </xdr:txBody>
        </xdr:sp>
      </mc:Fallback>
    </mc:AlternateContent>
    <xdr:clientData/>
  </xdr:oneCellAnchor>
  <xdr:oneCellAnchor>
    <xdr:from>
      <xdr:col>1</xdr:col>
      <xdr:colOff>186298</xdr:colOff>
      <xdr:row>64</xdr:row>
      <xdr:rowOff>222250</xdr:rowOff>
    </xdr:from>
    <xdr:ext cx="388696" cy="172227"/>
    <mc:AlternateContent xmlns:mc="http://schemas.openxmlformats.org/markup-compatibility/2006" xmlns:a14="http://schemas.microsoft.com/office/drawing/2010/main">
      <mc:Choice Requires="a14">
        <xdr:sp macro="" textlink="">
          <xdr:nvSpPr>
            <xdr:cNvPr id="9" name="CuadroTexto 8">
              <a:extLst>
                <a:ext uri="{FF2B5EF4-FFF2-40B4-BE49-F238E27FC236}">
                  <a16:creationId xmlns:a16="http://schemas.microsoft.com/office/drawing/2014/main" id="{00000000-0008-0000-0200-000009000000}"/>
                </a:ext>
              </a:extLst>
            </xdr:cNvPr>
            <xdr:cNvSpPr txBox="1"/>
          </xdr:nvSpPr>
          <xdr:spPr>
            <a:xfrm>
              <a:off x="1214998" y="25139650"/>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9" name="CuadroTexto 8">
              <a:extLst>
                <a:ext uri="{FF2B5EF4-FFF2-40B4-BE49-F238E27FC236}">
                  <a16:creationId xmlns:a16="http://schemas.microsoft.com/office/drawing/2014/main" id="{4FF6FD69-42C5-4461-A132-9F80FF414B32}"/>
                </a:ext>
              </a:extLst>
            </xdr:cNvPr>
            <xdr:cNvSpPr txBox="1"/>
          </xdr:nvSpPr>
          <xdr:spPr>
            <a:xfrm>
              <a:off x="1214998" y="25139650"/>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𝒓)</a:t>
              </a:r>
              <a:endParaRPr lang="es-CO" sz="1100" b="1"/>
            </a:p>
          </xdr:txBody>
        </xdr:sp>
      </mc:Fallback>
    </mc:AlternateContent>
    <xdr:clientData/>
  </xdr:oneCellAnchor>
  <xdr:oneCellAnchor>
    <xdr:from>
      <xdr:col>1</xdr:col>
      <xdr:colOff>265579</xdr:colOff>
      <xdr:row>65</xdr:row>
      <xdr:rowOff>288458</xdr:rowOff>
    </xdr:from>
    <xdr:ext cx="191271" cy="172227"/>
    <mc:AlternateContent xmlns:mc="http://schemas.openxmlformats.org/markup-compatibility/2006" xmlns:a14="http://schemas.microsoft.com/office/drawing/2010/main">
      <mc:Choice Requires="a14">
        <xdr:sp macro="" textlink="">
          <xdr:nvSpPr>
            <xdr:cNvPr id="10" name="CuadroTexto 9">
              <a:extLst>
                <a:ext uri="{FF2B5EF4-FFF2-40B4-BE49-F238E27FC236}">
                  <a16:creationId xmlns:a16="http://schemas.microsoft.com/office/drawing/2014/main" id="{00000000-0008-0000-0200-00000A000000}"/>
                </a:ext>
              </a:extLst>
            </xdr:cNvPr>
            <xdr:cNvSpPr txBox="1"/>
          </xdr:nvSpPr>
          <xdr:spPr>
            <a:xfrm>
              <a:off x="1294279" y="2594245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𝒃</m:t>
                        </m:r>
                      </m:sub>
                    </m:sSub>
                  </m:oMath>
                </m:oMathPara>
              </a14:m>
              <a:endParaRPr lang="es-CO" sz="1100" b="1"/>
            </a:p>
          </xdr:txBody>
        </xdr:sp>
      </mc:Choice>
      <mc:Fallback xmlns="">
        <xdr:sp macro="" textlink="">
          <xdr:nvSpPr>
            <xdr:cNvPr id="10" name="CuadroTexto 9">
              <a:extLst>
                <a:ext uri="{FF2B5EF4-FFF2-40B4-BE49-F238E27FC236}">
                  <a16:creationId xmlns:a16="http://schemas.microsoft.com/office/drawing/2014/main" id="{E882BC38-9722-499A-AB58-E78F366D1917}"/>
                </a:ext>
              </a:extLst>
            </xdr:cNvPr>
            <xdr:cNvSpPr txBox="1"/>
          </xdr:nvSpPr>
          <xdr:spPr>
            <a:xfrm>
              <a:off x="1294279" y="2594245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𝒖_𝒃</a:t>
              </a:r>
              <a:endParaRPr lang="es-CO" sz="1100" b="1"/>
            </a:p>
          </xdr:txBody>
        </xdr:sp>
      </mc:Fallback>
    </mc:AlternateContent>
    <xdr:clientData/>
  </xdr:oneCellAnchor>
  <xdr:oneCellAnchor>
    <xdr:from>
      <xdr:col>1</xdr:col>
      <xdr:colOff>261391</xdr:colOff>
      <xdr:row>66</xdr:row>
      <xdr:rowOff>294234</xdr:rowOff>
    </xdr:from>
    <xdr:ext cx="195053" cy="172227"/>
    <mc:AlternateContent xmlns:mc="http://schemas.openxmlformats.org/markup-compatibility/2006" xmlns:a14="http://schemas.microsoft.com/office/drawing/2010/main">
      <mc:Choice Requires="a14">
        <xdr:sp macro="" textlink="">
          <xdr:nvSpPr>
            <xdr:cNvPr id="11" name="CuadroTexto 10">
              <a:extLst>
                <a:ext uri="{FF2B5EF4-FFF2-40B4-BE49-F238E27FC236}">
                  <a16:creationId xmlns:a16="http://schemas.microsoft.com/office/drawing/2014/main" id="{00000000-0008-0000-0200-00000B000000}"/>
                </a:ext>
              </a:extLst>
            </xdr:cNvPr>
            <xdr:cNvSpPr txBox="1"/>
          </xdr:nvSpPr>
          <xdr:spPr>
            <a:xfrm>
              <a:off x="1290091" y="26684834"/>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𝒅</m:t>
                        </m:r>
                      </m:sub>
                    </m:sSub>
                  </m:oMath>
                </m:oMathPara>
              </a14:m>
              <a:endParaRPr lang="es-CO" sz="1100" b="1"/>
            </a:p>
          </xdr:txBody>
        </xdr:sp>
      </mc:Choice>
      <mc:Fallback xmlns="">
        <xdr:sp macro="" textlink="">
          <xdr:nvSpPr>
            <xdr:cNvPr id="11" name="CuadroTexto 10">
              <a:extLst>
                <a:ext uri="{FF2B5EF4-FFF2-40B4-BE49-F238E27FC236}">
                  <a16:creationId xmlns:a16="http://schemas.microsoft.com/office/drawing/2014/main" id="{9071ED9D-3364-49A0-8979-26E3E802853C}"/>
                </a:ext>
              </a:extLst>
            </xdr:cNvPr>
            <xdr:cNvSpPr txBox="1"/>
          </xdr:nvSpPr>
          <xdr:spPr>
            <a:xfrm>
              <a:off x="1290091" y="26684834"/>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𝒖_𝒅</a:t>
              </a:r>
              <a:endParaRPr lang="es-CO" sz="1100" b="1"/>
            </a:p>
          </xdr:txBody>
        </xdr:sp>
      </mc:Fallback>
    </mc:AlternateContent>
    <xdr:clientData/>
  </xdr:oneCellAnchor>
  <xdr:oneCellAnchor>
    <xdr:from>
      <xdr:col>5</xdr:col>
      <xdr:colOff>393571</xdr:colOff>
      <xdr:row>69</xdr:row>
      <xdr:rowOff>265119</xdr:rowOff>
    </xdr:from>
    <xdr:ext cx="529697" cy="172227"/>
    <mc:AlternateContent xmlns:mc="http://schemas.openxmlformats.org/markup-compatibility/2006" xmlns:a14="http://schemas.microsoft.com/office/drawing/2010/main">
      <mc:Choice Requires="a14">
        <xdr:sp macro="" textlink="">
          <xdr:nvSpPr>
            <xdr:cNvPr id="12" name="CuadroTexto 11">
              <a:extLst>
                <a:ext uri="{FF2B5EF4-FFF2-40B4-BE49-F238E27FC236}">
                  <a16:creationId xmlns:a16="http://schemas.microsoft.com/office/drawing/2014/main" id="{00000000-0008-0000-0200-00000C000000}"/>
                </a:ext>
              </a:extLst>
            </xdr:cNvPr>
            <xdr:cNvSpPr txBox="1"/>
          </xdr:nvSpPr>
          <xdr:spPr>
            <a:xfrm>
              <a:off x="5683121" y="28217819"/>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𝒄</m:t>
                        </m:r>
                      </m:sub>
                    </m:sSub>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12" name="CuadroTexto 11">
              <a:extLst>
                <a:ext uri="{FF2B5EF4-FFF2-40B4-BE49-F238E27FC236}">
                  <a16:creationId xmlns:a16="http://schemas.microsoft.com/office/drawing/2014/main" id="{A73DCA10-D706-4701-82D4-CC33BF12CE66}"/>
                </a:ext>
              </a:extLst>
            </xdr:cNvPr>
            <xdr:cNvSpPr txBox="1"/>
          </xdr:nvSpPr>
          <xdr:spPr>
            <a:xfrm>
              <a:off x="5683121" y="28217819"/>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𝒖_𝒄 (</a:t>
              </a:r>
              <a:r>
                <a:rPr lang="es-CO" sz="1100" b="1" i="0">
                  <a:latin typeface="Cambria Math" panose="02040503050406030204" pitchFamily="18" charset="0"/>
                  <a:ea typeface="Cambria Math" panose="02040503050406030204" pitchFamily="18" charset="0"/>
                </a:rPr>
                <a:t>𝒎_𝒄𝒕)</a:t>
              </a:r>
              <a:endParaRPr lang="es-CO" sz="1100" b="1"/>
            </a:p>
          </xdr:txBody>
        </xdr:sp>
      </mc:Fallback>
    </mc:AlternateContent>
    <xdr:clientData/>
  </xdr:oneCellAnchor>
  <xdr:oneCellAnchor>
    <xdr:from>
      <xdr:col>5</xdr:col>
      <xdr:colOff>243965</xdr:colOff>
      <xdr:row>70</xdr:row>
      <xdr:rowOff>130277</xdr:rowOff>
    </xdr:from>
    <xdr:ext cx="780598" cy="172227"/>
    <mc:AlternateContent xmlns:mc="http://schemas.openxmlformats.org/markup-compatibility/2006" xmlns:a14="http://schemas.microsoft.com/office/drawing/2010/main">
      <mc:Choice Requires="a14">
        <xdr:sp macro="" textlink="">
          <xdr:nvSpPr>
            <xdr:cNvPr id="13" name="CuadroTexto 12">
              <a:extLst>
                <a:ext uri="{FF2B5EF4-FFF2-40B4-BE49-F238E27FC236}">
                  <a16:creationId xmlns:a16="http://schemas.microsoft.com/office/drawing/2014/main" id="{00000000-0008-0000-0200-00000D000000}"/>
                </a:ext>
              </a:extLst>
            </xdr:cNvPr>
            <xdr:cNvSpPr txBox="1"/>
          </xdr:nvSpPr>
          <xdr:spPr>
            <a:xfrm>
              <a:off x="5533515" y="2873702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100" b="1" i="1">
                      <a:latin typeface="Cambria Math" panose="02040503050406030204" pitchFamily="18" charset="0"/>
                    </a:rPr>
                    <m:t>𝑼</m:t>
                  </m:r>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a14:m>
              <a:r>
                <a:rPr lang="es-CO" sz="1100" b="1"/>
                <a:t> (k=2)</a:t>
              </a:r>
            </a:p>
          </xdr:txBody>
        </xdr:sp>
      </mc:Choice>
      <mc:Fallback xmlns="">
        <xdr:sp macro="" textlink="">
          <xdr:nvSpPr>
            <xdr:cNvPr id="13" name="CuadroTexto 12">
              <a:extLst>
                <a:ext uri="{FF2B5EF4-FFF2-40B4-BE49-F238E27FC236}">
                  <a16:creationId xmlns:a16="http://schemas.microsoft.com/office/drawing/2014/main" id="{EB130F03-446F-4385-9B45-CBC0C034BC98}"/>
                </a:ext>
              </a:extLst>
            </xdr:cNvPr>
            <xdr:cNvSpPr txBox="1"/>
          </xdr:nvSpPr>
          <xdr:spPr>
            <a:xfrm>
              <a:off x="5533515" y="2873702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100" b="1" i="0">
                  <a:latin typeface="Cambria Math" panose="02040503050406030204" pitchFamily="18" charset="0"/>
                </a:rPr>
                <a:t>𝑼(</a:t>
              </a:r>
              <a:r>
                <a:rPr lang="es-CO" sz="1100" b="1" i="0">
                  <a:latin typeface="Cambria Math" panose="02040503050406030204" pitchFamily="18" charset="0"/>
                  <a:ea typeface="Cambria Math" panose="02040503050406030204" pitchFamily="18" charset="0"/>
                </a:rPr>
                <a:t>𝒎_𝒄𝒕)</a:t>
              </a:r>
              <a:r>
                <a:rPr lang="es-CO" sz="1100" b="1"/>
                <a:t> (k=2)</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14" name="CuadroTexto 13">
              <a:extLst>
                <a:ext uri="{FF2B5EF4-FFF2-40B4-BE49-F238E27FC236}">
                  <a16:creationId xmlns:a16="http://schemas.microsoft.com/office/drawing/2014/main" id="{00000000-0008-0000-0200-00000E000000}"/>
                </a:ext>
              </a:extLst>
            </xdr:cNvPr>
            <xdr:cNvSpPr txBox="1"/>
          </xdr:nvSpPr>
          <xdr:spPr>
            <a:xfrm>
              <a:off x="21910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14" name="CuadroTexto 13">
              <a:extLst>
                <a:ext uri="{FF2B5EF4-FFF2-40B4-BE49-F238E27FC236}">
                  <a16:creationId xmlns:a16="http://schemas.microsoft.com/office/drawing/2014/main" id="{FEF4F948-321C-4EA5-86E0-B7352D42CCCB}"/>
                </a:ext>
              </a:extLst>
            </xdr:cNvPr>
            <xdr:cNvSpPr txBox="1"/>
          </xdr:nvSpPr>
          <xdr:spPr>
            <a:xfrm>
              <a:off x="21910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8</xdr:col>
      <xdr:colOff>541269</xdr:colOff>
      <xdr:row>52</xdr:row>
      <xdr:rowOff>78683</xdr:rowOff>
    </xdr:from>
    <xdr:ext cx="304571" cy="172227"/>
    <mc:AlternateContent xmlns:mc="http://schemas.openxmlformats.org/markup-compatibility/2006" xmlns:a14="http://schemas.microsoft.com/office/drawing/2010/main">
      <mc:Choice Requires="a14">
        <xdr:sp macro="" textlink="">
          <xdr:nvSpPr>
            <xdr:cNvPr id="15" name="CuadroTexto 14">
              <a:extLst>
                <a:ext uri="{FF2B5EF4-FFF2-40B4-BE49-F238E27FC236}">
                  <a16:creationId xmlns:a16="http://schemas.microsoft.com/office/drawing/2014/main" id="{00000000-0008-0000-0200-00000F000000}"/>
                </a:ext>
              </a:extLst>
            </xdr:cNvPr>
            <xdr:cNvSpPr txBox="1"/>
          </xdr:nvSpPr>
          <xdr:spPr>
            <a:xfrm>
              <a:off x="9932919" y="18595283"/>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oMath>
                </m:oMathPara>
              </a14:m>
              <a:endParaRPr lang="es-CO" sz="1100" b="1"/>
            </a:p>
          </xdr:txBody>
        </xdr:sp>
      </mc:Choice>
      <mc:Fallback xmlns="">
        <xdr:sp macro="" textlink="">
          <xdr:nvSpPr>
            <xdr:cNvPr id="15" name="CuadroTexto 14">
              <a:extLst>
                <a:ext uri="{FF2B5EF4-FFF2-40B4-BE49-F238E27FC236}">
                  <a16:creationId xmlns:a16="http://schemas.microsoft.com/office/drawing/2014/main" id="{D24A641D-DF15-4ABF-B5A4-DA2DEAD17312}"/>
                </a:ext>
              </a:extLst>
            </xdr:cNvPr>
            <xdr:cNvSpPr txBox="1"/>
          </xdr:nvSpPr>
          <xdr:spPr>
            <a:xfrm>
              <a:off x="9932919" y="18595283"/>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4</xdr:col>
      <xdr:colOff>155713</xdr:colOff>
      <xdr:row>39</xdr:row>
      <xdr:rowOff>106017</xdr:rowOff>
    </xdr:from>
    <xdr:ext cx="65" cy="172227"/>
    <xdr:sp macro="" textlink="">
      <xdr:nvSpPr>
        <xdr:cNvPr id="16" name="CuadroTexto 15">
          <a:extLst>
            <a:ext uri="{FF2B5EF4-FFF2-40B4-BE49-F238E27FC236}">
              <a16:creationId xmlns:a16="http://schemas.microsoft.com/office/drawing/2014/main" id="{00000000-0008-0000-0200-000010000000}"/>
            </a:ext>
          </a:extLst>
        </xdr:cNvPr>
        <xdr:cNvSpPr txBox="1"/>
      </xdr:nvSpPr>
      <xdr:spPr>
        <a:xfrm>
          <a:off x="4359413" y="1369501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17" name="CuadroTexto 16">
              <a:extLst>
                <a:ext uri="{FF2B5EF4-FFF2-40B4-BE49-F238E27FC236}">
                  <a16:creationId xmlns:a16="http://schemas.microsoft.com/office/drawing/2014/main" id="{00000000-0008-0000-0200-000011000000}"/>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7" name="CuadroTexto 16">
              <a:extLst>
                <a:ext uri="{FF2B5EF4-FFF2-40B4-BE49-F238E27FC236}">
                  <a16:creationId xmlns:a16="http://schemas.microsoft.com/office/drawing/2014/main" id="{BFAE22A0-E874-4B98-B845-256A83FBED81}"/>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18" name="CuadroTexto 17">
              <a:extLst>
                <a:ext uri="{FF2B5EF4-FFF2-40B4-BE49-F238E27FC236}">
                  <a16:creationId xmlns:a16="http://schemas.microsoft.com/office/drawing/2014/main" id="{00000000-0008-0000-0200-000012000000}"/>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18" name="CuadroTexto 17">
              <a:extLst>
                <a:ext uri="{FF2B5EF4-FFF2-40B4-BE49-F238E27FC236}">
                  <a16:creationId xmlns:a16="http://schemas.microsoft.com/office/drawing/2014/main" id="{E223A811-296F-4D84-9376-D9EF381AB4AC}"/>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19" name="CuadroTexto 18">
              <a:extLst>
                <a:ext uri="{FF2B5EF4-FFF2-40B4-BE49-F238E27FC236}">
                  <a16:creationId xmlns:a16="http://schemas.microsoft.com/office/drawing/2014/main" id="{00000000-0008-0000-0200-000013000000}"/>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9" name="CuadroTexto 18">
              <a:extLst>
                <a:ext uri="{FF2B5EF4-FFF2-40B4-BE49-F238E27FC236}">
                  <a16:creationId xmlns:a16="http://schemas.microsoft.com/office/drawing/2014/main" id="{EAD0B708-B5B0-40AA-8263-F2CE2B7D2CC7}"/>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0" name="CuadroTexto 19">
              <a:extLst>
                <a:ext uri="{FF2B5EF4-FFF2-40B4-BE49-F238E27FC236}">
                  <a16:creationId xmlns:a16="http://schemas.microsoft.com/office/drawing/2014/main" id="{00000000-0008-0000-0200-000014000000}"/>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0" name="CuadroTexto 19">
              <a:extLst>
                <a:ext uri="{FF2B5EF4-FFF2-40B4-BE49-F238E27FC236}">
                  <a16:creationId xmlns:a16="http://schemas.microsoft.com/office/drawing/2014/main" id="{96428F2E-EF54-4231-930B-2A3E6AC24CF4}"/>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1" name="CuadroTexto 20">
          <a:extLst>
            <a:ext uri="{FF2B5EF4-FFF2-40B4-BE49-F238E27FC236}">
              <a16:creationId xmlns:a16="http://schemas.microsoft.com/office/drawing/2014/main" id="{00000000-0008-0000-0200-000015000000}"/>
            </a:ext>
          </a:extLst>
        </xdr:cNvPr>
        <xdr:cNvSpPr txBox="1"/>
      </xdr:nvSpPr>
      <xdr:spPr>
        <a:xfrm>
          <a:off x="1376572" y="14521621"/>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3</xdr:col>
      <xdr:colOff>236456</xdr:colOff>
      <xdr:row>73</xdr:row>
      <xdr:rowOff>141002</xdr:rowOff>
    </xdr:from>
    <xdr:ext cx="730521" cy="219163"/>
    <mc:AlternateContent xmlns:mc="http://schemas.openxmlformats.org/markup-compatibility/2006" xmlns:a14="http://schemas.microsoft.com/office/drawing/2010/main">
      <mc:Choice Requires="a14">
        <xdr:sp macro="" textlink="">
          <xdr:nvSpPr>
            <xdr:cNvPr id="22" name="CuadroTexto 21">
              <a:extLst>
                <a:ext uri="{FF2B5EF4-FFF2-40B4-BE49-F238E27FC236}">
                  <a16:creationId xmlns:a16="http://schemas.microsoft.com/office/drawing/2014/main" id="{00000000-0008-0000-0200-000016000000}"/>
                </a:ext>
              </a:extLst>
            </xdr:cNvPr>
            <xdr:cNvSpPr txBox="1"/>
          </xdr:nvSpPr>
          <xdr:spPr>
            <a:xfrm>
              <a:off x="3252706" y="30062202"/>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m:t>
                  </m:r>
                  <m:sSub>
                    <m:sSubPr>
                      <m:ctrlPr>
                        <a:rPr lang="es-CO" sz="1400" b="1" i="1">
                          <a:latin typeface="Cambria Math" panose="02040503050406030204" pitchFamily="18" charset="0"/>
                          <a:ea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𝒎</m:t>
                      </m:r>
                    </m:e>
                    <m:sub>
                      <m:r>
                        <a:rPr lang="es-CO" sz="1400" b="1" i="1">
                          <a:latin typeface="Cambria Math" panose="02040503050406030204" pitchFamily="18" charset="0"/>
                          <a:ea typeface="Cambria Math" panose="02040503050406030204" pitchFamily="18" charset="0"/>
                        </a:rPr>
                        <m:t>𝒄</m:t>
                      </m:r>
                    </m:sub>
                  </m:sSub>
                </m:oMath>
              </a14:m>
              <a:r>
                <a:rPr lang="es-CO" sz="1400" b="1" i="1"/>
                <a:t> (mg</a:t>
              </a:r>
              <a:r>
                <a:rPr lang="es-CO" sz="1200" b="1" i="0"/>
                <a:t>)</a:t>
              </a:r>
            </a:p>
          </xdr:txBody>
        </xdr:sp>
      </mc:Choice>
      <mc:Fallback xmlns="">
        <xdr:sp macro="" textlink="">
          <xdr:nvSpPr>
            <xdr:cNvPr id="22" name="CuadroTexto 21">
              <a:extLst>
                <a:ext uri="{FF2B5EF4-FFF2-40B4-BE49-F238E27FC236}">
                  <a16:creationId xmlns:a16="http://schemas.microsoft.com/office/drawing/2014/main" id="{F88203A4-393E-4DCD-A07C-DFEA294CA4F6}"/>
                </a:ext>
              </a:extLst>
            </xdr:cNvPr>
            <xdr:cNvSpPr txBox="1"/>
          </xdr:nvSpPr>
          <xdr:spPr>
            <a:xfrm>
              <a:off x="3252706" y="30062202"/>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400" b="1" i="0">
                  <a:latin typeface="Cambria Math" panose="02040503050406030204" pitchFamily="18" charset="0"/>
                  <a:ea typeface="Cambria Math" panose="02040503050406030204" pitchFamily="18" charset="0"/>
                </a:rPr>
                <a:t>∆𝒎_𝒄</a:t>
              </a:r>
              <a:r>
                <a:rPr lang="es-CO" sz="1400" b="1" i="1"/>
                <a:t> (mg</a:t>
              </a:r>
              <a:r>
                <a:rPr lang="es-CO" sz="1200" b="1" i="0"/>
                <a:t>)</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23" name="CuadroTexto 22">
              <a:extLst>
                <a:ext uri="{FF2B5EF4-FFF2-40B4-BE49-F238E27FC236}">
                  <a16:creationId xmlns:a16="http://schemas.microsoft.com/office/drawing/2014/main" id="{00000000-0008-0000-0200-000017000000}"/>
                </a:ext>
              </a:extLst>
            </xdr:cNvPr>
            <xdr:cNvSpPr txBox="1"/>
          </xdr:nvSpPr>
          <xdr:spPr>
            <a:xfrm>
              <a:off x="21910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23" name="CuadroTexto 22">
              <a:extLst>
                <a:ext uri="{FF2B5EF4-FFF2-40B4-BE49-F238E27FC236}">
                  <a16:creationId xmlns:a16="http://schemas.microsoft.com/office/drawing/2014/main" id="{89104CB0-7F3C-496E-AE51-29E3DA0BF73D}"/>
                </a:ext>
              </a:extLst>
            </xdr:cNvPr>
            <xdr:cNvSpPr txBox="1"/>
          </xdr:nvSpPr>
          <xdr:spPr>
            <a:xfrm>
              <a:off x="21910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24" name="CuadroTexto 23">
          <a:extLst>
            <a:ext uri="{FF2B5EF4-FFF2-40B4-BE49-F238E27FC236}">
              <a16:creationId xmlns:a16="http://schemas.microsoft.com/office/drawing/2014/main" id="{00000000-0008-0000-0200-000018000000}"/>
            </a:ext>
          </a:extLst>
        </xdr:cNvPr>
        <xdr:cNvSpPr txBox="1"/>
      </xdr:nvSpPr>
      <xdr:spPr>
        <a:xfrm>
          <a:off x="4359413" y="1369501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25" name="CuadroTexto 24">
              <a:extLst>
                <a:ext uri="{FF2B5EF4-FFF2-40B4-BE49-F238E27FC236}">
                  <a16:creationId xmlns:a16="http://schemas.microsoft.com/office/drawing/2014/main" id="{00000000-0008-0000-0200-000019000000}"/>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5" name="CuadroTexto 24">
              <a:extLst>
                <a:ext uri="{FF2B5EF4-FFF2-40B4-BE49-F238E27FC236}">
                  <a16:creationId xmlns:a16="http://schemas.microsoft.com/office/drawing/2014/main" id="{7AA2D89D-4C71-432D-8A0A-D681166D94A9}"/>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26" name="CuadroTexto 25">
              <a:extLst>
                <a:ext uri="{FF2B5EF4-FFF2-40B4-BE49-F238E27FC236}">
                  <a16:creationId xmlns:a16="http://schemas.microsoft.com/office/drawing/2014/main" id="{00000000-0008-0000-0200-00001A000000}"/>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6" name="CuadroTexto 25">
              <a:extLst>
                <a:ext uri="{FF2B5EF4-FFF2-40B4-BE49-F238E27FC236}">
                  <a16:creationId xmlns:a16="http://schemas.microsoft.com/office/drawing/2014/main" id="{8E908B9F-78BB-4B55-B165-DE6C342D66C7}"/>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27" name="CuadroTexto 26">
              <a:extLst>
                <a:ext uri="{FF2B5EF4-FFF2-40B4-BE49-F238E27FC236}">
                  <a16:creationId xmlns:a16="http://schemas.microsoft.com/office/drawing/2014/main" id="{00000000-0008-0000-0200-00001B000000}"/>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7" name="CuadroTexto 26">
              <a:extLst>
                <a:ext uri="{FF2B5EF4-FFF2-40B4-BE49-F238E27FC236}">
                  <a16:creationId xmlns:a16="http://schemas.microsoft.com/office/drawing/2014/main" id="{33570B13-A09F-4EAC-87A2-A94161360C9B}"/>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8" name="CuadroTexto 27">
              <a:extLst>
                <a:ext uri="{FF2B5EF4-FFF2-40B4-BE49-F238E27FC236}">
                  <a16:creationId xmlns:a16="http://schemas.microsoft.com/office/drawing/2014/main" id="{00000000-0008-0000-0200-00001C000000}"/>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8" name="CuadroTexto 27">
              <a:extLst>
                <a:ext uri="{FF2B5EF4-FFF2-40B4-BE49-F238E27FC236}">
                  <a16:creationId xmlns:a16="http://schemas.microsoft.com/office/drawing/2014/main" id="{21CA9A49-D0A1-4619-825C-2B34F900E544}"/>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9" name="CuadroTexto 28">
          <a:extLst>
            <a:ext uri="{FF2B5EF4-FFF2-40B4-BE49-F238E27FC236}">
              <a16:creationId xmlns:a16="http://schemas.microsoft.com/office/drawing/2014/main" id="{00000000-0008-0000-0200-00001D000000}"/>
            </a:ext>
          </a:extLst>
        </xdr:cNvPr>
        <xdr:cNvSpPr txBox="1"/>
      </xdr:nvSpPr>
      <xdr:spPr>
        <a:xfrm>
          <a:off x="1376572" y="14521621"/>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30" name="CuadroTexto 29">
              <a:extLst>
                <a:ext uri="{FF2B5EF4-FFF2-40B4-BE49-F238E27FC236}">
                  <a16:creationId xmlns:a16="http://schemas.microsoft.com/office/drawing/2014/main" id="{00000000-0008-0000-0200-00001E000000}"/>
                </a:ext>
              </a:extLst>
            </xdr:cNvPr>
            <xdr:cNvSpPr txBox="1"/>
          </xdr:nvSpPr>
          <xdr:spPr>
            <a:xfrm>
              <a:off x="21910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30" name="CuadroTexto 29">
              <a:extLst>
                <a:ext uri="{FF2B5EF4-FFF2-40B4-BE49-F238E27FC236}">
                  <a16:creationId xmlns:a16="http://schemas.microsoft.com/office/drawing/2014/main" id="{99DD47BA-C1A3-4432-BF97-9EAA28424AB2}"/>
                </a:ext>
              </a:extLst>
            </xdr:cNvPr>
            <xdr:cNvSpPr txBox="1"/>
          </xdr:nvSpPr>
          <xdr:spPr>
            <a:xfrm>
              <a:off x="21910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31" name="CuadroTexto 30">
          <a:extLst>
            <a:ext uri="{FF2B5EF4-FFF2-40B4-BE49-F238E27FC236}">
              <a16:creationId xmlns:a16="http://schemas.microsoft.com/office/drawing/2014/main" id="{00000000-0008-0000-0200-00001F000000}"/>
            </a:ext>
          </a:extLst>
        </xdr:cNvPr>
        <xdr:cNvSpPr txBox="1"/>
      </xdr:nvSpPr>
      <xdr:spPr>
        <a:xfrm>
          <a:off x="4359413" y="1369501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32" name="CuadroTexto 31">
              <a:extLst>
                <a:ext uri="{FF2B5EF4-FFF2-40B4-BE49-F238E27FC236}">
                  <a16:creationId xmlns:a16="http://schemas.microsoft.com/office/drawing/2014/main" id="{00000000-0008-0000-0200-000020000000}"/>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2" name="CuadroTexto 31">
              <a:extLst>
                <a:ext uri="{FF2B5EF4-FFF2-40B4-BE49-F238E27FC236}">
                  <a16:creationId xmlns:a16="http://schemas.microsoft.com/office/drawing/2014/main" id="{D9BBADA1-4412-4332-B1C5-7ADF3B664BC5}"/>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33" name="CuadroTexto 32">
              <a:extLst>
                <a:ext uri="{FF2B5EF4-FFF2-40B4-BE49-F238E27FC236}">
                  <a16:creationId xmlns:a16="http://schemas.microsoft.com/office/drawing/2014/main" id="{00000000-0008-0000-0200-000021000000}"/>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3" name="CuadroTexto 32">
              <a:extLst>
                <a:ext uri="{FF2B5EF4-FFF2-40B4-BE49-F238E27FC236}">
                  <a16:creationId xmlns:a16="http://schemas.microsoft.com/office/drawing/2014/main" id="{527622A6-23C0-4008-94BC-E1EE0F4B7DD9}"/>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34" name="CuadroTexto 33">
              <a:extLst>
                <a:ext uri="{FF2B5EF4-FFF2-40B4-BE49-F238E27FC236}">
                  <a16:creationId xmlns:a16="http://schemas.microsoft.com/office/drawing/2014/main" id="{00000000-0008-0000-0200-000022000000}"/>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4" name="CuadroTexto 33">
              <a:extLst>
                <a:ext uri="{FF2B5EF4-FFF2-40B4-BE49-F238E27FC236}">
                  <a16:creationId xmlns:a16="http://schemas.microsoft.com/office/drawing/2014/main" id="{D6AD649D-09BC-4BDA-93C5-CF1DD52BF9E0}"/>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35" name="CuadroTexto 34">
              <a:extLst>
                <a:ext uri="{FF2B5EF4-FFF2-40B4-BE49-F238E27FC236}">
                  <a16:creationId xmlns:a16="http://schemas.microsoft.com/office/drawing/2014/main" id="{00000000-0008-0000-0200-000023000000}"/>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5" name="CuadroTexto 34">
              <a:extLst>
                <a:ext uri="{FF2B5EF4-FFF2-40B4-BE49-F238E27FC236}">
                  <a16:creationId xmlns:a16="http://schemas.microsoft.com/office/drawing/2014/main" id="{C2CC7425-F0E0-44F3-8050-907F81723E38}"/>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36" name="CuadroTexto 35">
          <a:extLst>
            <a:ext uri="{FF2B5EF4-FFF2-40B4-BE49-F238E27FC236}">
              <a16:creationId xmlns:a16="http://schemas.microsoft.com/office/drawing/2014/main" id="{00000000-0008-0000-0200-000024000000}"/>
            </a:ext>
          </a:extLst>
        </xdr:cNvPr>
        <xdr:cNvSpPr txBox="1"/>
      </xdr:nvSpPr>
      <xdr:spPr>
        <a:xfrm>
          <a:off x="1376572" y="14521621"/>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11</xdr:col>
      <xdr:colOff>628650</xdr:colOff>
      <xdr:row>61</xdr:row>
      <xdr:rowOff>0</xdr:rowOff>
    </xdr:from>
    <xdr:ext cx="65" cy="172227"/>
    <xdr:sp macro="" textlink="">
      <xdr:nvSpPr>
        <xdr:cNvPr id="37" name="CuadroTexto 36">
          <a:extLst>
            <a:ext uri="{FF2B5EF4-FFF2-40B4-BE49-F238E27FC236}">
              <a16:creationId xmlns:a16="http://schemas.microsoft.com/office/drawing/2014/main" id="{00000000-0008-0000-0200-000025000000}"/>
            </a:ext>
          </a:extLst>
        </xdr:cNvPr>
        <xdr:cNvSpPr txBox="1"/>
      </xdr:nvSpPr>
      <xdr:spPr>
        <a:xfrm>
          <a:off x="12744450" y="22707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5</xdr:col>
      <xdr:colOff>539750</xdr:colOff>
      <xdr:row>73</xdr:row>
      <xdr:rowOff>158749</xdr:rowOff>
    </xdr:from>
    <xdr:ext cx="984250" cy="210507"/>
    <mc:AlternateContent xmlns:mc="http://schemas.openxmlformats.org/markup-compatibility/2006" xmlns:a14="http://schemas.microsoft.com/office/drawing/2010/main">
      <mc:Choice Requires="a14">
        <xdr:sp macro="" textlink="">
          <xdr:nvSpPr>
            <xdr:cNvPr id="38" name="CuadroTexto 37">
              <a:extLst>
                <a:ext uri="{FF2B5EF4-FFF2-40B4-BE49-F238E27FC236}">
                  <a16:creationId xmlns:a16="http://schemas.microsoft.com/office/drawing/2014/main" id="{00000000-0008-0000-0200-000026000000}"/>
                </a:ext>
              </a:extLst>
            </xdr:cNvPr>
            <xdr:cNvSpPr txBox="1"/>
          </xdr:nvSpPr>
          <xdr:spPr>
            <a:xfrm>
              <a:off x="5829300" y="30079949"/>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𝒆</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38" name="CuadroTexto 37">
              <a:extLst>
                <a:ext uri="{FF2B5EF4-FFF2-40B4-BE49-F238E27FC236}">
                  <a16:creationId xmlns:a16="http://schemas.microsoft.com/office/drawing/2014/main" id="{F314EC04-0AD3-47AF-A42E-C28E8CEB84B2}"/>
                </a:ext>
              </a:extLst>
            </xdr:cNvPr>
            <xdr:cNvSpPr txBox="1"/>
          </xdr:nvSpPr>
          <xdr:spPr>
            <a:xfrm>
              <a:off x="5829300" y="30079949"/>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𝒆 𝒄𝒕</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4</xdr:col>
      <xdr:colOff>52917</xdr:colOff>
      <xdr:row>73</xdr:row>
      <xdr:rowOff>148167</xdr:rowOff>
    </xdr:from>
    <xdr:ext cx="984250" cy="210507"/>
    <mc:AlternateContent xmlns:mc="http://schemas.openxmlformats.org/markup-compatibility/2006" xmlns:a14="http://schemas.microsoft.com/office/drawing/2010/main">
      <mc:Choice Requires="a14">
        <xdr:sp macro="" textlink="">
          <xdr:nvSpPr>
            <xdr:cNvPr id="39" name="CuadroTexto 38">
              <a:extLst>
                <a:ext uri="{FF2B5EF4-FFF2-40B4-BE49-F238E27FC236}">
                  <a16:creationId xmlns:a16="http://schemas.microsoft.com/office/drawing/2014/main" id="{00000000-0008-0000-0200-000027000000}"/>
                </a:ext>
              </a:extLst>
            </xdr:cNvPr>
            <xdr:cNvSpPr txBox="1"/>
          </xdr:nvSpPr>
          <xdr:spPr>
            <a:xfrm>
              <a:off x="4256617" y="30069367"/>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39" name="CuadroTexto 38">
              <a:extLst>
                <a:ext uri="{FF2B5EF4-FFF2-40B4-BE49-F238E27FC236}">
                  <a16:creationId xmlns:a16="http://schemas.microsoft.com/office/drawing/2014/main" id="{9DA98905-DBB0-4109-BB69-43F322C8C9A5}"/>
                </a:ext>
              </a:extLst>
            </xdr:cNvPr>
            <xdr:cNvSpPr txBox="1"/>
          </xdr:nvSpPr>
          <xdr:spPr>
            <a:xfrm>
              <a:off x="4256617" y="30069367"/>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𝒄𝒕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0</xdr:col>
      <xdr:colOff>972342</xdr:colOff>
      <xdr:row>73</xdr:row>
      <xdr:rowOff>111125</xdr:rowOff>
    </xdr:from>
    <xdr:ext cx="1004095" cy="210507"/>
    <mc:AlternateContent xmlns:mc="http://schemas.openxmlformats.org/markup-compatibility/2006" xmlns:a14="http://schemas.microsoft.com/office/drawing/2010/main">
      <mc:Choice Requires="a14">
        <xdr:sp macro="" textlink="">
          <xdr:nvSpPr>
            <xdr:cNvPr id="40" name="CuadroTexto 39">
              <a:extLst>
                <a:ext uri="{FF2B5EF4-FFF2-40B4-BE49-F238E27FC236}">
                  <a16:creationId xmlns:a16="http://schemas.microsoft.com/office/drawing/2014/main" id="{00000000-0008-0000-0200-000028000000}"/>
                </a:ext>
              </a:extLst>
            </xdr:cNvPr>
            <xdr:cNvSpPr txBox="1"/>
          </xdr:nvSpPr>
          <xdr:spPr>
            <a:xfrm>
              <a:off x="972342" y="29924375"/>
              <a:ext cx="1004095"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𝑵𝒓</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0" name="CuadroTexto 39">
              <a:extLst>
                <a:ext uri="{FF2B5EF4-FFF2-40B4-BE49-F238E27FC236}">
                  <a16:creationId xmlns:a16="http://schemas.microsoft.com/office/drawing/2014/main" id="{A14ABFE7-D00A-4611-B8B0-94B96CD5C92D}"/>
                </a:ext>
              </a:extLst>
            </xdr:cNvPr>
            <xdr:cNvSpPr txBox="1"/>
          </xdr:nvSpPr>
          <xdr:spPr>
            <a:xfrm>
              <a:off x="972342" y="29924375"/>
              <a:ext cx="1004095"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𝑵𝒓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8</xdr:col>
      <xdr:colOff>624417</xdr:colOff>
      <xdr:row>73</xdr:row>
      <xdr:rowOff>285751</xdr:rowOff>
    </xdr:from>
    <xdr:ext cx="1524000" cy="210507"/>
    <mc:AlternateContent xmlns:mc="http://schemas.openxmlformats.org/markup-compatibility/2006" xmlns:a14="http://schemas.microsoft.com/office/drawing/2010/main">
      <mc:Choice Requires="a14">
        <xdr:sp macro="" textlink="">
          <xdr:nvSpPr>
            <xdr:cNvPr id="41" name="CuadroTexto 40">
              <a:extLst>
                <a:ext uri="{FF2B5EF4-FFF2-40B4-BE49-F238E27FC236}">
                  <a16:creationId xmlns:a16="http://schemas.microsoft.com/office/drawing/2014/main" id="{00000000-0008-0000-0200-000029000000}"/>
                </a:ext>
              </a:extLst>
            </xdr:cNvPr>
            <xdr:cNvSpPr txBox="1"/>
          </xdr:nvSpPr>
          <xdr:spPr>
            <a:xfrm>
              <a:off x="10016067" y="30206951"/>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𝑼</m:t>
                  </m:r>
                  <m:r>
                    <a:rPr lang="es-CO" sz="1400" b="1" i="1">
                      <a:latin typeface="Cambria Math" panose="02040503050406030204" pitchFamily="18" charset="0"/>
                      <a:ea typeface="Cambria Math" panose="02040503050406030204" pitchFamily="18" charset="0"/>
                    </a:rPr>
                    <m:t> </m:t>
                  </m:r>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 </m:t>
                  </m:r>
                  <m:r>
                    <a:rPr lang="es-CO" sz="1400" b="1" i="1">
                      <a:latin typeface="Cambria Math" panose="02040503050406030204" pitchFamily="18" charset="0"/>
                      <a:ea typeface="Cambria Math" panose="02040503050406030204" pitchFamily="18" charset="0"/>
                    </a:rPr>
                    <m:t>𝒌</m:t>
                  </m:r>
                  <m:r>
                    <a:rPr lang="es-CO" sz="1400" b="1" i="1">
                      <a:latin typeface="Cambria Math" panose="02040503050406030204" pitchFamily="18" charset="0"/>
                      <a:ea typeface="Cambria Math" panose="02040503050406030204" pitchFamily="18" charset="0"/>
                    </a:rPr>
                    <m:t>=</m:t>
                  </m:r>
                  <m:r>
                    <a:rPr lang="es-CO" sz="1400" b="1" i="1">
                      <a:latin typeface="Cambria Math" panose="02040503050406030204" pitchFamily="18" charset="0"/>
                      <a:ea typeface="Cambria Math" panose="02040503050406030204" pitchFamily="18" charset="0"/>
                    </a:rPr>
                    <m:t>𝟐</m:t>
                  </m:r>
                </m:oMath>
              </a14:m>
              <a:r>
                <a:rPr lang="es-CO" sz="1400" b="1" i="1">
                  <a:latin typeface="Arial" panose="020B0604020202020204" pitchFamily="34" charset="0"/>
                  <a:cs typeface="Arial" panose="020B0604020202020204" pitchFamily="34" charset="0"/>
                </a:rPr>
                <a:t>)</a:t>
              </a:r>
            </a:p>
          </xdr:txBody>
        </xdr:sp>
      </mc:Choice>
      <mc:Fallback xmlns="">
        <xdr:sp macro="" textlink="">
          <xdr:nvSpPr>
            <xdr:cNvPr id="41" name="CuadroTexto 40">
              <a:extLst>
                <a:ext uri="{FF2B5EF4-FFF2-40B4-BE49-F238E27FC236}">
                  <a16:creationId xmlns:a16="http://schemas.microsoft.com/office/drawing/2014/main" id="{77EDF02F-DF85-4278-81CF-427894C1A497}"/>
                </a:ext>
              </a:extLst>
            </xdr:cNvPr>
            <xdr:cNvSpPr txBox="1"/>
          </xdr:nvSpPr>
          <xdr:spPr>
            <a:xfrm>
              <a:off x="10016067" y="30206951"/>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0">
                  <a:latin typeface="Cambria Math" panose="02040503050406030204" pitchFamily="18" charset="0"/>
                  <a:ea typeface="Cambria Math" panose="02040503050406030204" pitchFamily="18" charset="0"/>
                </a:rPr>
                <a:t>𝑼 ( 𝒎 𝒄𝒕 )  ( 𝒌=𝟐</a:t>
              </a:r>
              <a:r>
                <a:rPr lang="es-CO" sz="1400" b="1" i="1">
                  <a:latin typeface="Arial" panose="020B0604020202020204" pitchFamily="34" charset="0"/>
                  <a:cs typeface="Arial" panose="020B0604020202020204" pitchFamily="34" charset="0"/>
                </a:rPr>
                <a:t>)</a:t>
              </a:r>
            </a:p>
          </xdr:txBody>
        </xdr:sp>
      </mc:Fallback>
    </mc:AlternateContent>
    <xdr:clientData/>
  </xdr:oneCellAnchor>
  <xdr:oneCellAnchor>
    <xdr:from>
      <xdr:col>9</xdr:col>
      <xdr:colOff>603252</xdr:colOff>
      <xdr:row>74</xdr:row>
      <xdr:rowOff>84667</xdr:rowOff>
    </xdr:from>
    <xdr:ext cx="465666" cy="219163"/>
    <xdr:sp macro="" textlink="">
      <xdr:nvSpPr>
        <xdr:cNvPr id="42" name="CuadroTexto 41">
          <a:extLst>
            <a:ext uri="{FF2B5EF4-FFF2-40B4-BE49-F238E27FC236}">
              <a16:creationId xmlns:a16="http://schemas.microsoft.com/office/drawing/2014/main" id="{00000000-0008-0000-0200-00002A000000}"/>
            </a:ext>
          </a:extLst>
        </xdr:cNvPr>
        <xdr:cNvSpPr txBox="1"/>
      </xdr:nvSpPr>
      <xdr:spPr>
        <a:xfrm>
          <a:off x="10960102" y="30520217"/>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9</xdr:col>
      <xdr:colOff>571499</xdr:colOff>
      <xdr:row>75</xdr:row>
      <xdr:rowOff>116416</xdr:rowOff>
    </xdr:from>
    <xdr:ext cx="359835" cy="219163"/>
    <xdr:sp macro="" textlink="">
      <xdr:nvSpPr>
        <xdr:cNvPr id="43" name="CuadroTexto 42">
          <a:extLst>
            <a:ext uri="{FF2B5EF4-FFF2-40B4-BE49-F238E27FC236}">
              <a16:creationId xmlns:a16="http://schemas.microsoft.com/office/drawing/2014/main" id="{00000000-0008-0000-0200-00002B000000}"/>
            </a:ext>
          </a:extLst>
        </xdr:cNvPr>
        <xdr:cNvSpPr txBox="1"/>
      </xdr:nvSpPr>
      <xdr:spPr>
        <a:xfrm>
          <a:off x="10928349" y="30996466"/>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6</xdr:col>
      <xdr:colOff>275167</xdr:colOff>
      <xdr:row>74</xdr:row>
      <xdr:rowOff>148166</xdr:rowOff>
    </xdr:from>
    <xdr:ext cx="465666" cy="219163"/>
    <xdr:sp macro="" textlink="">
      <xdr:nvSpPr>
        <xdr:cNvPr id="44" name="CuadroTexto 43">
          <a:extLst>
            <a:ext uri="{FF2B5EF4-FFF2-40B4-BE49-F238E27FC236}">
              <a16:creationId xmlns:a16="http://schemas.microsoft.com/office/drawing/2014/main" id="{00000000-0008-0000-0200-00002C000000}"/>
            </a:ext>
          </a:extLst>
        </xdr:cNvPr>
        <xdr:cNvSpPr txBox="1"/>
      </xdr:nvSpPr>
      <xdr:spPr>
        <a:xfrm>
          <a:off x="6860117" y="30583716"/>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6</xdr:col>
      <xdr:colOff>328083</xdr:colOff>
      <xdr:row>75</xdr:row>
      <xdr:rowOff>84667</xdr:rowOff>
    </xdr:from>
    <xdr:ext cx="359835" cy="219163"/>
    <xdr:sp macro="" textlink="">
      <xdr:nvSpPr>
        <xdr:cNvPr id="45" name="CuadroTexto 44">
          <a:extLst>
            <a:ext uri="{FF2B5EF4-FFF2-40B4-BE49-F238E27FC236}">
              <a16:creationId xmlns:a16="http://schemas.microsoft.com/office/drawing/2014/main" id="{00000000-0008-0000-0200-00002D000000}"/>
            </a:ext>
          </a:extLst>
        </xdr:cNvPr>
        <xdr:cNvSpPr txBox="1"/>
      </xdr:nvSpPr>
      <xdr:spPr>
        <a:xfrm>
          <a:off x="6913033" y="30964717"/>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3</xdr:col>
      <xdr:colOff>560916</xdr:colOff>
      <xdr:row>72</xdr:row>
      <xdr:rowOff>74084</xdr:rowOff>
    </xdr:from>
    <xdr:ext cx="1524000" cy="210507"/>
    <mc:AlternateContent xmlns:mc="http://schemas.openxmlformats.org/markup-compatibility/2006" xmlns:a14="http://schemas.microsoft.com/office/drawing/2010/main">
      <mc:Choice Requires="a14">
        <xdr:sp macro="" textlink="">
          <xdr:nvSpPr>
            <xdr:cNvPr id="46" name="CuadroTexto 45">
              <a:extLst>
                <a:ext uri="{FF2B5EF4-FFF2-40B4-BE49-F238E27FC236}">
                  <a16:creationId xmlns:a16="http://schemas.microsoft.com/office/drawing/2014/main" id="{00000000-0008-0000-0200-00002E000000}"/>
                </a:ext>
              </a:extLst>
            </xdr:cNvPr>
            <xdr:cNvSpPr txBox="1"/>
          </xdr:nvSpPr>
          <xdr:spPr>
            <a:xfrm>
              <a:off x="3577166" y="29550784"/>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m:t>
                    </m:r>
                  </m:oMath>
                </m:oMathPara>
              </a14:m>
              <a:endParaRPr lang="es-CO" sz="1400" b="1" i="1">
                <a:latin typeface="Arial" panose="020B0604020202020204" pitchFamily="34" charset="0"/>
                <a:cs typeface="Arial" panose="020B0604020202020204" pitchFamily="34" charset="0"/>
              </a:endParaRPr>
            </a:p>
          </xdr:txBody>
        </xdr:sp>
      </mc:Choice>
      <mc:Fallback xmlns="">
        <xdr:sp macro="" textlink="">
          <xdr:nvSpPr>
            <xdr:cNvPr id="46" name="CuadroTexto 45">
              <a:extLst>
                <a:ext uri="{FF2B5EF4-FFF2-40B4-BE49-F238E27FC236}">
                  <a16:creationId xmlns:a16="http://schemas.microsoft.com/office/drawing/2014/main" id="{F77D7D6D-94C6-4C38-832D-CA439C8D8A32}"/>
                </a:ext>
              </a:extLst>
            </xdr:cNvPr>
            <xdr:cNvSpPr txBox="1"/>
          </xdr:nvSpPr>
          <xdr:spPr>
            <a:xfrm>
              <a:off x="3577166" y="29550784"/>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 𝒎 𝒄𝒕 )   </a:t>
              </a:r>
              <a:endParaRPr lang="es-CO" sz="1400" b="1" i="1">
                <a:latin typeface="Arial" panose="020B0604020202020204" pitchFamily="34" charset="0"/>
                <a:cs typeface="Arial" panose="020B0604020202020204" pitchFamily="34" charset="0"/>
              </a:endParaRPr>
            </a:p>
          </xdr:txBody>
        </xdr:sp>
      </mc:Fallback>
    </mc:AlternateContent>
    <xdr:clientData/>
  </xdr:oneCellAnchor>
  <xdr:oneCellAnchor>
    <xdr:from>
      <xdr:col>7</xdr:col>
      <xdr:colOff>411956</xdr:colOff>
      <xdr:row>71</xdr:row>
      <xdr:rowOff>406003</xdr:rowOff>
    </xdr:from>
    <xdr:ext cx="65" cy="172227"/>
    <xdr:sp macro="" textlink="">
      <xdr:nvSpPr>
        <xdr:cNvPr id="47" name="CuadroTexto 46">
          <a:extLst>
            <a:ext uri="{FF2B5EF4-FFF2-40B4-BE49-F238E27FC236}">
              <a16:creationId xmlns:a16="http://schemas.microsoft.com/office/drawing/2014/main" id="{00000000-0008-0000-0200-00002F000000}"/>
            </a:ext>
          </a:extLst>
        </xdr:cNvPr>
        <xdr:cNvSpPr txBox="1"/>
      </xdr:nvSpPr>
      <xdr:spPr>
        <a:xfrm>
          <a:off x="8095456" y="29457253"/>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49" name="CuadroTexto 48">
              <a:extLst>
                <a:ext uri="{FF2B5EF4-FFF2-40B4-BE49-F238E27FC236}">
                  <a16:creationId xmlns:a16="http://schemas.microsoft.com/office/drawing/2014/main" id="{00000000-0008-0000-0200-000031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49" name="CuadroTexto 48">
              <a:extLst>
                <a:ext uri="{FF2B5EF4-FFF2-40B4-BE49-F238E27FC236}">
                  <a16:creationId xmlns:a16="http://schemas.microsoft.com/office/drawing/2014/main" id="{F366DC8C-B773-44A2-ADF7-B7DE4A6BF56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50" name="CuadroTexto 49">
              <a:extLst>
                <a:ext uri="{FF2B5EF4-FFF2-40B4-BE49-F238E27FC236}">
                  <a16:creationId xmlns:a16="http://schemas.microsoft.com/office/drawing/2014/main" id="{00000000-0008-0000-0200-000032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50" name="CuadroTexto 49">
              <a:extLst>
                <a:ext uri="{FF2B5EF4-FFF2-40B4-BE49-F238E27FC236}">
                  <a16:creationId xmlns:a16="http://schemas.microsoft.com/office/drawing/2014/main" id="{87C11473-2BC8-41ED-B35D-CD8E1FD22DEF}"/>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twoCellAnchor>
    <xdr:from>
      <xdr:col>7</xdr:col>
      <xdr:colOff>889000</xdr:colOff>
      <xdr:row>62</xdr:row>
      <xdr:rowOff>190500</xdr:rowOff>
    </xdr:from>
    <xdr:to>
      <xdr:col>12</xdr:col>
      <xdr:colOff>23812</xdr:colOff>
      <xdr:row>64</xdr:row>
      <xdr:rowOff>460375</xdr:rowOff>
    </xdr:to>
    <xdr:graphicFrame macro="">
      <xdr:nvGraphicFramePr>
        <xdr:cNvPr id="52" name="Gráfico 51">
          <a:extLst>
            <a:ext uri="{FF2B5EF4-FFF2-40B4-BE49-F238E27FC236}">
              <a16:creationId xmlns:a16="http://schemas.microsoft.com/office/drawing/2014/main" id="{00000000-0008-0000-0200-00003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238125</xdr:colOff>
      <xdr:row>0</xdr:row>
      <xdr:rowOff>83343</xdr:rowOff>
    </xdr:from>
    <xdr:to>
      <xdr:col>1</xdr:col>
      <xdr:colOff>578662</xdr:colOff>
      <xdr:row>0</xdr:row>
      <xdr:rowOff>699092</xdr:rowOff>
    </xdr:to>
    <xdr:pic>
      <xdr:nvPicPr>
        <xdr:cNvPr id="48" name="47 Imagen">
          <a:extLst>
            <a:ext uri="{FF2B5EF4-FFF2-40B4-BE49-F238E27FC236}">
              <a16:creationId xmlns:a16="http://schemas.microsoft.com/office/drawing/2014/main" id="{00000000-0008-0000-0200-000030000000}"/>
            </a:ext>
          </a:extLst>
        </xdr:cNvPr>
        <xdr:cNvPicPr>
          <a:picLocks noChangeAspect="1"/>
        </xdr:cNvPicPr>
      </xdr:nvPicPr>
      <xdr:blipFill>
        <a:blip xmlns:r="http://schemas.openxmlformats.org/officeDocument/2006/relationships" r:embed="rId2"/>
        <a:stretch>
          <a:fillRect/>
        </a:stretch>
      </xdr:blipFill>
      <xdr:spPr>
        <a:xfrm>
          <a:off x="238125" y="83343"/>
          <a:ext cx="1316850" cy="615749"/>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oneCellAnchor>
    <xdr:from>
      <xdr:col>1</xdr:col>
      <xdr:colOff>285935</xdr:colOff>
      <xdr:row>42</xdr:row>
      <xdr:rowOff>169517</xdr:rowOff>
    </xdr:from>
    <xdr:ext cx="177356" cy="176202"/>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00000000-0008-0000-1D00-000003000000}"/>
                </a:ext>
              </a:extLst>
            </xdr:cNvPr>
            <xdr:cNvSpPr txBox="1"/>
          </xdr:nvSpPr>
          <xdr:spPr>
            <a:xfrm>
              <a:off x="1124135" y="14980892"/>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bg1"/>
                            </a:solidFill>
                            <a:latin typeface="Cambria Math" panose="02040503050406030204" pitchFamily="18" charset="0"/>
                          </a:rPr>
                        </m:ctrlPr>
                      </m:accPr>
                      <m:e>
                        <m:r>
                          <a:rPr lang="es-CO" sz="1100" b="1" i="1">
                            <a:solidFill>
                              <a:schemeClr val="bg1"/>
                            </a:solidFill>
                            <a:latin typeface="Cambria Math" panose="02040503050406030204" pitchFamily="18" charset="0"/>
                            <a:ea typeface="Cambria Math" panose="02040503050406030204" pitchFamily="18" charset="0"/>
                          </a:rPr>
                          <m:t>∆</m:t>
                        </m:r>
                        <m:r>
                          <a:rPr lang="es-CO" sz="1100" b="1" i="1">
                            <a:solidFill>
                              <a:schemeClr val="bg1"/>
                            </a:solidFill>
                            <a:latin typeface="Cambria Math" panose="02040503050406030204" pitchFamily="18" charset="0"/>
                            <a:ea typeface="Cambria Math" panose="02040503050406030204" pitchFamily="18" charset="0"/>
                          </a:rPr>
                          <m:t>𝑰</m:t>
                        </m:r>
                      </m:e>
                    </m:acc>
                  </m:oMath>
                </m:oMathPara>
              </a14:m>
              <a:endParaRPr lang="es-CO" sz="1100" b="1">
                <a:solidFill>
                  <a:schemeClr val="bg1"/>
                </a:solidFill>
              </a:endParaRPr>
            </a:p>
          </xdr:txBody>
        </xdr:sp>
      </mc:Choice>
      <mc:Fallback xmlns="">
        <xdr:sp macro="" textlink="">
          <xdr:nvSpPr>
            <xdr:cNvPr id="3" name="CuadroTexto 2">
              <a:extLst>
                <a:ext uri="{FF2B5EF4-FFF2-40B4-BE49-F238E27FC236}">
                  <a16:creationId xmlns:a16="http://schemas.microsoft.com/office/drawing/2014/main" xmlns="" xmlns:a14="http://schemas.microsoft.com/office/drawing/2010/main" id="{00000000-0008-0000-1000-000003000000}"/>
                </a:ext>
              </a:extLst>
            </xdr:cNvPr>
            <xdr:cNvSpPr txBox="1"/>
          </xdr:nvSpPr>
          <xdr:spPr>
            <a:xfrm>
              <a:off x="1124135" y="14980892"/>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bg1"/>
                  </a:solidFill>
                  <a:latin typeface="Cambria Math" panose="02040503050406030204" pitchFamily="18" charset="0"/>
                </a:rPr>
                <a:t>(</a:t>
              </a:r>
              <a:r>
                <a:rPr lang="es-CO" sz="1100" b="1" i="0">
                  <a:solidFill>
                    <a:schemeClr val="bg1"/>
                  </a:solidFill>
                  <a:latin typeface="Cambria Math" panose="02040503050406030204" pitchFamily="18" charset="0"/>
                  <a:ea typeface="Cambria Math" panose="02040503050406030204" pitchFamily="18" charset="0"/>
                </a:rPr>
                <a:t>∆𝑰) ̅</a:t>
              </a:r>
              <a:endParaRPr lang="es-CO" sz="1100" b="1">
                <a:solidFill>
                  <a:schemeClr val="bg1"/>
                </a:solidFill>
              </a:endParaRPr>
            </a:p>
          </xdr:txBody>
        </xdr:sp>
      </mc:Fallback>
    </mc:AlternateContent>
    <xdr:clientData/>
  </xdr:oneCellAnchor>
  <xdr:oneCellAnchor>
    <xdr:from>
      <xdr:col>1</xdr:col>
      <xdr:colOff>136732</xdr:colOff>
      <xdr:row>58</xdr:row>
      <xdr:rowOff>253032</xdr:rowOff>
    </xdr:from>
    <xdr:ext cx="599716" cy="172227"/>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id="{00000000-0008-0000-1D00-000004000000}"/>
                </a:ext>
              </a:extLst>
            </xdr:cNvPr>
            <xdr:cNvSpPr txBox="1"/>
          </xdr:nvSpPr>
          <xdr:spPr>
            <a:xfrm>
              <a:off x="974932" y="20779407"/>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𝒘</m:t>
                        </m:r>
                      </m:sub>
                    </m:sSub>
                    <m:r>
                      <a:rPr lang="es-CO" sz="1100" b="1" i="1">
                        <a:latin typeface="Cambria Math" panose="02040503050406030204" pitchFamily="18" charset="0"/>
                      </a:rPr>
                      <m:t>(</m:t>
                    </m:r>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4" name="CuadroTexto 3">
              <a:extLst>
                <a:ext uri="{FF2B5EF4-FFF2-40B4-BE49-F238E27FC236}">
                  <a16:creationId xmlns:a16="http://schemas.microsoft.com/office/drawing/2014/main" xmlns="" xmlns:a14="http://schemas.microsoft.com/office/drawing/2010/main" id="{00000000-0008-0000-1000-000004000000}"/>
                </a:ext>
              </a:extLst>
            </xdr:cNvPr>
            <xdr:cNvSpPr txBox="1"/>
          </xdr:nvSpPr>
          <xdr:spPr>
            <a:xfrm>
              <a:off x="974932" y="20779407"/>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𝒖_𝒘 (</a:t>
              </a: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1</xdr:col>
      <xdr:colOff>202651</xdr:colOff>
      <xdr:row>61</xdr:row>
      <xdr:rowOff>265287</xdr:rowOff>
    </xdr:from>
    <xdr:ext cx="483915" cy="172227"/>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id="{00000000-0008-0000-1D00-000005000000}"/>
                </a:ext>
              </a:extLst>
            </xdr:cNvPr>
            <xdr:cNvSpPr txBox="1"/>
          </xdr:nvSpPr>
          <xdr:spPr>
            <a:xfrm>
              <a:off x="1040851" y="2299193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5" name="CuadroTexto 4">
              <a:extLst>
                <a:ext uri="{FF2B5EF4-FFF2-40B4-BE49-F238E27FC236}">
                  <a16:creationId xmlns:a16="http://schemas.microsoft.com/office/drawing/2014/main" xmlns="" xmlns:a14="http://schemas.microsoft.com/office/drawing/2010/main" id="{00000000-0008-0000-1000-000005000000}"/>
                </a:ext>
              </a:extLst>
            </xdr:cNvPr>
            <xdr:cNvSpPr txBox="1"/>
          </xdr:nvSpPr>
          <xdr:spPr>
            <a:xfrm>
              <a:off x="1040851" y="2299193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𝒖(𝒎_𝒄𝒓)</a:t>
              </a:r>
              <a:endParaRPr lang="es-CO" sz="1100" b="1"/>
            </a:p>
          </xdr:txBody>
        </xdr:sp>
      </mc:Fallback>
    </mc:AlternateContent>
    <xdr:clientData/>
  </xdr:oneCellAnchor>
  <xdr:oneCellAnchor>
    <xdr:from>
      <xdr:col>1</xdr:col>
      <xdr:colOff>34166</xdr:colOff>
      <xdr:row>60</xdr:row>
      <xdr:rowOff>250203</xdr:rowOff>
    </xdr:from>
    <xdr:ext cx="689483" cy="172227"/>
    <mc:AlternateContent xmlns:mc="http://schemas.openxmlformats.org/markup-compatibility/2006" xmlns:a14="http://schemas.microsoft.com/office/drawing/2010/main">
      <mc:Choice Requires="a14">
        <xdr:sp macro="" textlink="">
          <xdr:nvSpPr>
            <xdr:cNvPr id="6" name="CuadroTexto 5">
              <a:extLst>
                <a:ext uri="{FF2B5EF4-FFF2-40B4-BE49-F238E27FC236}">
                  <a16:creationId xmlns:a16="http://schemas.microsoft.com/office/drawing/2014/main" id="{00000000-0008-0000-1D00-000006000000}"/>
                </a:ext>
              </a:extLst>
            </xdr:cNvPr>
            <xdr:cNvSpPr txBox="1"/>
          </xdr:nvSpPr>
          <xdr:spPr>
            <a:xfrm>
              <a:off x="872366" y="22243428"/>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𝒊𝒏𝒔𝒕</m:t>
                        </m:r>
                      </m:sub>
                    </m:sSub>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0" i="1">
                        <a:latin typeface="Cambria Math" panose="02040503050406030204" pitchFamily="18" charset="0"/>
                      </a:rPr>
                      <m:t>)</m:t>
                    </m:r>
                  </m:oMath>
                </m:oMathPara>
              </a14:m>
              <a:endParaRPr lang="es-CO" sz="1100"/>
            </a:p>
          </xdr:txBody>
        </xdr:sp>
      </mc:Choice>
      <mc:Fallback xmlns="">
        <xdr:sp macro="" textlink="">
          <xdr:nvSpPr>
            <xdr:cNvPr id="6" name="CuadroTexto 5">
              <a:extLst>
                <a:ext uri="{FF2B5EF4-FFF2-40B4-BE49-F238E27FC236}">
                  <a16:creationId xmlns:a16="http://schemas.microsoft.com/office/drawing/2014/main" xmlns="" xmlns:a14="http://schemas.microsoft.com/office/drawing/2010/main" id="{00000000-0008-0000-1000-000006000000}"/>
                </a:ext>
              </a:extLst>
            </xdr:cNvPr>
            <xdr:cNvSpPr txBox="1"/>
          </xdr:nvSpPr>
          <xdr:spPr>
            <a:xfrm>
              <a:off x="872366" y="22243428"/>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𝒖_𝒊𝒏𝒔𝒕 (𝒎_𝒄𝒓</a:t>
              </a:r>
              <a:r>
                <a:rPr lang="es-CO" sz="1100" b="0" i="0">
                  <a:latin typeface="Cambria Math" panose="02040503050406030204" pitchFamily="18" charset="0"/>
                </a:rPr>
                <a:t>)</a:t>
              </a:r>
              <a:endParaRPr lang="es-CO" sz="1100"/>
            </a:p>
          </xdr:txBody>
        </xdr:sp>
      </mc:Fallback>
    </mc:AlternateContent>
    <xdr:clientData/>
  </xdr:oneCellAnchor>
  <xdr:oneCellAnchor>
    <xdr:from>
      <xdr:col>1</xdr:col>
      <xdr:colOff>183870</xdr:colOff>
      <xdr:row>62</xdr:row>
      <xdr:rowOff>264645</xdr:rowOff>
    </xdr:from>
    <xdr:ext cx="397353" cy="172227"/>
    <mc:AlternateContent xmlns:mc="http://schemas.openxmlformats.org/markup-compatibility/2006" xmlns:a14="http://schemas.microsoft.com/office/drawing/2010/main">
      <mc:Choice Requires="a14">
        <xdr:sp macro="" textlink="">
          <xdr:nvSpPr>
            <xdr:cNvPr id="7" name="CuadroTexto 6">
              <a:extLst>
                <a:ext uri="{FF2B5EF4-FFF2-40B4-BE49-F238E27FC236}">
                  <a16:creationId xmlns:a16="http://schemas.microsoft.com/office/drawing/2014/main" id="{00000000-0008-0000-1D00-000007000000}"/>
                </a:ext>
              </a:extLst>
            </xdr:cNvPr>
            <xdr:cNvSpPr txBox="1"/>
          </xdr:nvSpPr>
          <xdr:spPr>
            <a:xfrm>
              <a:off x="1022070" y="23724720"/>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𝒂</m:t>
                        </m:r>
                      </m:sub>
                    </m:sSub>
                    <m:r>
                      <a:rPr lang="es-CO" sz="1100" b="1" i="1">
                        <a:latin typeface="Cambria Math" panose="02040503050406030204" pitchFamily="18" charset="0"/>
                      </a:rPr>
                      <m:t>)</m:t>
                    </m:r>
                  </m:oMath>
                </m:oMathPara>
              </a14:m>
              <a:endParaRPr lang="es-CO" sz="1100" b="1"/>
            </a:p>
          </xdr:txBody>
        </xdr:sp>
      </mc:Choice>
      <mc:Fallback xmlns="">
        <xdr:sp macro="" textlink="">
          <xdr:nvSpPr>
            <xdr:cNvPr id="7" name="CuadroTexto 6">
              <a:extLst>
                <a:ext uri="{FF2B5EF4-FFF2-40B4-BE49-F238E27FC236}">
                  <a16:creationId xmlns:a16="http://schemas.microsoft.com/office/drawing/2014/main" xmlns="" xmlns:a14="http://schemas.microsoft.com/office/drawing/2010/main" id="{00000000-0008-0000-1000-000007000000}"/>
                </a:ext>
              </a:extLst>
            </xdr:cNvPr>
            <xdr:cNvSpPr txBox="1"/>
          </xdr:nvSpPr>
          <xdr:spPr>
            <a:xfrm>
              <a:off x="1022070" y="23724720"/>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𝒂)</a:t>
              </a:r>
              <a:endParaRPr lang="es-CO" sz="1100" b="1"/>
            </a:p>
          </xdr:txBody>
        </xdr:sp>
      </mc:Fallback>
    </mc:AlternateContent>
    <xdr:clientData/>
  </xdr:oneCellAnchor>
  <xdr:oneCellAnchor>
    <xdr:from>
      <xdr:col>1</xdr:col>
      <xdr:colOff>186298</xdr:colOff>
      <xdr:row>63</xdr:row>
      <xdr:rowOff>266606</xdr:rowOff>
    </xdr:from>
    <xdr:ext cx="376642" cy="172227"/>
    <mc:AlternateContent xmlns:mc="http://schemas.openxmlformats.org/markup-compatibility/2006" xmlns:a14="http://schemas.microsoft.com/office/drawing/2010/main">
      <mc:Choice Requires="a14">
        <xdr:sp macro="" textlink="">
          <xdr:nvSpPr>
            <xdr:cNvPr id="8" name="CuadroTexto 7">
              <a:extLst>
                <a:ext uri="{FF2B5EF4-FFF2-40B4-BE49-F238E27FC236}">
                  <a16:creationId xmlns:a16="http://schemas.microsoft.com/office/drawing/2014/main" id="{00000000-0008-0000-1D00-000008000000}"/>
                </a:ext>
              </a:extLst>
            </xdr:cNvPr>
            <xdr:cNvSpPr txBox="1"/>
          </xdr:nvSpPr>
          <xdr:spPr>
            <a:xfrm>
              <a:off x="1024498" y="244601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𝒕</m:t>
                        </m:r>
                      </m:sub>
                    </m:sSub>
                    <m:r>
                      <a:rPr lang="es-CO" sz="1100" b="1" i="1">
                        <a:latin typeface="Cambria Math" panose="02040503050406030204" pitchFamily="18" charset="0"/>
                      </a:rPr>
                      <m:t>)</m:t>
                    </m:r>
                  </m:oMath>
                </m:oMathPara>
              </a14:m>
              <a:endParaRPr lang="es-CO" sz="1100" b="1"/>
            </a:p>
          </xdr:txBody>
        </xdr:sp>
      </mc:Choice>
      <mc:Fallback xmlns="">
        <xdr:sp macro="" textlink="">
          <xdr:nvSpPr>
            <xdr:cNvPr id="8" name="CuadroTexto 7">
              <a:extLst>
                <a:ext uri="{FF2B5EF4-FFF2-40B4-BE49-F238E27FC236}">
                  <a16:creationId xmlns:a16="http://schemas.microsoft.com/office/drawing/2014/main" xmlns="" xmlns:a14="http://schemas.microsoft.com/office/drawing/2010/main" id="{00000000-0008-0000-1000-000008000000}"/>
                </a:ext>
              </a:extLst>
            </xdr:cNvPr>
            <xdr:cNvSpPr txBox="1"/>
          </xdr:nvSpPr>
          <xdr:spPr>
            <a:xfrm>
              <a:off x="1024498" y="244601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𝒕)</a:t>
              </a:r>
              <a:endParaRPr lang="es-CO" sz="1100" b="1"/>
            </a:p>
          </xdr:txBody>
        </xdr:sp>
      </mc:Fallback>
    </mc:AlternateContent>
    <xdr:clientData/>
  </xdr:oneCellAnchor>
  <xdr:oneCellAnchor>
    <xdr:from>
      <xdr:col>1</xdr:col>
      <xdr:colOff>186298</xdr:colOff>
      <xdr:row>64</xdr:row>
      <xdr:rowOff>222250</xdr:rowOff>
    </xdr:from>
    <xdr:ext cx="388696" cy="172227"/>
    <mc:AlternateContent xmlns:mc="http://schemas.openxmlformats.org/markup-compatibility/2006" xmlns:a14="http://schemas.microsoft.com/office/drawing/2010/main">
      <mc:Choice Requires="a14">
        <xdr:sp macro="" textlink="">
          <xdr:nvSpPr>
            <xdr:cNvPr id="9" name="CuadroTexto 8">
              <a:extLst>
                <a:ext uri="{FF2B5EF4-FFF2-40B4-BE49-F238E27FC236}">
                  <a16:creationId xmlns:a16="http://schemas.microsoft.com/office/drawing/2014/main" id="{00000000-0008-0000-1D00-000009000000}"/>
                </a:ext>
              </a:extLst>
            </xdr:cNvPr>
            <xdr:cNvSpPr txBox="1"/>
          </xdr:nvSpPr>
          <xdr:spPr>
            <a:xfrm>
              <a:off x="1024498" y="25149175"/>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9" name="CuadroTexto 8">
              <a:extLst>
                <a:ext uri="{FF2B5EF4-FFF2-40B4-BE49-F238E27FC236}">
                  <a16:creationId xmlns:a16="http://schemas.microsoft.com/office/drawing/2014/main" xmlns="" xmlns:a14="http://schemas.microsoft.com/office/drawing/2010/main" id="{00000000-0008-0000-1000-000009000000}"/>
                </a:ext>
              </a:extLst>
            </xdr:cNvPr>
            <xdr:cNvSpPr txBox="1"/>
          </xdr:nvSpPr>
          <xdr:spPr>
            <a:xfrm>
              <a:off x="1024498" y="25149175"/>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𝒓)</a:t>
              </a:r>
              <a:endParaRPr lang="es-CO" sz="1100" b="1"/>
            </a:p>
          </xdr:txBody>
        </xdr:sp>
      </mc:Fallback>
    </mc:AlternateContent>
    <xdr:clientData/>
  </xdr:oneCellAnchor>
  <xdr:oneCellAnchor>
    <xdr:from>
      <xdr:col>1</xdr:col>
      <xdr:colOff>265579</xdr:colOff>
      <xdr:row>65</xdr:row>
      <xdr:rowOff>288458</xdr:rowOff>
    </xdr:from>
    <xdr:ext cx="191271" cy="172227"/>
    <mc:AlternateContent xmlns:mc="http://schemas.openxmlformats.org/markup-compatibility/2006" xmlns:a14="http://schemas.microsoft.com/office/drawing/2010/main">
      <mc:Choice Requires="a14">
        <xdr:sp macro="" textlink="">
          <xdr:nvSpPr>
            <xdr:cNvPr id="10" name="CuadroTexto 9">
              <a:extLst>
                <a:ext uri="{FF2B5EF4-FFF2-40B4-BE49-F238E27FC236}">
                  <a16:creationId xmlns:a16="http://schemas.microsoft.com/office/drawing/2014/main" id="{00000000-0008-0000-1D00-00000A000000}"/>
                </a:ext>
              </a:extLst>
            </xdr:cNvPr>
            <xdr:cNvSpPr txBox="1"/>
          </xdr:nvSpPr>
          <xdr:spPr>
            <a:xfrm>
              <a:off x="1103779" y="2594880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𝒃</m:t>
                        </m:r>
                      </m:sub>
                    </m:sSub>
                  </m:oMath>
                </m:oMathPara>
              </a14:m>
              <a:endParaRPr lang="es-CO" sz="1100" b="1"/>
            </a:p>
          </xdr:txBody>
        </xdr:sp>
      </mc:Choice>
      <mc:Fallback xmlns="">
        <xdr:sp macro="" textlink="">
          <xdr:nvSpPr>
            <xdr:cNvPr id="10" name="CuadroTexto 9">
              <a:extLst>
                <a:ext uri="{FF2B5EF4-FFF2-40B4-BE49-F238E27FC236}">
                  <a16:creationId xmlns:a16="http://schemas.microsoft.com/office/drawing/2014/main" xmlns="" xmlns:a14="http://schemas.microsoft.com/office/drawing/2010/main" id="{00000000-0008-0000-1000-00000A000000}"/>
                </a:ext>
              </a:extLst>
            </xdr:cNvPr>
            <xdr:cNvSpPr txBox="1"/>
          </xdr:nvSpPr>
          <xdr:spPr>
            <a:xfrm>
              <a:off x="1103779" y="2594880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𝒖_𝒃</a:t>
              </a:r>
              <a:endParaRPr lang="es-CO" sz="1100" b="1"/>
            </a:p>
          </xdr:txBody>
        </xdr:sp>
      </mc:Fallback>
    </mc:AlternateContent>
    <xdr:clientData/>
  </xdr:oneCellAnchor>
  <xdr:oneCellAnchor>
    <xdr:from>
      <xdr:col>1</xdr:col>
      <xdr:colOff>261391</xdr:colOff>
      <xdr:row>66</xdr:row>
      <xdr:rowOff>294234</xdr:rowOff>
    </xdr:from>
    <xdr:ext cx="195053" cy="172227"/>
    <mc:AlternateContent xmlns:mc="http://schemas.openxmlformats.org/markup-compatibility/2006" xmlns:a14="http://schemas.microsoft.com/office/drawing/2010/main">
      <mc:Choice Requires="a14">
        <xdr:sp macro="" textlink="">
          <xdr:nvSpPr>
            <xdr:cNvPr id="11" name="CuadroTexto 10">
              <a:extLst>
                <a:ext uri="{FF2B5EF4-FFF2-40B4-BE49-F238E27FC236}">
                  <a16:creationId xmlns:a16="http://schemas.microsoft.com/office/drawing/2014/main" id="{00000000-0008-0000-1D00-00000B000000}"/>
                </a:ext>
              </a:extLst>
            </xdr:cNvPr>
            <xdr:cNvSpPr txBox="1"/>
          </xdr:nvSpPr>
          <xdr:spPr>
            <a:xfrm>
              <a:off x="1099591" y="26688009"/>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𝒅</m:t>
                        </m:r>
                      </m:sub>
                    </m:sSub>
                  </m:oMath>
                </m:oMathPara>
              </a14:m>
              <a:endParaRPr lang="es-CO" sz="1100" b="1"/>
            </a:p>
          </xdr:txBody>
        </xdr:sp>
      </mc:Choice>
      <mc:Fallback xmlns="">
        <xdr:sp macro="" textlink="">
          <xdr:nvSpPr>
            <xdr:cNvPr id="11" name="CuadroTexto 10">
              <a:extLst>
                <a:ext uri="{FF2B5EF4-FFF2-40B4-BE49-F238E27FC236}">
                  <a16:creationId xmlns:a16="http://schemas.microsoft.com/office/drawing/2014/main" xmlns="" xmlns:a14="http://schemas.microsoft.com/office/drawing/2010/main" id="{00000000-0008-0000-1000-00000B000000}"/>
                </a:ext>
              </a:extLst>
            </xdr:cNvPr>
            <xdr:cNvSpPr txBox="1"/>
          </xdr:nvSpPr>
          <xdr:spPr>
            <a:xfrm>
              <a:off x="1099591" y="26688009"/>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𝒖_𝒅</a:t>
              </a:r>
              <a:endParaRPr lang="es-CO" sz="1100" b="1"/>
            </a:p>
          </xdr:txBody>
        </xdr:sp>
      </mc:Fallback>
    </mc:AlternateContent>
    <xdr:clientData/>
  </xdr:oneCellAnchor>
  <xdr:oneCellAnchor>
    <xdr:from>
      <xdr:col>5</xdr:col>
      <xdr:colOff>401508</xdr:colOff>
      <xdr:row>69</xdr:row>
      <xdr:rowOff>153994</xdr:rowOff>
    </xdr:from>
    <xdr:ext cx="529697" cy="172227"/>
    <mc:AlternateContent xmlns:mc="http://schemas.openxmlformats.org/markup-compatibility/2006" xmlns:a14="http://schemas.microsoft.com/office/drawing/2010/main">
      <mc:Choice Requires="a14">
        <xdr:sp macro="" textlink="">
          <xdr:nvSpPr>
            <xdr:cNvPr id="12" name="CuadroTexto 11">
              <a:extLst>
                <a:ext uri="{FF2B5EF4-FFF2-40B4-BE49-F238E27FC236}">
                  <a16:creationId xmlns:a16="http://schemas.microsoft.com/office/drawing/2014/main" id="{00000000-0008-0000-1D00-00000C000000}"/>
                </a:ext>
              </a:extLst>
            </xdr:cNvPr>
            <xdr:cNvSpPr txBox="1"/>
          </xdr:nvSpPr>
          <xdr:spPr>
            <a:xfrm>
              <a:off x="5648196" y="28649619"/>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𝒄</m:t>
                        </m:r>
                      </m:sub>
                    </m:sSub>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12" name="CuadroTexto 11">
              <a:extLst>
                <a:ext uri="{FF2B5EF4-FFF2-40B4-BE49-F238E27FC236}">
                  <a16:creationId xmlns:a16="http://schemas.microsoft.com/office/drawing/2014/main" id="{00000000-0008-0000-0D00-00000C000000}"/>
                </a:ext>
              </a:extLst>
            </xdr:cNvPr>
            <xdr:cNvSpPr txBox="1"/>
          </xdr:nvSpPr>
          <xdr:spPr>
            <a:xfrm>
              <a:off x="5648196" y="28649619"/>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𝒖_𝒄 (</a:t>
              </a:r>
              <a:r>
                <a:rPr lang="es-CO" sz="1100" b="1" i="0">
                  <a:latin typeface="Cambria Math" panose="02040503050406030204" pitchFamily="18" charset="0"/>
                  <a:ea typeface="Cambria Math" panose="02040503050406030204" pitchFamily="18" charset="0"/>
                </a:rPr>
                <a:t>𝒎_𝒄𝒕)</a:t>
              </a:r>
              <a:endParaRPr lang="es-CO" sz="1100" b="1"/>
            </a:p>
          </xdr:txBody>
        </xdr:sp>
      </mc:Fallback>
    </mc:AlternateContent>
    <xdr:clientData/>
  </xdr:oneCellAnchor>
  <xdr:oneCellAnchor>
    <xdr:from>
      <xdr:col>5</xdr:col>
      <xdr:colOff>243965</xdr:colOff>
      <xdr:row>70</xdr:row>
      <xdr:rowOff>130277</xdr:rowOff>
    </xdr:from>
    <xdr:ext cx="780598" cy="172227"/>
    <mc:AlternateContent xmlns:mc="http://schemas.openxmlformats.org/markup-compatibility/2006" xmlns:a14="http://schemas.microsoft.com/office/drawing/2010/main">
      <mc:Choice Requires="a14">
        <xdr:sp macro="" textlink="">
          <xdr:nvSpPr>
            <xdr:cNvPr id="13" name="CuadroTexto 12">
              <a:extLst>
                <a:ext uri="{FF2B5EF4-FFF2-40B4-BE49-F238E27FC236}">
                  <a16:creationId xmlns:a16="http://schemas.microsoft.com/office/drawing/2014/main" id="{00000000-0008-0000-1D00-00000D000000}"/>
                </a:ext>
              </a:extLst>
            </xdr:cNvPr>
            <xdr:cNvSpPr txBox="1"/>
          </xdr:nvSpPr>
          <xdr:spPr>
            <a:xfrm>
              <a:off x="5101715" y="2874337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100" b="1" i="1">
                      <a:latin typeface="Cambria Math" panose="02040503050406030204" pitchFamily="18" charset="0"/>
                    </a:rPr>
                    <m:t>𝑼</m:t>
                  </m:r>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a14:m>
              <a:r>
                <a:rPr lang="es-CO" sz="1100" b="1"/>
                <a:t> (k=2)</a:t>
              </a:r>
            </a:p>
          </xdr:txBody>
        </xdr:sp>
      </mc:Choice>
      <mc:Fallback xmlns="">
        <xdr:sp macro="" textlink="">
          <xdr:nvSpPr>
            <xdr:cNvPr id="13" name="CuadroTexto 12">
              <a:extLst>
                <a:ext uri="{FF2B5EF4-FFF2-40B4-BE49-F238E27FC236}">
                  <a16:creationId xmlns:a16="http://schemas.microsoft.com/office/drawing/2014/main" id="{00000000-0008-0000-0D00-00000D000000}"/>
                </a:ext>
              </a:extLst>
            </xdr:cNvPr>
            <xdr:cNvSpPr txBox="1"/>
          </xdr:nvSpPr>
          <xdr:spPr>
            <a:xfrm>
              <a:off x="5101715" y="2874337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100" b="1" i="0">
                  <a:latin typeface="Cambria Math" panose="02040503050406030204" pitchFamily="18" charset="0"/>
                </a:rPr>
                <a:t>𝑼(</a:t>
              </a:r>
              <a:r>
                <a:rPr lang="es-CO" sz="1100" b="1" i="0">
                  <a:latin typeface="Cambria Math" panose="02040503050406030204" pitchFamily="18" charset="0"/>
                  <a:ea typeface="Cambria Math" panose="02040503050406030204" pitchFamily="18" charset="0"/>
                </a:rPr>
                <a:t>𝒎_𝒄𝒕)</a:t>
              </a:r>
              <a:r>
                <a:rPr lang="es-CO" sz="1100" b="1"/>
                <a:t> (k=2)</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14" name="CuadroTexto 13">
              <a:extLst>
                <a:ext uri="{FF2B5EF4-FFF2-40B4-BE49-F238E27FC236}">
                  <a16:creationId xmlns:a16="http://schemas.microsoft.com/office/drawing/2014/main" id="{00000000-0008-0000-1D00-00000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14" name="CuadroTexto 13">
              <a:extLst>
                <a:ext uri="{FF2B5EF4-FFF2-40B4-BE49-F238E27FC236}">
                  <a16:creationId xmlns:a16="http://schemas.microsoft.com/office/drawing/2014/main" xmlns="" xmlns:a14="http://schemas.microsoft.com/office/drawing/2010/main" id="{00000000-0008-0000-1000-00000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8</xdr:col>
      <xdr:colOff>541269</xdr:colOff>
      <xdr:row>52</xdr:row>
      <xdr:rowOff>78683</xdr:rowOff>
    </xdr:from>
    <xdr:ext cx="304571" cy="172227"/>
    <mc:AlternateContent xmlns:mc="http://schemas.openxmlformats.org/markup-compatibility/2006" xmlns:a14="http://schemas.microsoft.com/office/drawing/2010/main">
      <mc:Choice Requires="a14">
        <xdr:sp macro="" textlink="">
          <xdr:nvSpPr>
            <xdr:cNvPr id="15" name="CuadroTexto 14">
              <a:extLst>
                <a:ext uri="{FF2B5EF4-FFF2-40B4-BE49-F238E27FC236}">
                  <a16:creationId xmlns:a16="http://schemas.microsoft.com/office/drawing/2014/main" id="{00000000-0008-0000-1D00-00000F000000}"/>
                </a:ext>
              </a:extLst>
            </xdr:cNvPr>
            <xdr:cNvSpPr txBox="1"/>
          </xdr:nvSpPr>
          <xdr:spPr>
            <a:xfrm>
              <a:off x="9313794" y="18623858"/>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oMath>
                </m:oMathPara>
              </a14:m>
              <a:endParaRPr lang="es-CO" sz="1100" b="1"/>
            </a:p>
          </xdr:txBody>
        </xdr:sp>
      </mc:Choice>
      <mc:Fallback xmlns="">
        <xdr:sp macro="" textlink="">
          <xdr:nvSpPr>
            <xdr:cNvPr id="15" name="CuadroTexto 14">
              <a:extLst>
                <a:ext uri="{FF2B5EF4-FFF2-40B4-BE49-F238E27FC236}">
                  <a16:creationId xmlns:a16="http://schemas.microsoft.com/office/drawing/2014/main" xmlns="" xmlns:a14="http://schemas.microsoft.com/office/drawing/2010/main" id="{00000000-0008-0000-1000-00000F000000}"/>
                </a:ext>
              </a:extLst>
            </xdr:cNvPr>
            <xdr:cNvSpPr txBox="1"/>
          </xdr:nvSpPr>
          <xdr:spPr>
            <a:xfrm>
              <a:off x="9313794" y="18623858"/>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4</xdr:col>
      <xdr:colOff>155713</xdr:colOff>
      <xdr:row>39</xdr:row>
      <xdr:rowOff>106017</xdr:rowOff>
    </xdr:from>
    <xdr:ext cx="65" cy="172227"/>
    <xdr:sp macro="" textlink="">
      <xdr:nvSpPr>
        <xdr:cNvPr id="16" name="CuadroTexto 15">
          <a:extLst>
            <a:ext uri="{FF2B5EF4-FFF2-40B4-BE49-F238E27FC236}">
              <a16:creationId xmlns:a16="http://schemas.microsoft.com/office/drawing/2014/main" id="{00000000-0008-0000-1D00-000010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17" name="CuadroTexto 16">
              <a:extLst>
                <a:ext uri="{FF2B5EF4-FFF2-40B4-BE49-F238E27FC236}">
                  <a16:creationId xmlns:a16="http://schemas.microsoft.com/office/drawing/2014/main" id="{00000000-0008-0000-1D00-000011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7" name="CuadroTexto 16">
              <a:extLst>
                <a:ext uri="{FF2B5EF4-FFF2-40B4-BE49-F238E27FC236}">
                  <a16:creationId xmlns:a16="http://schemas.microsoft.com/office/drawing/2014/main" xmlns="" xmlns:a14="http://schemas.microsoft.com/office/drawing/2010/main" id="{00000000-0008-0000-1000-000011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18" name="CuadroTexto 17">
              <a:extLst>
                <a:ext uri="{FF2B5EF4-FFF2-40B4-BE49-F238E27FC236}">
                  <a16:creationId xmlns:a16="http://schemas.microsoft.com/office/drawing/2014/main" id="{00000000-0008-0000-1D00-000012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18" name="CuadroTexto 17">
              <a:extLst>
                <a:ext uri="{FF2B5EF4-FFF2-40B4-BE49-F238E27FC236}">
                  <a16:creationId xmlns:a16="http://schemas.microsoft.com/office/drawing/2014/main" xmlns="" xmlns:a14="http://schemas.microsoft.com/office/drawing/2010/main" id="{00000000-0008-0000-1000-000012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19" name="CuadroTexto 18">
              <a:extLst>
                <a:ext uri="{FF2B5EF4-FFF2-40B4-BE49-F238E27FC236}">
                  <a16:creationId xmlns:a16="http://schemas.microsoft.com/office/drawing/2014/main" id="{00000000-0008-0000-1D00-000013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9" name="CuadroTexto 18">
              <a:extLst>
                <a:ext uri="{FF2B5EF4-FFF2-40B4-BE49-F238E27FC236}">
                  <a16:creationId xmlns:a16="http://schemas.microsoft.com/office/drawing/2014/main" xmlns="" xmlns:a14="http://schemas.microsoft.com/office/drawing/2010/main" id="{00000000-0008-0000-1000-000013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0" name="CuadroTexto 19">
              <a:extLst>
                <a:ext uri="{FF2B5EF4-FFF2-40B4-BE49-F238E27FC236}">
                  <a16:creationId xmlns:a16="http://schemas.microsoft.com/office/drawing/2014/main" id="{00000000-0008-0000-1D00-000014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0" name="CuadroTexto 19">
              <a:extLst>
                <a:ext uri="{FF2B5EF4-FFF2-40B4-BE49-F238E27FC236}">
                  <a16:creationId xmlns:a16="http://schemas.microsoft.com/office/drawing/2014/main" xmlns="" xmlns:a14="http://schemas.microsoft.com/office/drawing/2010/main" id="{00000000-0008-0000-1000-000014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1" name="CuadroTexto 20">
          <a:extLst>
            <a:ext uri="{FF2B5EF4-FFF2-40B4-BE49-F238E27FC236}">
              <a16:creationId xmlns:a16="http://schemas.microsoft.com/office/drawing/2014/main" id="{00000000-0008-0000-1D00-000015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3</xdr:col>
      <xdr:colOff>236456</xdr:colOff>
      <xdr:row>73</xdr:row>
      <xdr:rowOff>141002</xdr:rowOff>
    </xdr:from>
    <xdr:ext cx="730521" cy="219163"/>
    <mc:AlternateContent xmlns:mc="http://schemas.openxmlformats.org/markup-compatibility/2006" xmlns:a14="http://schemas.microsoft.com/office/drawing/2010/main">
      <mc:Choice Requires="a14">
        <xdr:sp macro="" textlink="">
          <xdr:nvSpPr>
            <xdr:cNvPr id="22" name="CuadroTexto 21">
              <a:extLst>
                <a:ext uri="{FF2B5EF4-FFF2-40B4-BE49-F238E27FC236}">
                  <a16:creationId xmlns:a16="http://schemas.microsoft.com/office/drawing/2014/main" id="{00000000-0008-0000-1D00-000016000000}"/>
                </a:ext>
              </a:extLst>
            </xdr:cNvPr>
            <xdr:cNvSpPr txBox="1"/>
          </xdr:nvSpPr>
          <xdr:spPr>
            <a:xfrm>
              <a:off x="2922506" y="30059027"/>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m:t>
                  </m:r>
                  <m:sSub>
                    <m:sSubPr>
                      <m:ctrlPr>
                        <a:rPr lang="es-CO" sz="1400" b="1" i="1">
                          <a:latin typeface="Cambria Math" panose="02040503050406030204" pitchFamily="18" charset="0"/>
                          <a:ea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𝒎</m:t>
                      </m:r>
                    </m:e>
                    <m:sub>
                      <m:r>
                        <a:rPr lang="es-CO" sz="1400" b="1" i="1">
                          <a:latin typeface="Cambria Math" panose="02040503050406030204" pitchFamily="18" charset="0"/>
                          <a:ea typeface="Cambria Math" panose="02040503050406030204" pitchFamily="18" charset="0"/>
                        </a:rPr>
                        <m:t>𝒄</m:t>
                      </m:r>
                    </m:sub>
                  </m:sSub>
                </m:oMath>
              </a14:m>
              <a:r>
                <a:rPr lang="es-CO" sz="1400" b="1" i="1"/>
                <a:t> (mg</a:t>
              </a:r>
              <a:r>
                <a:rPr lang="es-CO" sz="1200" b="1" i="0"/>
                <a:t>)</a:t>
              </a:r>
            </a:p>
          </xdr:txBody>
        </xdr:sp>
      </mc:Choice>
      <mc:Fallback xmlns="">
        <xdr:sp macro="" textlink="">
          <xdr:nvSpPr>
            <xdr:cNvPr id="22" name="CuadroTexto 21">
              <a:extLst>
                <a:ext uri="{FF2B5EF4-FFF2-40B4-BE49-F238E27FC236}">
                  <a16:creationId xmlns:a16="http://schemas.microsoft.com/office/drawing/2014/main" id="{00000000-0008-0000-0D00-000016000000}"/>
                </a:ext>
              </a:extLst>
            </xdr:cNvPr>
            <xdr:cNvSpPr txBox="1"/>
          </xdr:nvSpPr>
          <xdr:spPr>
            <a:xfrm>
              <a:off x="2922506" y="30059027"/>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400" b="1" i="0">
                  <a:latin typeface="Cambria Math" panose="02040503050406030204" pitchFamily="18" charset="0"/>
                  <a:ea typeface="Cambria Math" panose="02040503050406030204" pitchFamily="18" charset="0"/>
                </a:rPr>
                <a:t>∆𝒎_𝒄</a:t>
              </a:r>
              <a:r>
                <a:rPr lang="es-CO" sz="1400" b="1" i="1"/>
                <a:t> (mg</a:t>
              </a:r>
              <a:r>
                <a:rPr lang="es-CO" sz="1200" b="1" i="0"/>
                <a:t>)</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23" name="CuadroTexto 22">
              <a:extLst>
                <a:ext uri="{FF2B5EF4-FFF2-40B4-BE49-F238E27FC236}">
                  <a16:creationId xmlns:a16="http://schemas.microsoft.com/office/drawing/2014/main" id="{00000000-0008-0000-1D00-000017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23" name="CuadroTexto 22">
              <a:extLst>
                <a:ext uri="{FF2B5EF4-FFF2-40B4-BE49-F238E27FC236}">
                  <a16:creationId xmlns:a16="http://schemas.microsoft.com/office/drawing/2014/main" xmlns="" xmlns:a14="http://schemas.microsoft.com/office/drawing/2010/main" id="{00000000-0008-0000-1000-000023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24" name="CuadroTexto 23">
          <a:extLst>
            <a:ext uri="{FF2B5EF4-FFF2-40B4-BE49-F238E27FC236}">
              <a16:creationId xmlns:a16="http://schemas.microsoft.com/office/drawing/2014/main" id="{00000000-0008-0000-1D00-000018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25" name="CuadroTexto 24">
              <a:extLst>
                <a:ext uri="{FF2B5EF4-FFF2-40B4-BE49-F238E27FC236}">
                  <a16:creationId xmlns:a16="http://schemas.microsoft.com/office/drawing/2014/main" id="{00000000-0008-0000-1D00-000019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5" name="CuadroTexto 24">
              <a:extLst>
                <a:ext uri="{FF2B5EF4-FFF2-40B4-BE49-F238E27FC236}">
                  <a16:creationId xmlns:a16="http://schemas.microsoft.com/office/drawing/2014/main" xmlns="" xmlns:a14="http://schemas.microsoft.com/office/drawing/2010/main" id="{00000000-0008-0000-1000-000026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26" name="CuadroTexto 25">
              <a:extLst>
                <a:ext uri="{FF2B5EF4-FFF2-40B4-BE49-F238E27FC236}">
                  <a16:creationId xmlns:a16="http://schemas.microsoft.com/office/drawing/2014/main" id="{00000000-0008-0000-1D00-00001A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6" name="CuadroTexto 25">
              <a:extLst>
                <a:ext uri="{FF2B5EF4-FFF2-40B4-BE49-F238E27FC236}">
                  <a16:creationId xmlns:a16="http://schemas.microsoft.com/office/drawing/2014/main" xmlns="" xmlns:a14="http://schemas.microsoft.com/office/drawing/2010/main" id="{00000000-0008-0000-1000-000027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27" name="CuadroTexto 26">
              <a:extLst>
                <a:ext uri="{FF2B5EF4-FFF2-40B4-BE49-F238E27FC236}">
                  <a16:creationId xmlns:a16="http://schemas.microsoft.com/office/drawing/2014/main" id="{00000000-0008-0000-1D00-00001B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7" name="CuadroTexto 26">
              <a:extLst>
                <a:ext uri="{FF2B5EF4-FFF2-40B4-BE49-F238E27FC236}">
                  <a16:creationId xmlns:a16="http://schemas.microsoft.com/office/drawing/2014/main" xmlns="" xmlns:a14="http://schemas.microsoft.com/office/drawing/2010/main" id="{00000000-0008-0000-1000-000028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8" name="CuadroTexto 27">
              <a:extLst>
                <a:ext uri="{FF2B5EF4-FFF2-40B4-BE49-F238E27FC236}">
                  <a16:creationId xmlns:a16="http://schemas.microsoft.com/office/drawing/2014/main" id="{00000000-0008-0000-1D00-00001C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8" name="CuadroTexto 27">
              <a:extLst>
                <a:ext uri="{FF2B5EF4-FFF2-40B4-BE49-F238E27FC236}">
                  <a16:creationId xmlns:a16="http://schemas.microsoft.com/office/drawing/2014/main" xmlns="" xmlns:a14="http://schemas.microsoft.com/office/drawing/2010/main" id="{00000000-0008-0000-1000-000029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9" name="CuadroTexto 28">
          <a:extLst>
            <a:ext uri="{FF2B5EF4-FFF2-40B4-BE49-F238E27FC236}">
              <a16:creationId xmlns:a16="http://schemas.microsoft.com/office/drawing/2014/main" id="{00000000-0008-0000-1D00-00001D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30" name="CuadroTexto 29">
              <a:extLst>
                <a:ext uri="{FF2B5EF4-FFF2-40B4-BE49-F238E27FC236}">
                  <a16:creationId xmlns:a16="http://schemas.microsoft.com/office/drawing/2014/main" id="{00000000-0008-0000-1D00-00001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30" name="CuadroTexto 29">
              <a:extLst>
                <a:ext uri="{FF2B5EF4-FFF2-40B4-BE49-F238E27FC236}">
                  <a16:creationId xmlns:a16="http://schemas.microsoft.com/office/drawing/2014/main" xmlns="" xmlns:a14="http://schemas.microsoft.com/office/drawing/2010/main" id="{00000000-0008-0000-1000-000038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31" name="CuadroTexto 30">
          <a:extLst>
            <a:ext uri="{FF2B5EF4-FFF2-40B4-BE49-F238E27FC236}">
              <a16:creationId xmlns:a16="http://schemas.microsoft.com/office/drawing/2014/main" id="{00000000-0008-0000-1D00-00001F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32" name="CuadroTexto 31">
              <a:extLst>
                <a:ext uri="{FF2B5EF4-FFF2-40B4-BE49-F238E27FC236}">
                  <a16:creationId xmlns:a16="http://schemas.microsoft.com/office/drawing/2014/main" id="{00000000-0008-0000-1D00-000020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2" name="CuadroTexto 31">
              <a:extLst>
                <a:ext uri="{FF2B5EF4-FFF2-40B4-BE49-F238E27FC236}">
                  <a16:creationId xmlns:a16="http://schemas.microsoft.com/office/drawing/2014/main" xmlns="" xmlns:a14="http://schemas.microsoft.com/office/drawing/2010/main" id="{00000000-0008-0000-1000-00003B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33" name="CuadroTexto 32">
              <a:extLst>
                <a:ext uri="{FF2B5EF4-FFF2-40B4-BE49-F238E27FC236}">
                  <a16:creationId xmlns:a16="http://schemas.microsoft.com/office/drawing/2014/main" id="{00000000-0008-0000-1D00-000021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3" name="CuadroTexto 32">
              <a:extLst>
                <a:ext uri="{FF2B5EF4-FFF2-40B4-BE49-F238E27FC236}">
                  <a16:creationId xmlns:a16="http://schemas.microsoft.com/office/drawing/2014/main" xmlns="" xmlns:a14="http://schemas.microsoft.com/office/drawing/2010/main" id="{00000000-0008-0000-1000-00003C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34" name="CuadroTexto 33">
              <a:extLst>
                <a:ext uri="{FF2B5EF4-FFF2-40B4-BE49-F238E27FC236}">
                  <a16:creationId xmlns:a16="http://schemas.microsoft.com/office/drawing/2014/main" id="{00000000-0008-0000-1D00-000022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4" name="CuadroTexto 33">
              <a:extLst>
                <a:ext uri="{FF2B5EF4-FFF2-40B4-BE49-F238E27FC236}">
                  <a16:creationId xmlns:a16="http://schemas.microsoft.com/office/drawing/2014/main" xmlns="" xmlns:a14="http://schemas.microsoft.com/office/drawing/2010/main" id="{00000000-0008-0000-1000-00003D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35" name="CuadroTexto 34">
              <a:extLst>
                <a:ext uri="{FF2B5EF4-FFF2-40B4-BE49-F238E27FC236}">
                  <a16:creationId xmlns:a16="http://schemas.microsoft.com/office/drawing/2014/main" id="{00000000-0008-0000-1D00-000023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5" name="CuadroTexto 34">
              <a:extLst>
                <a:ext uri="{FF2B5EF4-FFF2-40B4-BE49-F238E27FC236}">
                  <a16:creationId xmlns:a16="http://schemas.microsoft.com/office/drawing/2014/main" xmlns="" xmlns:a14="http://schemas.microsoft.com/office/drawing/2010/main" id="{00000000-0008-0000-1000-00003E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36" name="CuadroTexto 35">
          <a:extLst>
            <a:ext uri="{FF2B5EF4-FFF2-40B4-BE49-F238E27FC236}">
              <a16:creationId xmlns:a16="http://schemas.microsoft.com/office/drawing/2014/main" id="{00000000-0008-0000-1D00-000024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11</xdr:col>
      <xdr:colOff>628650</xdr:colOff>
      <xdr:row>61</xdr:row>
      <xdr:rowOff>0</xdr:rowOff>
    </xdr:from>
    <xdr:ext cx="65" cy="172227"/>
    <xdr:sp macro="" textlink="">
      <xdr:nvSpPr>
        <xdr:cNvPr id="38" name="CuadroTexto 37">
          <a:extLst>
            <a:ext uri="{FF2B5EF4-FFF2-40B4-BE49-F238E27FC236}">
              <a16:creationId xmlns:a16="http://schemas.microsoft.com/office/drawing/2014/main" id="{00000000-0008-0000-1D00-000026000000}"/>
            </a:ext>
          </a:extLst>
        </xdr:cNvPr>
        <xdr:cNvSpPr txBox="1"/>
      </xdr:nvSpPr>
      <xdr:spPr>
        <a:xfrm>
          <a:off x="12001500" y="2272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5</xdr:col>
      <xdr:colOff>539750</xdr:colOff>
      <xdr:row>73</xdr:row>
      <xdr:rowOff>158749</xdr:rowOff>
    </xdr:from>
    <xdr:ext cx="984250" cy="210507"/>
    <mc:AlternateContent xmlns:mc="http://schemas.openxmlformats.org/markup-compatibility/2006" xmlns:a14="http://schemas.microsoft.com/office/drawing/2010/main">
      <mc:Choice Requires="a14">
        <xdr:sp macro="" textlink="">
          <xdr:nvSpPr>
            <xdr:cNvPr id="39" name="CuadroTexto 38">
              <a:extLst>
                <a:ext uri="{FF2B5EF4-FFF2-40B4-BE49-F238E27FC236}">
                  <a16:creationId xmlns:a16="http://schemas.microsoft.com/office/drawing/2014/main" id="{00000000-0008-0000-1D00-000027000000}"/>
                </a:ext>
              </a:extLst>
            </xdr:cNvPr>
            <xdr:cNvSpPr txBox="1"/>
          </xdr:nvSpPr>
          <xdr:spPr>
            <a:xfrm>
              <a:off x="5397500" y="30076774"/>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𝒆</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39" name="CuadroTexto 38">
              <a:extLst>
                <a:ext uri="{FF2B5EF4-FFF2-40B4-BE49-F238E27FC236}">
                  <a16:creationId xmlns:a16="http://schemas.microsoft.com/office/drawing/2014/main" id="{00000000-0008-0000-0D00-000027000000}"/>
                </a:ext>
              </a:extLst>
            </xdr:cNvPr>
            <xdr:cNvSpPr txBox="1"/>
          </xdr:nvSpPr>
          <xdr:spPr>
            <a:xfrm>
              <a:off x="5397500" y="30076774"/>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𝒆 𝒄𝒕</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4</xdr:col>
      <xdr:colOff>52917</xdr:colOff>
      <xdr:row>73</xdr:row>
      <xdr:rowOff>148167</xdr:rowOff>
    </xdr:from>
    <xdr:ext cx="984250" cy="210507"/>
    <mc:AlternateContent xmlns:mc="http://schemas.openxmlformats.org/markup-compatibility/2006" xmlns:a14="http://schemas.microsoft.com/office/drawing/2010/main">
      <mc:Choice Requires="a14">
        <xdr:sp macro="" textlink="">
          <xdr:nvSpPr>
            <xdr:cNvPr id="40" name="CuadroTexto 39">
              <a:extLst>
                <a:ext uri="{FF2B5EF4-FFF2-40B4-BE49-F238E27FC236}">
                  <a16:creationId xmlns:a16="http://schemas.microsoft.com/office/drawing/2014/main" id="{00000000-0008-0000-1D00-000028000000}"/>
                </a:ext>
              </a:extLst>
            </xdr:cNvPr>
            <xdr:cNvSpPr txBox="1"/>
          </xdr:nvSpPr>
          <xdr:spPr>
            <a:xfrm>
              <a:off x="3872442" y="30066192"/>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0" name="CuadroTexto 39">
              <a:extLst>
                <a:ext uri="{FF2B5EF4-FFF2-40B4-BE49-F238E27FC236}">
                  <a16:creationId xmlns:a16="http://schemas.microsoft.com/office/drawing/2014/main" id="{00000000-0008-0000-0D00-000028000000}"/>
                </a:ext>
              </a:extLst>
            </xdr:cNvPr>
            <xdr:cNvSpPr txBox="1"/>
          </xdr:nvSpPr>
          <xdr:spPr>
            <a:xfrm>
              <a:off x="3872442" y="30066192"/>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𝒄𝒕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1</xdr:col>
      <xdr:colOff>23812</xdr:colOff>
      <xdr:row>73</xdr:row>
      <xdr:rowOff>95250</xdr:rowOff>
    </xdr:from>
    <xdr:ext cx="724958" cy="210507"/>
    <mc:AlternateContent xmlns:mc="http://schemas.openxmlformats.org/markup-compatibility/2006" xmlns:a14="http://schemas.microsoft.com/office/drawing/2010/main">
      <mc:Choice Requires="a14">
        <xdr:sp macro="" textlink="">
          <xdr:nvSpPr>
            <xdr:cNvPr id="42" name="CuadroTexto 41">
              <a:extLst>
                <a:ext uri="{FF2B5EF4-FFF2-40B4-BE49-F238E27FC236}">
                  <a16:creationId xmlns:a16="http://schemas.microsoft.com/office/drawing/2014/main" id="{00000000-0008-0000-1D00-00002A000000}"/>
                </a:ext>
              </a:extLst>
            </xdr:cNvPr>
            <xdr:cNvSpPr txBox="1"/>
          </xdr:nvSpPr>
          <xdr:spPr>
            <a:xfrm>
              <a:off x="1000125" y="30206156"/>
              <a:ext cx="724958"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𝑵𝒓</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2" name="CuadroTexto 41">
              <a:extLst>
                <a:ext uri="{FF2B5EF4-FFF2-40B4-BE49-F238E27FC236}">
                  <a16:creationId xmlns:a16="http://schemas.microsoft.com/office/drawing/2014/main" id="{00000000-0008-0000-0D00-00002A000000}"/>
                </a:ext>
              </a:extLst>
            </xdr:cNvPr>
            <xdr:cNvSpPr txBox="1"/>
          </xdr:nvSpPr>
          <xdr:spPr>
            <a:xfrm>
              <a:off x="1000125" y="30206156"/>
              <a:ext cx="724958"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𝑵𝒓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8</xdr:col>
      <xdr:colOff>624417</xdr:colOff>
      <xdr:row>73</xdr:row>
      <xdr:rowOff>206376</xdr:rowOff>
    </xdr:from>
    <xdr:ext cx="1524000" cy="210507"/>
    <mc:AlternateContent xmlns:mc="http://schemas.openxmlformats.org/markup-compatibility/2006" xmlns:a14="http://schemas.microsoft.com/office/drawing/2010/main">
      <mc:Choice Requires="a14">
        <xdr:sp macro="" textlink="">
          <xdr:nvSpPr>
            <xdr:cNvPr id="43" name="CuadroTexto 42">
              <a:extLst>
                <a:ext uri="{FF2B5EF4-FFF2-40B4-BE49-F238E27FC236}">
                  <a16:creationId xmlns:a16="http://schemas.microsoft.com/office/drawing/2014/main" id="{00000000-0008-0000-1D00-00002B000000}"/>
                </a:ext>
              </a:extLst>
            </xdr:cNvPr>
            <xdr:cNvSpPr txBox="1"/>
          </xdr:nvSpPr>
          <xdr:spPr>
            <a:xfrm>
              <a:off x="9966855" y="30535564"/>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𝑼</m:t>
                  </m:r>
                  <m:r>
                    <a:rPr lang="es-CO" sz="1400" b="1" i="1">
                      <a:latin typeface="Cambria Math" panose="02040503050406030204" pitchFamily="18" charset="0"/>
                      <a:ea typeface="Cambria Math" panose="02040503050406030204" pitchFamily="18" charset="0"/>
                    </a:rPr>
                    <m:t> </m:t>
                  </m:r>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 </m:t>
                  </m:r>
                  <m:r>
                    <a:rPr lang="es-CO" sz="1400" b="1" i="1">
                      <a:latin typeface="Cambria Math" panose="02040503050406030204" pitchFamily="18" charset="0"/>
                      <a:ea typeface="Cambria Math" panose="02040503050406030204" pitchFamily="18" charset="0"/>
                    </a:rPr>
                    <m:t>𝒌</m:t>
                  </m:r>
                  <m:r>
                    <a:rPr lang="es-CO" sz="1400" b="1" i="1">
                      <a:latin typeface="Cambria Math" panose="02040503050406030204" pitchFamily="18" charset="0"/>
                      <a:ea typeface="Cambria Math" panose="02040503050406030204" pitchFamily="18" charset="0"/>
                    </a:rPr>
                    <m:t>=</m:t>
                  </m:r>
                  <m:r>
                    <a:rPr lang="es-CO" sz="1400" b="1" i="1">
                      <a:latin typeface="Cambria Math" panose="02040503050406030204" pitchFamily="18" charset="0"/>
                      <a:ea typeface="Cambria Math" panose="02040503050406030204" pitchFamily="18" charset="0"/>
                    </a:rPr>
                    <m:t>𝟐</m:t>
                  </m:r>
                </m:oMath>
              </a14:m>
              <a:r>
                <a:rPr lang="es-CO" sz="1400" b="1" i="1">
                  <a:latin typeface="Arial" panose="020B0604020202020204" pitchFamily="34" charset="0"/>
                  <a:cs typeface="Arial" panose="020B0604020202020204" pitchFamily="34" charset="0"/>
                </a:rPr>
                <a:t>)</a:t>
              </a:r>
            </a:p>
          </xdr:txBody>
        </xdr:sp>
      </mc:Choice>
      <mc:Fallback xmlns="">
        <xdr:sp macro="" textlink="">
          <xdr:nvSpPr>
            <xdr:cNvPr id="43" name="CuadroTexto 42">
              <a:extLst>
                <a:ext uri="{FF2B5EF4-FFF2-40B4-BE49-F238E27FC236}">
                  <a16:creationId xmlns:a16="http://schemas.microsoft.com/office/drawing/2014/main" id="{00000000-0008-0000-0D00-00002B000000}"/>
                </a:ext>
              </a:extLst>
            </xdr:cNvPr>
            <xdr:cNvSpPr txBox="1"/>
          </xdr:nvSpPr>
          <xdr:spPr>
            <a:xfrm>
              <a:off x="9966855" y="30535564"/>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0">
                  <a:latin typeface="Cambria Math" panose="02040503050406030204" pitchFamily="18" charset="0"/>
                  <a:ea typeface="Cambria Math" panose="02040503050406030204" pitchFamily="18" charset="0"/>
                </a:rPr>
                <a:t>𝑼 ( 𝒎 𝒄𝒕 )  ( 𝒌=𝟐</a:t>
              </a:r>
              <a:r>
                <a:rPr lang="es-CO" sz="1400" b="1" i="1">
                  <a:latin typeface="Arial" panose="020B0604020202020204" pitchFamily="34" charset="0"/>
                  <a:cs typeface="Arial" panose="020B0604020202020204" pitchFamily="34" charset="0"/>
                </a:rPr>
                <a:t>)</a:t>
              </a:r>
            </a:p>
          </xdr:txBody>
        </xdr:sp>
      </mc:Fallback>
    </mc:AlternateContent>
    <xdr:clientData/>
  </xdr:oneCellAnchor>
  <xdr:oneCellAnchor>
    <xdr:from>
      <xdr:col>9</xdr:col>
      <xdr:colOff>603252</xdr:colOff>
      <xdr:row>74</xdr:row>
      <xdr:rowOff>84667</xdr:rowOff>
    </xdr:from>
    <xdr:ext cx="465666" cy="219163"/>
    <xdr:sp macro="" textlink="">
      <xdr:nvSpPr>
        <xdr:cNvPr id="44" name="CuadroTexto 43">
          <a:extLst>
            <a:ext uri="{FF2B5EF4-FFF2-40B4-BE49-F238E27FC236}">
              <a16:creationId xmlns:a16="http://schemas.microsoft.com/office/drawing/2014/main" id="{00000000-0008-0000-1D00-00002C000000}"/>
            </a:ext>
          </a:extLst>
        </xdr:cNvPr>
        <xdr:cNvSpPr txBox="1"/>
      </xdr:nvSpPr>
      <xdr:spPr>
        <a:xfrm>
          <a:off x="10299702" y="30517042"/>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9</xdr:col>
      <xdr:colOff>571499</xdr:colOff>
      <xdr:row>75</xdr:row>
      <xdr:rowOff>116416</xdr:rowOff>
    </xdr:from>
    <xdr:ext cx="359835" cy="219163"/>
    <xdr:sp macro="" textlink="">
      <xdr:nvSpPr>
        <xdr:cNvPr id="45" name="CuadroTexto 44">
          <a:extLst>
            <a:ext uri="{FF2B5EF4-FFF2-40B4-BE49-F238E27FC236}">
              <a16:creationId xmlns:a16="http://schemas.microsoft.com/office/drawing/2014/main" id="{00000000-0008-0000-1D00-00002D000000}"/>
            </a:ext>
          </a:extLst>
        </xdr:cNvPr>
        <xdr:cNvSpPr txBox="1"/>
      </xdr:nvSpPr>
      <xdr:spPr>
        <a:xfrm>
          <a:off x="10267949" y="30986941"/>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6</xdr:col>
      <xdr:colOff>275167</xdr:colOff>
      <xdr:row>74</xdr:row>
      <xdr:rowOff>148166</xdr:rowOff>
    </xdr:from>
    <xdr:ext cx="465666" cy="219163"/>
    <xdr:sp macro="" textlink="">
      <xdr:nvSpPr>
        <xdr:cNvPr id="46" name="CuadroTexto 45">
          <a:extLst>
            <a:ext uri="{FF2B5EF4-FFF2-40B4-BE49-F238E27FC236}">
              <a16:creationId xmlns:a16="http://schemas.microsoft.com/office/drawing/2014/main" id="{00000000-0008-0000-1D00-00002E000000}"/>
            </a:ext>
          </a:extLst>
        </xdr:cNvPr>
        <xdr:cNvSpPr txBox="1"/>
      </xdr:nvSpPr>
      <xdr:spPr>
        <a:xfrm>
          <a:off x="6371167" y="30580541"/>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6</xdr:col>
      <xdr:colOff>328083</xdr:colOff>
      <xdr:row>75</xdr:row>
      <xdr:rowOff>84667</xdr:rowOff>
    </xdr:from>
    <xdr:ext cx="359835" cy="219163"/>
    <xdr:sp macro="" textlink="">
      <xdr:nvSpPr>
        <xdr:cNvPr id="47" name="CuadroTexto 46">
          <a:extLst>
            <a:ext uri="{FF2B5EF4-FFF2-40B4-BE49-F238E27FC236}">
              <a16:creationId xmlns:a16="http://schemas.microsoft.com/office/drawing/2014/main" id="{00000000-0008-0000-1D00-00002F000000}"/>
            </a:ext>
          </a:extLst>
        </xdr:cNvPr>
        <xdr:cNvSpPr txBox="1"/>
      </xdr:nvSpPr>
      <xdr:spPr>
        <a:xfrm>
          <a:off x="6424083" y="30955192"/>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3</xdr:col>
      <xdr:colOff>560916</xdr:colOff>
      <xdr:row>72</xdr:row>
      <xdr:rowOff>74084</xdr:rowOff>
    </xdr:from>
    <xdr:ext cx="1524000" cy="210507"/>
    <mc:AlternateContent xmlns:mc="http://schemas.openxmlformats.org/markup-compatibility/2006" xmlns:a14="http://schemas.microsoft.com/office/drawing/2010/main">
      <mc:Choice Requires="a14">
        <xdr:sp macro="" textlink="">
          <xdr:nvSpPr>
            <xdr:cNvPr id="48" name="CuadroTexto 47">
              <a:extLst>
                <a:ext uri="{FF2B5EF4-FFF2-40B4-BE49-F238E27FC236}">
                  <a16:creationId xmlns:a16="http://schemas.microsoft.com/office/drawing/2014/main" id="{00000000-0008-0000-1D00-000030000000}"/>
                </a:ext>
              </a:extLst>
            </xdr:cNvPr>
            <xdr:cNvSpPr txBox="1"/>
          </xdr:nvSpPr>
          <xdr:spPr>
            <a:xfrm>
              <a:off x="3246966" y="29553959"/>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m:t>
                    </m:r>
                  </m:oMath>
                </m:oMathPara>
              </a14:m>
              <a:endParaRPr lang="es-CO" sz="1400" b="1" i="1">
                <a:latin typeface="Arial" panose="020B0604020202020204" pitchFamily="34" charset="0"/>
                <a:cs typeface="Arial" panose="020B0604020202020204" pitchFamily="34" charset="0"/>
              </a:endParaRPr>
            </a:p>
          </xdr:txBody>
        </xdr:sp>
      </mc:Choice>
      <mc:Fallback xmlns="">
        <xdr:sp macro="" textlink="">
          <xdr:nvSpPr>
            <xdr:cNvPr id="48" name="CuadroTexto 47">
              <a:extLst>
                <a:ext uri="{FF2B5EF4-FFF2-40B4-BE49-F238E27FC236}">
                  <a16:creationId xmlns:a16="http://schemas.microsoft.com/office/drawing/2014/main" id="{00000000-0008-0000-0D00-000030000000}"/>
                </a:ext>
              </a:extLst>
            </xdr:cNvPr>
            <xdr:cNvSpPr txBox="1"/>
          </xdr:nvSpPr>
          <xdr:spPr>
            <a:xfrm>
              <a:off x="3246966" y="29553959"/>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 𝒎 𝒄𝒕 )   </a:t>
              </a:r>
              <a:endParaRPr lang="es-CO" sz="1400" b="1" i="1">
                <a:latin typeface="Arial" panose="020B0604020202020204" pitchFamily="34" charset="0"/>
                <a:cs typeface="Arial" panose="020B0604020202020204" pitchFamily="34" charset="0"/>
              </a:endParaRPr>
            </a:p>
          </xdr:txBody>
        </xdr:sp>
      </mc:Fallback>
    </mc:AlternateContent>
    <xdr:clientData/>
  </xdr:oneCellAnchor>
  <xdr:oneCellAnchor>
    <xdr:from>
      <xdr:col>7</xdr:col>
      <xdr:colOff>411956</xdr:colOff>
      <xdr:row>71</xdr:row>
      <xdr:rowOff>406003</xdr:rowOff>
    </xdr:from>
    <xdr:ext cx="65" cy="172227"/>
    <xdr:sp macro="" textlink="">
      <xdr:nvSpPr>
        <xdr:cNvPr id="49" name="CuadroTexto 48">
          <a:extLst>
            <a:ext uri="{FF2B5EF4-FFF2-40B4-BE49-F238E27FC236}">
              <a16:creationId xmlns:a16="http://schemas.microsoft.com/office/drawing/2014/main" id="{00000000-0008-0000-1D00-000031000000}"/>
            </a:ext>
          </a:extLst>
        </xdr:cNvPr>
        <xdr:cNvSpPr txBox="1"/>
      </xdr:nvSpPr>
      <xdr:spPr>
        <a:xfrm>
          <a:off x="7555706" y="29457253"/>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51" name="CuadroTexto 50">
              <a:extLst>
                <a:ext uri="{FF2B5EF4-FFF2-40B4-BE49-F238E27FC236}">
                  <a16:creationId xmlns:a16="http://schemas.microsoft.com/office/drawing/2014/main" id="{00000000-0008-0000-1D00-000033000000}"/>
                </a:ext>
              </a:extLst>
            </xdr:cNvPr>
            <xdr:cNvSpPr txBox="1"/>
          </xdr:nvSpPr>
          <xdr:spPr>
            <a:xfrm>
              <a:off x="1182687" y="2732087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51" name="CuadroTexto 50">
              <a:extLst>
                <a:ext uri="{FF2B5EF4-FFF2-40B4-BE49-F238E27FC236}">
                  <a16:creationId xmlns:a16="http://schemas.microsoft.com/office/drawing/2014/main" id="{BAE713BF-7829-4ECD-A353-224172BFF5DE}"/>
                </a:ext>
              </a:extLst>
            </xdr:cNvPr>
            <xdr:cNvSpPr txBox="1"/>
          </xdr:nvSpPr>
          <xdr:spPr>
            <a:xfrm>
              <a:off x="1182687" y="2732087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52" name="CuadroTexto 51">
              <a:extLst>
                <a:ext uri="{FF2B5EF4-FFF2-40B4-BE49-F238E27FC236}">
                  <a16:creationId xmlns:a16="http://schemas.microsoft.com/office/drawing/2014/main" id="{00000000-0008-0000-1D00-000034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52" name="CuadroTexto 51">
              <a:extLst>
                <a:ext uri="{FF2B5EF4-FFF2-40B4-BE49-F238E27FC236}">
                  <a16:creationId xmlns:a16="http://schemas.microsoft.com/office/drawing/2014/main" id="{88FDD811-A8F2-4402-91CD-068E28BF6D4E}"/>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twoCellAnchor>
    <xdr:from>
      <xdr:col>7</xdr:col>
      <xdr:colOff>793750</xdr:colOff>
      <xdr:row>62</xdr:row>
      <xdr:rowOff>254000</xdr:rowOff>
    </xdr:from>
    <xdr:to>
      <xdr:col>11</xdr:col>
      <xdr:colOff>730249</xdr:colOff>
      <xdr:row>64</xdr:row>
      <xdr:rowOff>523875</xdr:rowOff>
    </xdr:to>
    <xdr:graphicFrame macro="">
      <xdr:nvGraphicFramePr>
        <xdr:cNvPr id="53" name="Gráfico 52">
          <a:extLst>
            <a:ext uri="{FF2B5EF4-FFF2-40B4-BE49-F238E27FC236}">
              <a16:creationId xmlns:a16="http://schemas.microsoft.com/office/drawing/2014/main" id="{00000000-0008-0000-1D00-00003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214312</xdr:colOff>
      <xdr:row>0</xdr:row>
      <xdr:rowOff>35719</xdr:rowOff>
    </xdr:from>
    <xdr:to>
      <xdr:col>1</xdr:col>
      <xdr:colOff>609718</xdr:colOff>
      <xdr:row>0</xdr:row>
      <xdr:rowOff>675854</xdr:rowOff>
    </xdr:to>
    <xdr:pic>
      <xdr:nvPicPr>
        <xdr:cNvPr id="37" name="36 Imagen">
          <a:extLst>
            <a:ext uri="{FF2B5EF4-FFF2-40B4-BE49-F238E27FC236}">
              <a16:creationId xmlns:a16="http://schemas.microsoft.com/office/drawing/2014/main" id="{00000000-0008-0000-1D00-000025000000}"/>
            </a:ext>
          </a:extLst>
        </xdr:cNvPr>
        <xdr:cNvPicPr>
          <a:picLocks noChangeAspect="1"/>
        </xdr:cNvPicPr>
      </xdr:nvPicPr>
      <xdr:blipFill>
        <a:blip xmlns:r="http://schemas.openxmlformats.org/officeDocument/2006/relationships" r:embed="rId2"/>
        <a:stretch>
          <a:fillRect/>
        </a:stretch>
      </xdr:blipFill>
      <xdr:spPr>
        <a:xfrm>
          <a:off x="214312" y="35719"/>
          <a:ext cx="1371719" cy="640135"/>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oneCellAnchor>
    <xdr:from>
      <xdr:col>1</xdr:col>
      <xdr:colOff>285935</xdr:colOff>
      <xdr:row>42</xdr:row>
      <xdr:rowOff>169517</xdr:rowOff>
    </xdr:from>
    <xdr:ext cx="177356" cy="176202"/>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00000000-0008-0000-1E00-000003000000}"/>
                </a:ext>
              </a:extLst>
            </xdr:cNvPr>
            <xdr:cNvSpPr txBox="1"/>
          </xdr:nvSpPr>
          <xdr:spPr>
            <a:xfrm>
              <a:off x="1124135" y="14980892"/>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bg1"/>
                            </a:solidFill>
                            <a:latin typeface="Cambria Math" panose="02040503050406030204" pitchFamily="18" charset="0"/>
                          </a:rPr>
                        </m:ctrlPr>
                      </m:accPr>
                      <m:e>
                        <m:r>
                          <a:rPr lang="es-CO" sz="1100" b="1" i="1">
                            <a:solidFill>
                              <a:schemeClr val="bg1"/>
                            </a:solidFill>
                            <a:latin typeface="Cambria Math" panose="02040503050406030204" pitchFamily="18" charset="0"/>
                            <a:ea typeface="Cambria Math" panose="02040503050406030204" pitchFamily="18" charset="0"/>
                          </a:rPr>
                          <m:t>∆</m:t>
                        </m:r>
                        <m:r>
                          <a:rPr lang="es-CO" sz="1100" b="1" i="1">
                            <a:solidFill>
                              <a:schemeClr val="bg1"/>
                            </a:solidFill>
                            <a:latin typeface="Cambria Math" panose="02040503050406030204" pitchFamily="18" charset="0"/>
                            <a:ea typeface="Cambria Math" panose="02040503050406030204" pitchFamily="18" charset="0"/>
                          </a:rPr>
                          <m:t>𝑰</m:t>
                        </m:r>
                      </m:e>
                    </m:acc>
                  </m:oMath>
                </m:oMathPara>
              </a14:m>
              <a:endParaRPr lang="es-CO" sz="1100" b="1">
                <a:solidFill>
                  <a:schemeClr val="bg1"/>
                </a:solidFill>
              </a:endParaRPr>
            </a:p>
          </xdr:txBody>
        </xdr:sp>
      </mc:Choice>
      <mc:Fallback xmlns="">
        <xdr:sp macro="" textlink="">
          <xdr:nvSpPr>
            <xdr:cNvPr id="3" name="CuadroTexto 2">
              <a:extLst>
                <a:ext uri="{FF2B5EF4-FFF2-40B4-BE49-F238E27FC236}">
                  <a16:creationId xmlns:a16="http://schemas.microsoft.com/office/drawing/2014/main" xmlns="" xmlns:a14="http://schemas.microsoft.com/office/drawing/2010/main" id="{00000000-0008-0000-1000-000003000000}"/>
                </a:ext>
              </a:extLst>
            </xdr:cNvPr>
            <xdr:cNvSpPr txBox="1"/>
          </xdr:nvSpPr>
          <xdr:spPr>
            <a:xfrm>
              <a:off x="1124135" y="14980892"/>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bg1"/>
                  </a:solidFill>
                  <a:latin typeface="Cambria Math" panose="02040503050406030204" pitchFamily="18" charset="0"/>
                </a:rPr>
                <a:t>(</a:t>
              </a:r>
              <a:r>
                <a:rPr lang="es-CO" sz="1100" b="1" i="0">
                  <a:solidFill>
                    <a:schemeClr val="bg1"/>
                  </a:solidFill>
                  <a:latin typeface="Cambria Math" panose="02040503050406030204" pitchFamily="18" charset="0"/>
                  <a:ea typeface="Cambria Math" panose="02040503050406030204" pitchFamily="18" charset="0"/>
                </a:rPr>
                <a:t>∆𝑰) ̅</a:t>
              </a:r>
              <a:endParaRPr lang="es-CO" sz="1100" b="1">
                <a:solidFill>
                  <a:schemeClr val="bg1"/>
                </a:solidFill>
              </a:endParaRPr>
            </a:p>
          </xdr:txBody>
        </xdr:sp>
      </mc:Fallback>
    </mc:AlternateContent>
    <xdr:clientData/>
  </xdr:oneCellAnchor>
  <xdr:oneCellAnchor>
    <xdr:from>
      <xdr:col>1</xdr:col>
      <xdr:colOff>136732</xdr:colOff>
      <xdr:row>58</xdr:row>
      <xdr:rowOff>253032</xdr:rowOff>
    </xdr:from>
    <xdr:ext cx="599716" cy="172227"/>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id="{00000000-0008-0000-1E00-000004000000}"/>
                </a:ext>
              </a:extLst>
            </xdr:cNvPr>
            <xdr:cNvSpPr txBox="1"/>
          </xdr:nvSpPr>
          <xdr:spPr>
            <a:xfrm>
              <a:off x="974932" y="20779407"/>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𝒘</m:t>
                        </m:r>
                      </m:sub>
                    </m:sSub>
                    <m:r>
                      <a:rPr lang="es-CO" sz="1100" b="1" i="1">
                        <a:latin typeface="Cambria Math" panose="02040503050406030204" pitchFamily="18" charset="0"/>
                      </a:rPr>
                      <m:t>(</m:t>
                    </m:r>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4" name="CuadroTexto 3">
              <a:extLst>
                <a:ext uri="{FF2B5EF4-FFF2-40B4-BE49-F238E27FC236}">
                  <a16:creationId xmlns:a16="http://schemas.microsoft.com/office/drawing/2014/main" xmlns="" xmlns:a14="http://schemas.microsoft.com/office/drawing/2010/main" id="{00000000-0008-0000-1000-000004000000}"/>
                </a:ext>
              </a:extLst>
            </xdr:cNvPr>
            <xdr:cNvSpPr txBox="1"/>
          </xdr:nvSpPr>
          <xdr:spPr>
            <a:xfrm>
              <a:off x="974932" y="20779407"/>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𝒖_𝒘 (</a:t>
              </a: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1</xdr:col>
      <xdr:colOff>202651</xdr:colOff>
      <xdr:row>61</xdr:row>
      <xdr:rowOff>265287</xdr:rowOff>
    </xdr:from>
    <xdr:ext cx="483915" cy="172227"/>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id="{00000000-0008-0000-1E00-000005000000}"/>
                </a:ext>
              </a:extLst>
            </xdr:cNvPr>
            <xdr:cNvSpPr txBox="1"/>
          </xdr:nvSpPr>
          <xdr:spPr>
            <a:xfrm>
              <a:off x="1040851" y="2299193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5" name="CuadroTexto 4">
              <a:extLst>
                <a:ext uri="{FF2B5EF4-FFF2-40B4-BE49-F238E27FC236}">
                  <a16:creationId xmlns:a16="http://schemas.microsoft.com/office/drawing/2014/main" xmlns="" xmlns:a14="http://schemas.microsoft.com/office/drawing/2010/main" id="{00000000-0008-0000-1000-000005000000}"/>
                </a:ext>
              </a:extLst>
            </xdr:cNvPr>
            <xdr:cNvSpPr txBox="1"/>
          </xdr:nvSpPr>
          <xdr:spPr>
            <a:xfrm>
              <a:off x="1040851" y="2299193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𝒖(𝒎_𝒄𝒓)</a:t>
              </a:r>
              <a:endParaRPr lang="es-CO" sz="1100" b="1"/>
            </a:p>
          </xdr:txBody>
        </xdr:sp>
      </mc:Fallback>
    </mc:AlternateContent>
    <xdr:clientData/>
  </xdr:oneCellAnchor>
  <xdr:oneCellAnchor>
    <xdr:from>
      <xdr:col>1</xdr:col>
      <xdr:colOff>34166</xdr:colOff>
      <xdr:row>60</xdr:row>
      <xdr:rowOff>250203</xdr:rowOff>
    </xdr:from>
    <xdr:ext cx="689483" cy="172227"/>
    <mc:AlternateContent xmlns:mc="http://schemas.openxmlformats.org/markup-compatibility/2006" xmlns:a14="http://schemas.microsoft.com/office/drawing/2010/main">
      <mc:Choice Requires="a14">
        <xdr:sp macro="" textlink="">
          <xdr:nvSpPr>
            <xdr:cNvPr id="6" name="CuadroTexto 5">
              <a:extLst>
                <a:ext uri="{FF2B5EF4-FFF2-40B4-BE49-F238E27FC236}">
                  <a16:creationId xmlns:a16="http://schemas.microsoft.com/office/drawing/2014/main" id="{00000000-0008-0000-1E00-000006000000}"/>
                </a:ext>
              </a:extLst>
            </xdr:cNvPr>
            <xdr:cNvSpPr txBox="1"/>
          </xdr:nvSpPr>
          <xdr:spPr>
            <a:xfrm>
              <a:off x="872366" y="22243428"/>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𝒊𝒏𝒔𝒕</m:t>
                        </m:r>
                      </m:sub>
                    </m:sSub>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0" i="1">
                        <a:latin typeface="Cambria Math" panose="02040503050406030204" pitchFamily="18" charset="0"/>
                      </a:rPr>
                      <m:t>)</m:t>
                    </m:r>
                  </m:oMath>
                </m:oMathPara>
              </a14:m>
              <a:endParaRPr lang="es-CO" sz="1100"/>
            </a:p>
          </xdr:txBody>
        </xdr:sp>
      </mc:Choice>
      <mc:Fallback xmlns="">
        <xdr:sp macro="" textlink="">
          <xdr:nvSpPr>
            <xdr:cNvPr id="6" name="CuadroTexto 5">
              <a:extLst>
                <a:ext uri="{FF2B5EF4-FFF2-40B4-BE49-F238E27FC236}">
                  <a16:creationId xmlns:a16="http://schemas.microsoft.com/office/drawing/2014/main" xmlns="" xmlns:a14="http://schemas.microsoft.com/office/drawing/2010/main" id="{00000000-0008-0000-1000-000006000000}"/>
                </a:ext>
              </a:extLst>
            </xdr:cNvPr>
            <xdr:cNvSpPr txBox="1"/>
          </xdr:nvSpPr>
          <xdr:spPr>
            <a:xfrm>
              <a:off x="872366" y="22243428"/>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𝒖_𝒊𝒏𝒔𝒕 (𝒎_𝒄𝒓</a:t>
              </a:r>
              <a:r>
                <a:rPr lang="es-CO" sz="1100" b="0" i="0">
                  <a:latin typeface="Cambria Math" panose="02040503050406030204" pitchFamily="18" charset="0"/>
                </a:rPr>
                <a:t>)</a:t>
              </a:r>
              <a:endParaRPr lang="es-CO" sz="1100"/>
            </a:p>
          </xdr:txBody>
        </xdr:sp>
      </mc:Fallback>
    </mc:AlternateContent>
    <xdr:clientData/>
  </xdr:oneCellAnchor>
  <xdr:oneCellAnchor>
    <xdr:from>
      <xdr:col>1</xdr:col>
      <xdr:colOff>183870</xdr:colOff>
      <xdr:row>62</xdr:row>
      <xdr:rowOff>264645</xdr:rowOff>
    </xdr:from>
    <xdr:ext cx="397353" cy="172227"/>
    <mc:AlternateContent xmlns:mc="http://schemas.openxmlformats.org/markup-compatibility/2006" xmlns:a14="http://schemas.microsoft.com/office/drawing/2010/main">
      <mc:Choice Requires="a14">
        <xdr:sp macro="" textlink="">
          <xdr:nvSpPr>
            <xdr:cNvPr id="7" name="CuadroTexto 6">
              <a:extLst>
                <a:ext uri="{FF2B5EF4-FFF2-40B4-BE49-F238E27FC236}">
                  <a16:creationId xmlns:a16="http://schemas.microsoft.com/office/drawing/2014/main" id="{00000000-0008-0000-1E00-000007000000}"/>
                </a:ext>
              </a:extLst>
            </xdr:cNvPr>
            <xdr:cNvSpPr txBox="1"/>
          </xdr:nvSpPr>
          <xdr:spPr>
            <a:xfrm>
              <a:off x="1022070" y="23724720"/>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𝒂</m:t>
                        </m:r>
                      </m:sub>
                    </m:sSub>
                    <m:r>
                      <a:rPr lang="es-CO" sz="1100" b="1" i="1">
                        <a:latin typeface="Cambria Math" panose="02040503050406030204" pitchFamily="18" charset="0"/>
                      </a:rPr>
                      <m:t>)</m:t>
                    </m:r>
                  </m:oMath>
                </m:oMathPara>
              </a14:m>
              <a:endParaRPr lang="es-CO" sz="1100" b="1"/>
            </a:p>
          </xdr:txBody>
        </xdr:sp>
      </mc:Choice>
      <mc:Fallback xmlns="">
        <xdr:sp macro="" textlink="">
          <xdr:nvSpPr>
            <xdr:cNvPr id="7" name="CuadroTexto 6">
              <a:extLst>
                <a:ext uri="{FF2B5EF4-FFF2-40B4-BE49-F238E27FC236}">
                  <a16:creationId xmlns:a16="http://schemas.microsoft.com/office/drawing/2014/main" xmlns="" xmlns:a14="http://schemas.microsoft.com/office/drawing/2010/main" id="{00000000-0008-0000-1000-000007000000}"/>
                </a:ext>
              </a:extLst>
            </xdr:cNvPr>
            <xdr:cNvSpPr txBox="1"/>
          </xdr:nvSpPr>
          <xdr:spPr>
            <a:xfrm>
              <a:off x="1022070" y="23724720"/>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𝒂)</a:t>
              </a:r>
              <a:endParaRPr lang="es-CO" sz="1100" b="1"/>
            </a:p>
          </xdr:txBody>
        </xdr:sp>
      </mc:Fallback>
    </mc:AlternateContent>
    <xdr:clientData/>
  </xdr:oneCellAnchor>
  <xdr:oneCellAnchor>
    <xdr:from>
      <xdr:col>1</xdr:col>
      <xdr:colOff>186298</xdr:colOff>
      <xdr:row>63</xdr:row>
      <xdr:rowOff>266606</xdr:rowOff>
    </xdr:from>
    <xdr:ext cx="376642" cy="172227"/>
    <mc:AlternateContent xmlns:mc="http://schemas.openxmlformats.org/markup-compatibility/2006" xmlns:a14="http://schemas.microsoft.com/office/drawing/2010/main">
      <mc:Choice Requires="a14">
        <xdr:sp macro="" textlink="">
          <xdr:nvSpPr>
            <xdr:cNvPr id="8" name="CuadroTexto 7">
              <a:extLst>
                <a:ext uri="{FF2B5EF4-FFF2-40B4-BE49-F238E27FC236}">
                  <a16:creationId xmlns:a16="http://schemas.microsoft.com/office/drawing/2014/main" id="{00000000-0008-0000-1E00-000008000000}"/>
                </a:ext>
              </a:extLst>
            </xdr:cNvPr>
            <xdr:cNvSpPr txBox="1"/>
          </xdr:nvSpPr>
          <xdr:spPr>
            <a:xfrm>
              <a:off x="1024498" y="244601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𝒕</m:t>
                        </m:r>
                      </m:sub>
                    </m:sSub>
                    <m:r>
                      <a:rPr lang="es-CO" sz="1100" b="1" i="1">
                        <a:latin typeface="Cambria Math" panose="02040503050406030204" pitchFamily="18" charset="0"/>
                      </a:rPr>
                      <m:t>)</m:t>
                    </m:r>
                  </m:oMath>
                </m:oMathPara>
              </a14:m>
              <a:endParaRPr lang="es-CO" sz="1100" b="1"/>
            </a:p>
          </xdr:txBody>
        </xdr:sp>
      </mc:Choice>
      <mc:Fallback xmlns="">
        <xdr:sp macro="" textlink="">
          <xdr:nvSpPr>
            <xdr:cNvPr id="8" name="CuadroTexto 7">
              <a:extLst>
                <a:ext uri="{FF2B5EF4-FFF2-40B4-BE49-F238E27FC236}">
                  <a16:creationId xmlns:a16="http://schemas.microsoft.com/office/drawing/2014/main" xmlns="" xmlns:a14="http://schemas.microsoft.com/office/drawing/2010/main" id="{00000000-0008-0000-1000-000008000000}"/>
                </a:ext>
              </a:extLst>
            </xdr:cNvPr>
            <xdr:cNvSpPr txBox="1"/>
          </xdr:nvSpPr>
          <xdr:spPr>
            <a:xfrm>
              <a:off x="1024498" y="244601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𝒕)</a:t>
              </a:r>
              <a:endParaRPr lang="es-CO" sz="1100" b="1"/>
            </a:p>
          </xdr:txBody>
        </xdr:sp>
      </mc:Fallback>
    </mc:AlternateContent>
    <xdr:clientData/>
  </xdr:oneCellAnchor>
  <xdr:oneCellAnchor>
    <xdr:from>
      <xdr:col>1</xdr:col>
      <xdr:colOff>186298</xdr:colOff>
      <xdr:row>64</xdr:row>
      <xdr:rowOff>222250</xdr:rowOff>
    </xdr:from>
    <xdr:ext cx="388696" cy="172227"/>
    <mc:AlternateContent xmlns:mc="http://schemas.openxmlformats.org/markup-compatibility/2006" xmlns:a14="http://schemas.microsoft.com/office/drawing/2010/main">
      <mc:Choice Requires="a14">
        <xdr:sp macro="" textlink="">
          <xdr:nvSpPr>
            <xdr:cNvPr id="9" name="CuadroTexto 8">
              <a:extLst>
                <a:ext uri="{FF2B5EF4-FFF2-40B4-BE49-F238E27FC236}">
                  <a16:creationId xmlns:a16="http://schemas.microsoft.com/office/drawing/2014/main" id="{00000000-0008-0000-1E00-000009000000}"/>
                </a:ext>
              </a:extLst>
            </xdr:cNvPr>
            <xdr:cNvSpPr txBox="1"/>
          </xdr:nvSpPr>
          <xdr:spPr>
            <a:xfrm>
              <a:off x="1024498" y="25149175"/>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9" name="CuadroTexto 8">
              <a:extLst>
                <a:ext uri="{FF2B5EF4-FFF2-40B4-BE49-F238E27FC236}">
                  <a16:creationId xmlns:a16="http://schemas.microsoft.com/office/drawing/2014/main" xmlns="" xmlns:a14="http://schemas.microsoft.com/office/drawing/2010/main" id="{00000000-0008-0000-1000-000009000000}"/>
                </a:ext>
              </a:extLst>
            </xdr:cNvPr>
            <xdr:cNvSpPr txBox="1"/>
          </xdr:nvSpPr>
          <xdr:spPr>
            <a:xfrm>
              <a:off x="1024498" y="25149175"/>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𝒓)</a:t>
              </a:r>
              <a:endParaRPr lang="es-CO" sz="1100" b="1"/>
            </a:p>
          </xdr:txBody>
        </xdr:sp>
      </mc:Fallback>
    </mc:AlternateContent>
    <xdr:clientData/>
  </xdr:oneCellAnchor>
  <xdr:oneCellAnchor>
    <xdr:from>
      <xdr:col>1</xdr:col>
      <xdr:colOff>265579</xdr:colOff>
      <xdr:row>65</xdr:row>
      <xdr:rowOff>288458</xdr:rowOff>
    </xdr:from>
    <xdr:ext cx="191271" cy="172227"/>
    <mc:AlternateContent xmlns:mc="http://schemas.openxmlformats.org/markup-compatibility/2006" xmlns:a14="http://schemas.microsoft.com/office/drawing/2010/main">
      <mc:Choice Requires="a14">
        <xdr:sp macro="" textlink="">
          <xdr:nvSpPr>
            <xdr:cNvPr id="10" name="CuadroTexto 9">
              <a:extLst>
                <a:ext uri="{FF2B5EF4-FFF2-40B4-BE49-F238E27FC236}">
                  <a16:creationId xmlns:a16="http://schemas.microsoft.com/office/drawing/2014/main" id="{00000000-0008-0000-1E00-00000A000000}"/>
                </a:ext>
              </a:extLst>
            </xdr:cNvPr>
            <xdr:cNvSpPr txBox="1"/>
          </xdr:nvSpPr>
          <xdr:spPr>
            <a:xfrm>
              <a:off x="1103779" y="2594880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𝒃</m:t>
                        </m:r>
                      </m:sub>
                    </m:sSub>
                  </m:oMath>
                </m:oMathPara>
              </a14:m>
              <a:endParaRPr lang="es-CO" sz="1100" b="1"/>
            </a:p>
          </xdr:txBody>
        </xdr:sp>
      </mc:Choice>
      <mc:Fallback xmlns="">
        <xdr:sp macro="" textlink="">
          <xdr:nvSpPr>
            <xdr:cNvPr id="10" name="CuadroTexto 9">
              <a:extLst>
                <a:ext uri="{FF2B5EF4-FFF2-40B4-BE49-F238E27FC236}">
                  <a16:creationId xmlns:a16="http://schemas.microsoft.com/office/drawing/2014/main" xmlns="" xmlns:a14="http://schemas.microsoft.com/office/drawing/2010/main" id="{00000000-0008-0000-1000-00000A000000}"/>
                </a:ext>
              </a:extLst>
            </xdr:cNvPr>
            <xdr:cNvSpPr txBox="1"/>
          </xdr:nvSpPr>
          <xdr:spPr>
            <a:xfrm>
              <a:off x="1103779" y="2594880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𝒖_𝒃</a:t>
              </a:r>
              <a:endParaRPr lang="es-CO" sz="1100" b="1"/>
            </a:p>
          </xdr:txBody>
        </xdr:sp>
      </mc:Fallback>
    </mc:AlternateContent>
    <xdr:clientData/>
  </xdr:oneCellAnchor>
  <xdr:oneCellAnchor>
    <xdr:from>
      <xdr:col>1</xdr:col>
      <xdr:colOff>261391</xdr:colOff>
      <xdr:row>66</xdr:row>
      <xdr:rowOff>294234</xdr:rowOff>
    </xdr:from>
    <xdr:ext cx="195053" cy="172227"/>
    <mc:AlternateContent xmlns:mc="http://schemas.openxmlformats.org/markup-compatibility/2006" xmlns:a14="http://schemas.microsoft.com/office/drawing/2010/main">
      <mc:Choice Requires="a14">
        <xdr:sp macro="" textlink="">
          <xdr:nvSpPr>
            <xdr:cNvPr id="11" name="CuadroTexto 10">
              <a:extLst>
                <a:ext uri="{FF2B5EF4-FFF2-40B4-BE49-F238E27FC236}">
                  <a16:creationId xmlns:a16="http://schemas.microsoft.com/office/drawing/2014/main" id="{00000000-0008-0000-1E00-00000B000000}"/>
                </a:ext>
              </a:extLst>
            </xdr:cNvPr>
            <xdr:cNvSpPr txBox="1"/>
          </xdr:nvSpPr>
          <xdr:spPr>
            <a:xfrm>
              <a:off x="1099591" y="26688009"/>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𝒅</m:t>
                        </m:r>
                      </m:sub>
                    </m:sSub>
                  </m:oMath>
                </m:oMathPara>
              </a14:m>
              <a:endParaRPr lang="es-CO" sz="1100" b="1"/>
            </a:p>
          </xdr:txBody>
        </xdr:sp>
      </mc:Choice>
      <mc:Fallback xmlns="">
        <xdr:sp macro="" textlink="">
          <xdr:nvSpPr>
            <xdr:cNvPr id="11" name="CuadroTexto 10">
              <a:extLst>
                <a:ext uri="{FF2B5EF4-FFF2-40B4-BE49-F238E27FC236}">
                  <a16:creationId xmlns:a16="http://schemas.microsoft.com/office/drawing/2014/main" xmlns="" xmlns:a14="http://schemas.microsoft.com/office/drawing/2010/main" id="{00000000-0008-0000-1000-00000B000000}"/>
                </a:ext>
              </a:extLst>
            </xdr:cNvPr>
            <xdr:cNvSpPr txBox="1"/>
          </xdr:nvSpPr>
          <xdr:spPr>
            <a:xfrm>
              <a:off x="1099591" y="26688009"/>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𝒖_𝒅</a:t>
              </a:r>
              <a:endParaRPr lang="es-CO" sz="1100" b="1"/>
            </a:p>
          </xdr:txBody>
        </xdr:sp>
      </mc:Fallback>
    </mc:AlternateContent>
    <xdr:clientData/>
  </xdr:oneCellAnchor>
  <xdr:oneCellAnchor>
    <xdr:from>
      <xdr:col>5</xdr:col>
      <xdr:colOff>393571</xdr:colOff>
      <xdr:row>69</xdr:row>
      <xdr:rowOff>265119</xdr:rowOff>
    </xdr:from>
    <xdr:ext cx="529697" cy="172227"/>
    <mc:AlternateContent xmlns:mc="http://schemas.openxmlformats.org/markup-compatibility/2006" xmlns:a14="http://schemas.microsoft.com/office/drawing/2010/main">
      <mc:Choice Requires="a14">
        <xdr:sp macro="" textlink="">
          <xdr:nvSpPr>
            <xdr:cNvPr id="12" name="CuadroTexto 11">
              <a:extLst>
                <a:ext uri="{FF2B5EF4-FFF2-40B4-BE49-F238E27FC236}">
                  <a16:creationId xmlns:a16="http://schemas.microsoft.com/office/drawing/2014/main" id="{00000000-0008-0000-1E00-00000C000000}"/>
                </a:ext>
              </a:extLst>
            </xdr:cNvPr>
            <xdr:cNvSpPr txBox="1"/>
          </xdr:nvSpPr>
          <xdr:spPr>
            <a:xfrm>
              <a:off x="5251321" y="28220994"/>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𝒄</m:t>
                        </m:r>
                      </m:sub>
                    </m:sSub>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12" name="CuadroTexto 11">
              <a:extLst>
                <a:ext uri="{FF2B5EF4-FFF2-40B4-BE49-F238E27FC236}">
                  <a16:creationId xmlns:a16="http://schemas.microsoft.com/office/drawing/2014/main" xmlns="" xmlns:a14="http://schemas.microsoft.com/office/drawing/2010/main" id="{00000000-0008-0000-1000-00000C000000}"/>
                </a:ext>
              </a:extLst>
            </xdr:cNvPr>
            <xdr:cNvSpPr txBox="1"/>
          </xdr:nvSpPr>
          <xdr:spPr>
            <a:xfrm>
              <a:off x="5251321" y="28220994"/>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𝒖_𝒄 (</a:t>
              </a:r>
              <a:r>
                <a:rPr lang="es-CO" sz="1100" b="1" i="0">
                  <a:latin typeface="Cambria Math" panose="02040503050406030204" pitchFamily="18" charset="0"/>
                  <a:ea typeface="Cambria Math" panose="02040503050406030204" pitchFamily="18" charset="0"/>
                </a:rPr>
                <a:t>𝒎_𝒄𝒕)</a:t>
              </a:r>
              <a:endParaRPr lang="es-CO" sz="1100" b="1"/>
            </a:p>
          </xdr:txBody>
        </xdr:sp>
      </mc:Fallback>
    </mc:AlternateContent>
    <xdr:clientData/>
  </xdr:oneCellAnchor>
  <xdr:oneCellAnchor>
    <xdr:from>
      <xdr:col>5</xdr:col>
      <xdr:colOff>243965</xdr:colOff>
      <xdr:row>70</xdr:row>
      <xdr:rowOff>130277</xdr:rowOff>
    </xdr:from>
    <xdr:ext cx="780598" cy="172227"/>
    <mc:AlternateContent xmlns:mc="http://schemas.openxmlformats.org/markup-compatibility/2006" xmlns:a14="http://schemas.microsoft.com/office/drawing/2010/main">
      <mc:Choice Requires="a14">
        <xdr:sp macro="" textlink="">
          <xdr:nvSpPr>
            <xdr:cNvPr id="13" name="CuadroTexto 12">
              <a:extLst>
                <a:ext uri="{FF2B5EF4-FFF2-40B4-BE49-F238E27FC236}">
                  <a16:creationId xmlns:a16="http://schemas.microsoft.com/office/drawing/2014/main" id="{00000000-0008-0000-1E00-00000D000000}"/>
                </a:ext>
              </a:extLst>
            </xdr:cNvPr>
            <xdr:cNvSpPr txBox="1"/>
          </xdr:nvSpPr>
          <xdr:spPr>
            <a:xfrm>
              <a:off x="5101715" y="2874337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100" b="1" i="1">
                      <a:latin typeface="Cambria Math" panose="02040503050406030204" pitchFamily="18" charset="0"/>
                    </a:rPr>
                    <m:t>𝑼</m:t>
                  </m:r>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a14:m>
              <a:r>
                <a:rPr lang="es-CO" sz="1100" b="1"/>
                <a:t> (k=2)</a:t>
              </a:r>
            </a:p>
          </xdr:txBody>
        </xdr:sp>
      </mc:Choice>
      <mc:Fallback xmlns="">
        <xdr:sp macro="" textlink="">
          <xdr:nvSpPr>
            <xdr:cNvPr id="13" name="CuadroTexto 12">
              <a:extLst>
                <a:ext uri="{FF2B5EF4-FFF2-40B4-BE49-F238E27FC236}">
                  <a16:creationId xmlns:a16="http://schemas.microsoft.com/office/drawing/2014/main" xmlns="" xmlns:a14="http://schemas.microsoft.com/office/drawing/2010/main" id="{00000000-0008-0000-1000-00000D000000}"/>
                </a:ext>
              </a:extLst>
            </xdr:cNvPr>
            <xdr:cNvSpPr txBox="1"/>
          </xdr:nvSpPr>
          <xdr:spPr>
            <a:xfrm>
              <a:off x="5101715" y="2874337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100" b="1" i="0">
                  <a:latin typeface="Cambria Math" panose="02040503050406030204" pitchFamily="18" charset="0"/>
                </a:rPr>
                <a:t>𝑼(</a:t>
              </a:r>
              <a:r>
                <a:rPr lang="es-CO" sz="1100" b="1" i="0">
                  <a:latin typeface="Cambria Math" panose="02040503050406030204" pitchFamily="18" charset="0"/>
                  <a:ea typeface="Cambria Math" panose="02040503050406030204" pitchFamily="18" charset="0"/>
                </a:rPr>
                <a:t>𝒎_𝒄𝒕)</a:t>
              </a:r>
              <a:r>
                <a:rPr lang="es-CO" sz="1100" b="1"/>
                <a:t> (k=2)</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14" name="CuadroTexto 13">
              <a:extLst>
                <a:ext uri="{FF2B5EF4-FFF2-40B4-BE49-F238E27FC236}">
                  <a16:creationId xmlns:a16="http://schemas.microsoft.com/office/drawing/2014/main" id="{00000000-0008-0000-1E00-00000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14" name="CuadroTexto 13">
              <a:extLst>
                <a:ext uri="{FF2B5EF4-FFF2-40B4-BE49-F238E27FC236}">
                  <a16:creationId xmlns:a16="http://schemas.microsoft.com/office/drawing/2014/main" xmlns="" xmlns:a14="http://schemas.microsoft.com/office/drawing/2010/main" id="{00000000-0008-0000-1000-00000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8</xdr:col>
      <xdr:colOff>541269</xdr:colOff>
      <xdr:row>52</xdr:row>
      <xdr:rowOff>78683</xdr:rowOff>
    </xdr:from>
    <xdr:ext cx="304571" cy="172227"/>
    <mc:AlternateContent xmlns:mc="http://schemas.openxmlformats.org/markup-compatibility/2006" xmlns:a14="http://schemas.microsoft.com/office/drawing/2010/main">
      <mc:Choice Requires="a14">
        <xdr:sp macro="" textlink="">
          <xdr:nvSpPr>
            <xdr:cNvPr id="15" name="CuadroTexto 14">
              <a:extLst>
                <a:ext uri="{FF2B5EF4-FFF2-40B4-BE49-F238E27FC236}">
                  <a16:creationId xmlns:a16="http://schemas.microsoft.com/office/drawing/2014/main" id="{00000000-0008-0000-1E00-00000F000000}"/>
                </a:ext>
              </a:extLst>
            </xdr:cNvPr>
            <xdr:cNvSpPr txBox="1"/>
          </xdr:nvSpPr>
          <xdr:spPr>
            <a:xfrm>
              <a:off x="9313794" y="18623858"/>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oMath>
                </m:oMathPara>
              </a14:m>
              <a:endParaRPr lang="es-CO" sz="1100" b="1"/>
            </a:p>
          </xdr:txBody>
        </xdr:sp>
      </mc:Choice>
      <mc:Fallback xmlns="">
        <xdr:sp macro="" textlink="">
          <xdr:nvSpPr>
            <xdr:cNvPr id="15" name="CuadroTexto 14">
              <a:extLst>
                <a:ext uri="{FF2B5EF4-FFF2-40B4-BE49-F238E27FC236}">
                  <a16:creationId xmlns:a16="http://schemas.microsoft.com/office/drawing/2014/main" xmlns="" xmlns:a14="http://schemas.microsoft.com/office/drawing/2010/main" id="{00000000-0008-0000-1000-00000F000000}"/>
                </a:ext>
              </a:extLst>
            </xdr:cNvPr>
            <xdr:cNvSpPr txBox="1"/>
          </xdr:nvSpPr>
          <xdr:spPr>
            <a:xfrm>
              <a:off x="9313794" y="18623858"/>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4</xdr:col>
      <xdr:colOff>155713</xdr:colOff>
      <xdr:row>39</xdr:row>
      <xdr:rowOff>106017</xdr:rowOff>
    </xdr:from>
    <xdr:ext cx="65" cy="172227"/>
    <xdr:sp macro="" textlink="">
      <xdr:nvSpPr>
        <xdr:cNvPr id="16" name="CuadroTexto 15">
          <a:extLst>
            <a:ext uri="{FF2B5EF4-FFF2-40B4-BE49-F238E27FC236}">
              <a16:creationId xmlns:a16="http://schemas.microsoft.com/office/drawing/2014/main" id="{00000000-0008-0000-1E00-000010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17" name="CuadroTexto 16">
              <a:extLst>
                <a:ext uri="{FF2B5EF4-FFF2-40B4-BE49-F238E27FC236}">
                  <a16:creationId xmlns:a16="http://schemas.microsoft.com/office/drawing/2014/main" id="{00000000-0008-0000-1E00-000011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7" name="CuadroTexto 16">
              <a:extLst>
                <a:ext uri="{FF2B5EF4-FFF2-40B4-BE49-F238E27FC236}">
                  <a16:creationId xmlns:a16="http://schemas.microsoft.com/office/drawing/2014/main" xmlns="" xmlns:a14="http://schemas.microsoft.com/office/drawing/2010/main" id="{00000000-0008-0000-1000-000011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18" name="CuadroTexto 17">
              <a:extLst>
                <a:ext uri="{FF2B5EF4-FFF2-40B4-BE49-F238E27FC236}">
                  <a16:creationId xmlns:a16="http://schemas.microsoft.com/office/drawing/2014/main" id="{00000000-0008-0000-1E00-000012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18" name="CuadroTexto 17">
              <a:extLst>
                <a:ext uri="{FF2B5EF4-FFF2-40B4-BE49-F238E27FC236}">
                  <a16:creationId xmlns:a16="http://schemas.microsoft.com/office/drawing/2014/main" xmlns="" xmlns:a14="http://schemas.microsoft.com/office/drawing/2010/main" id="{00000000-0008-0000-1000-000012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19" name="CuadroTexto 18">
              <a:extLst>
                <a:ext uri="{FF2B5EF4-FFF2-40B4-BE49-F238E27FC236}">
                  <a16:creationId xmlns:a16="http://schemas.microsoft.com/office/drawing/2014/main" id="{00000000-0008-0000-1E00-000013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9" name="CuadroTexto 18">
              <a:extLst>
                <a:ext uri="{FF2B5EF4-FFF2-40B4-BE49-F238E27FC236}">
                  <a16:creationId xmlns:a16="http://schemas.microsoft.com/office/drawing/2014/main" xmlns="" xmlns:a14="http://schemas.microsoft.com/office/drawing/2010/main" id="{00000000-0008-0000-1000-000013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0" name="CuadroTexto 19">
              <a:extLst>
                <a:ext uri="{FF2B5EF4-FFF2-40B4-BE49-F238E27FC236}">
                  <a16:creationId xmlns:a16="http://schemas.microsoft.com/office/drawing/2014/main" id="{00000000-0008-0000-1E00-000014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0" name="CuadroTexto 19">
              <a:extLst>
                <a:ext uri="{FF2B5EF4-FFF2-40B4-BE49-F238E27FC236}">
                  <a16:creationId xmlns:a16="http://schemas.microsoft.com/office/drawing/2014/main" xmlns="" xmlns:a14="http://schemas.microsoft.com/office/drawing/2010/main" id="{00000000-0008-0000-1000-000014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1" name="CuadroTexto 20">
          <a:extLst>
            <a:ext uri="{FF2B5EF4-FFF2-40B4-BE49-F238E27FC236}">
              <a16:creationId xmlns:a16="http://schemas.microsoft.com/office/drawing/2014/main" id="{00000000-0008-0000-1E00-000015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3</xdr:col>
      <xdr:colOff>236456</xdr:colOff>
      <xdr:row>73</xdr:row>
      <xdr:rowOff>141002</xdr:rowOff>
    </xdr:from>
    <xdr:ext cx="730521" cy="219163"/>
    <mc:AlternateContent xmlns:mc="http://schemas.openxmlformats.org/markup-compatibility/2006" xmlns:a14="http://schemas.microsoft.com/office/drawing/2010/main">
      <mc:Choice Requires="a14">
        <xdr:sp macro="" textlink="">
          <xdr:nvSpPr>
            <xdr:cNvPr id="22" name="CuadroTexto 21">
              <a:extLst>
                <a:ext uri="{FF2B5EF4-FFF2-40B4-BE49-F238E27FC236}">
                  <a16:creationId xmlns:a16="http://schemas.microsoft.com/office/drawing/2014/main" id="{00000000-0008-0000-1E00-000016000000}"/>
                </a:ext>
              </a:extLst>
            </xdr:cNvPr>
            <xdr:cNvSpPr txBox="1"/>
          </xdr:nvSpPr>
          <xdr:spPr>
            <a:xfrm>
              <a:off x="2922506" y="30059027"/>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m:t>
                  </m:r>
                  <m:sSub>
                    <m:sSubPr>
                      <m:ctrlPr>
                        <a:rPr lang="es-CO" sz="1400" b="1" i="1">
                          <a:latin typeface="Cambria Math" panose="02040503050406030204" pitchFamily="18" charset="0"/>
                          <a:ea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𝒎</m:t>
                      </m:r>
                    </m:e>
                    <m:sub>
                      <m:r>
                        <a:rPr lang="es-CO" sz="1400" b="1" i="1">
                          <a:latin typeface="Cambria Math" panose="02040503050406030204" pitchFamily="18" charset="0"/>
                          <a:ea typeface="Cambria Math" panose="02040503050406030204" pitchFamily="18" charset="0"/>
                        </a:rPr>
                        <m:t>𝒄</m:t>
                      </m:r>
                    </m:sub>
                  </m:sSub>
                </m:oMath>
              </a14:m>
              <a:r>
                <a:rPr lang="es-CO" sz="1400" b="1" i="1"/>
                <a:t> (mg</a:t>
              </a:r>
              <a:r>
                <a:rPr lang="es-CO" sz="1200" b="1" i="0"/>
                <a:t>)</a:t>
              </a:r>
            </a:p>
          </xdr:txBody>
        </xdr:sp>
      </mc:Choice>
      <mc:Fallback xmlns="">
        <xdr:sp macro="" textlink="">
          <xdr:nvSpPr>
            <xdr:cNvPr id="22" name="CuadroTexto 21">
              <a:extLst>
                <a:ext uri="{FF2B5EF4-FFF2-40B4-BE49-F238E27FC236}">
                  <a16:creationId xmlns:a16="http://schemas.microsoft.com/office/drawing/2014/main" xmlns="" xmlns:a14="http://schemas.microsoft.com/office/drawing/2010/main" id="{00000000-0008-0000-1000-000016000000}"/>
                </a:ext>
              </a:extLst>
            </xdr:cNvPr>
            <xdr:cNvSpPr txBox="1"/>
          </xdr:nvSpPr>
          <xdr:spPr>
            <a:xfrm>
              <a:off x="2922506" y="30059027"/>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400" b="1" i="0">
                  <a:latin typeface="Cambria Math" panose="02040503050406030204" pitchFamily="18" charset="0"/>
                  <a:ea typeface="Cambria Math" panose="02040503050406030204" pitchFamily="18" charset="0"/>
                </a:rPr>
                <a:t>∆𝒎_𝒄</a:t>
              </a:r>
              <a:r>
                <a:rPr lang="es-CO" sz="1400" b="1" i="1"/>
                <a:t> (mg</a:t>
              </a:r>
              <a:r>
                <a:rPr lang="es-CO" sz="1200" b="1" i="0"/>
                <a:t>)</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23" name="CuadroTexto 22">
              <a:extLst>
                <a:ext uri="{FF2B5EF4-FFF2-40B4-BE49-F238E27FC236}">
                  <a16:creationId xmlns:a16="http://schemas.microsoft.com/office/drawing/2014/main" id="{00000000-0008-0000-1E00-000017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23" name="CuadroTexto 22">
              <a:extLst>
                <a:ext uri="{FF2B5EF4-FFF2-40B4-BE49-F238E27FC236}">
                  <a16:creationId xmlns:a16="http://schemas.microsoft.com/office/drawing/2014/main" xmlns="" xmlns:a14="http://schemas.microsoft.com/office/drawing/2010/main" id="{00000000-0008-0000-1000-000023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24" name="CuadroTexto 23">
          <a:extLst>
            <a:ext uri="{FF2B5EF4-FFF2-40B4-BE49-F238E27FC236}">
              <a16:creationId xmlns:a16="http://schemas.microsoft.com/office/drawing/2014/main" id="{00000000-0008-0000-1E00-000018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25" name="CuadroTexto 24">
              <a:extLst>
                <a:ext uri="{FF2B5EF4-FFF2-40B4-BE49-F238E27FC236}">
                  <a16:creationId xmlns:a16="http://schemas.microsoft.com/office/drawing/2014/main" id="{00000000-0008-0000-1E00-000019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5" name="CuadroTexto 24">
              <a:extLst>
                <a:ext uri="{FF2B5EF4-FFF2-40B4-BE49-F238E27FC236}">
                  <a16:creationId xmlns:a16="http://schemas.microsoft.com/office/drawing/2014/main" xmlns="" xmlns:a14="http://schemas.microsoft.com/office/drawing/2010/main" id="{00000000-0008-0000-1000-000026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26" name="CuadroTexto 25">
              <a:extLst>
                <a:ext uri="{FF2B5EF4-FFF2-40B4-BE49-F238E27FC236}">
                  <a16:creationId xmlns:a16="http://schemas.microsoft.com/office/drawing/2014/main" id="{00000000-0008-0000-1E00-00001A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6" name="CuadroTexto 25">
              <a:extLst>
                <a:ext uri="{FF2B5EF4-FFF2-40B4-BE49-F238E27FC236}">
                  <a16:creationId xmlns:a16="http://schemas.microsoft.com/office/drawing/2014/main" xmlns="" xmlns:a14="http://schemas.microsoft.com/office/drawing/2010/main" id="{00000000-0008-0000-1000-000027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27" name="CuadroTexto 26">
              <a:extLst>
                <a:ext uri="{FF2B5EF4-FFF2-40B4-BE49-F238E27FC236}">
                  <a16:creationId xmlns:a16="http://schemas.microsoft.com/office/drawing/2014/main" id="{00000000-0008-0000-1E00-00001B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7" name="CuadroTexto 26">
              <a:extLst>
                <a:ext uri="{FF2B5EF4-FFF2-40B4-BE49-F238E27FC236}">
                  <a16:creationId xmlns:a16="http://schemas.microsoft.com/office/drawing/2014/main" xmlns="" xmlns:a14="http://schemas.microsoft.com/office/drawing/2010/main" id="{00000000-0008-0000-1000-000028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8" name="CuadroTexto 27">
              <a:extLst>
                <a:ext uri="{FF2B5EF4-FFF2-40B4-BE49-F238E27FC236}">
                  <a16:creationId xmlns:a16="http://schemas.microsoft.com/office/drawing/2014/main" id="{00000000-0008-0000-1E00-00001C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8" name="CuadroTexto 27">
              <a:extLst>
                <a:ext uri="{FF2B5EF4-FFF2-40B4-BE49-F238E27FC236}">
                  <a16:creationId xmlns:a16="http://schemas.microsoft.com/office/drawing/2014/main" xmlns="" xmlns:a14="http://schemas.microsoft.com/office/drawing/2010/main" id="{00000000-0008-0000-1000-000029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9" name="CuadroTexto 28">
          <a:extLst>
            <a:ext uri="{FF2B5EF4-FFF2-40B4-BE49-F238E27FC236}">
              <a16:creationId xmlns:a16="http://schemas.microsoft.com/office/drawing/2014/main" id="{00000000-0008-0000-1E00-00001D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30" name="CuadroTexto 29">
              <a:extLst>
                <a:ext uri="{FF2B5EF4-FFF2-40B4-BE49-F238E27FC236}">
                  <a16:creationId xmlns:a16="http://schemas.microsoft.com/office/drawing/2014/main" id="{00000000-0008-0000-1E00-00001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30" name="CuadroTexto 29">
              <a:extLst>
                <a:ext uri="{FF2B5EF4-FFF2-40B4-BE49-F238E27FC236}">
                  <a16:creationId xmlns:a16="http://schemas.microsoft.com/office/drawing/2014/main" xmlns="" xmlns:a14="http://schemas.microsoft.com/office/drawing/2010/main" id="{00000000-0008-0000-1000-000038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31" name="CuadroTexto 30">
          <a:extLst>
            <a:ext uri="{FF2B5EF4-FFF2-40B4-BE49-F238E27FC236}">
              <a16:creationId xmlns:a16="http://schemas.microsoft.com/office/drawing/2014/main" id="{00000000-0008-0000-1E00-00001F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32" name="CuadroTexto 31">
              <a:extLst>
                <a:ext uri="{FF2B5EF4-FFF2-40B4-BE49-F238E27FC236}">
                  <a16:creationId xmlns:a16="http://schemas.microsoft.com/office/drawing/2014/main" id="{00000000-0008-0000-1E00-000020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2" name="CuadroTexto 31">
              <a:extLst>
                <a:ext uri="{FF2B5EF4-FFF2-40B4-BE49-F238E27FC236}">
                  <a16:creationId xmlns:a16="http://schemas.microsoft.com/office/drawing/2014/main" xmlns="" xmlns:a14="http://schemas.microsoft.com/office/drawing/2010/main" id="{00000000-0008-0000-1000-00003B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33" name="CuadroTexto 32">
              <a:extLst>
                <a:ext uri="{FF2B5EF4-FFF2-40B4-BE49-F238E27FC236}">
                  <a16:creationId xmlns:a16="http://schemas.microsoft.com/office/drawing/2014/main" id="{00000000-0008-0000-1E00-000021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3" name="CuadroTexto 32">
              <a:extLst>
                <a:ext uri="{FF2B5EF4-FFF2-40B4-BE49-F238E27FC236}">
                  <a16:creationId xmlns:a16="http://schemas.microsoft.com/office/drawing/2014/main" xmlns="" xmlns:a14="http://schemas.microsoft.com/office/drawing/2010/main" id="{00000000-0008-0000-1000-00003C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34" name="CuadroTexto 33">
              <a:extLst>
                <a:ext uri="{FF2B5EF4-FFF2-40B4-BE49-F238E27FC236}">
                  <a16:creationId xmlns:a16="http://schemas.microsoft.com/office/drawing/2014/main" id="{00000000-0008-0000-1E00-000022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4" name="CuadroTexto 33">
              <a:extLst>
                <a:ext uri="{FF2B5EF4-FFF2-40B4-BE49-F238E27FC236}">
                  <a16:creationId xmlns:a16="http://schemas.microsoft.com/office/drawing/2014/main" xmlns="" xmlns:a14="http://schemas.microsoft.com/office/drawing/2010/main" id="{00000000-0008-0000-1000-00003D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35" name="CuadroTexto 34">
              <a:extLst>
                <a:ext uri="{FF2B5EF4-FFF2-40B4-BE49-F238E27FC236}">
                  <a16:creationId xmlns:a16="http://schemas.microsoft.com/office/drawing/2014/main" id="{00000000-0008-0000-1E00-000023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5" name="CuadroTexto 34">
              <a:extLst>
                <a:ext uri="{FF2B5EF4-FFF2-40B4-BE49-F238E27FC236}">
                  <a16:creationId xmlns:a16="http://schemas.microsoft.com/office/drawing/2014/main" xmlns="" xmlns:a14="http://schemas.microsoft.com/office/drawing/2010/main" id="{00000000-0008-0000-1000-00003E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36" name="CuadroTexto 35">
          <a:extLst>
            <a:ext uri="{FF2B5EF4-FFF2-40B4-BE49-F238E27FC236}">
              <a16:creationId xmlns:a16="http://schemas.microsoft.com/office/drawing/2014/main" id="{00000000-0008-0000-1E00-000024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11</xdr:col>
      <xdr:colOff>628650</xdr:colOff>
      <xdr:row>61</xdr:row>
      <xdr:rowOff>0</xdr:rowOff>
    </xdr:from>
    <xdr:ext cx="65" cy="172227"/>
    <xdr:sp macro="" textlink="">
      <xdr:nvSpPr>
        <xdr:cNvPr id="38" name="CuadroTexto 37">
          <a:extLst>
            <a:ext uri="{FF2B5EF4-FFF2-40B4-BE49-F238E27FC236}">
              <a16:creationId xmlns:a16="http://schemas.microsoft.com/office/drawing/2014/main" id="{00000000-0008-0000-1E00-000026000000}"/>
            </a:ext>
          </a:extLst>
        </xdr:cNvPr>
        <xdr:cNvSpPr txBox="1"/>
      </xdr:nvSpPr>
      <xdr:spPr>
        <a:xfrm>
          <a:off x="12001500" y="2272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5</xdr:col>
      <xdr:colOff>539750</xdr:colOff>
      <xdr:row>73</xdr:row>
      <xdr:rowOff>158749</xdr:rowOff>
    </xdr:from>
    <xdr:ext cx="984250" cy="210507"/>
    <mc:AlternateContent xmlns:mc="http://schemas.openxmlformats.org/markup-compatibility/2006" xmlns:a14="http://schemas.microsoft.com/office/drawing/2010/main">
      <mc:Choice Requires="a14">
        <xdr:sp macro="" textlink="">
          <xdr:nvSpPr>
            <xdr:cNvPr id="39" name="CuadroTexto 38">
              <a:extLst>
                <a:ext uri="{FF2B5EF4-FFF2-40B4-BE49-F238E27FC236}">
                  <a16:creationId xmlns:a16="http://schemas.microsoft.com/office/drawing/2014/main" id="{00000000-0008-0000-1E00-000027000000}"/>
                </a:ext>
              </a:extLst>
            </xdr:cNvPr>
            <xdr:cNvSpPr txBox="1"/>
          </xdr:nvSpPr>
          <xdr:spPr>
            <a:xfrm>
              <a:off x="5397500" y="30076774"/>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𝒆</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39" name="CuadroTexto 38">
              <a:extLst>
                <a:ext uri="{FF2B5EF4-FFF2-40B4-BE49-F238E27FC236}">
                  <a16:creationId xmlns:a16="http://schemas.microsoft.com/office/drawing/2014/main" xmlns="" xmlns:a14="http://schemas.microsoft.com/office/drawing/2010/main" id="{00000000-0008-0000-1000-000016000000}"/>
                </a:ext>
              </a:extLst>
            </xdr:cNvPr>
            <xdr:cNvSpPr txBox="1"/>
          </xdr:nvSpPr>
          <xdr:spPr>
            <a:xfrm>
              <a:off x="5397500" y="30076774"/>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𝒆 𝒄𝒕</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4</xdr:col>
      <xdr:colOff>52917</xdr:colOff>
      <xdr:row>73</xdr:row>
      <xdr:rowOff>148167</xdr:rowOff>
    </xdr:from>
    <xdr:ext cx="984250" cy="210507"/>
    <mc:AlternateContent xmlns:mc="http://schemas.openxmlformats.org/markup-compatibility/2006" xmlns:a14="http://schemas.microsoft.com/office/drawing/2010/main">
      <mc:Choice Requires="a14">
        <xdr:sp macro="" textlink="">
          <xdr:nvSpPr>
            <xdr:cNvPr id="40" name="CuadroTexto 39">
              <a:extLst>
                <a:ext uri="{FF2B5EF4-FFF2-40B4-BE49-F238E27FC236}">
                  <a16:creationId xmlns:a16="http://schemas.microsoft.com/office/drawing/2014/main" id="{00000000-0008-0000-1E00-000028000000}"/>
                </a:ext>
              </a:extLst>
            </xdr:cNvPr>
            <xdr:cNvSpPr txBox="1"/>
          </xdr:nvSpPr>
          <xdr:spPr>
            <a:xfrm>
              <a:off x="3872442" y="30066192"/>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0" name="CuadroTexto 39">
              <a:extLst>
                <a:ext uri="{FF2B5EF4-FFF2-40B4-BE49-F238E27FC236}">
                  <a16:creationId xmlns:a16="http://schemas.microsoft.com/office/drawing/2014/main" xmlns="" xmlns:a14="http://schemas.microsoft.com/office/drawing/2010/main" id="{00000000-0008-0000-1000-000016000000}"/>
                </a:ext>
              </a:extLst>
            </xdr:cNvPr>
            <xdr:cNvSpPr txBox="1"/>
          </xdr:nvSpPr>
          <xdr:spPr>
            <a:xfrm>
              <a:off x="3872442" y="30066192"/>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𝒄𝒕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1</xdr:col>
      <xdr:colOff>35718</xdr:colOff>
      <xdr:row>73</xdr:row>
      <xdr:rowOff>95251</xdr:rowOff>
    </xdr:from>
    <xdr:ext cx="713052" cy="210507"/>
    <mc:AlternateContent xmlns:mc="http://schemas.openxmlformats.org/markup-compatibility/2006" xmlns:a14="http://schemas.microsoft.com/office/drawing/2010/main">
      <mc:Choice Requires="a14">
        <xdr:sp macro="" textlink="">
          <xdr:nvSpPr>
            <xdr:cNvPr id="42" name="CuadroTexto 41">
              <a:extLst>
                <a:ext uri="{FF2B5EF4-FFF2-40B4-BE49-F238E27FC236}">
                  <a16:creationId xmlns:a16="http://schemas.microsoft.com/office/drawing/2014/main" id="{00000000-0008-0000-1E00-00002A000000}"/>
                </a:ext>
              </a:extLst>
            </xdr:cNvPr>
            <xdr:cNvSpPr txBox="1"/>
          </xdr:nvSpPr>
          <xdr:spPr>
            <a:xfrm>
              <a:off x="1012031" y="30206157"/>
              <a:ext cx="713052"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𝑵𝒓</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2" name="CuadroTexto 41">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1012031" y="30206157"/>
              <a:ext cx="713052"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𝑵𝒓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8</xdr:col>
      <xdr:colOff>624417</xdr:colOff>
      <xdr:row>73</xdr:row>
      <xdr:rowOff>285751</xdr:rowOff>
    </xdr:from>
    <xdr:ext cx="1524000" cy="210507"/>
    <mc:AlternateContent xmlns:mc="http://schemas.openxmlformats.org/markup-compatibility/2006" xmlns:a14="http://schemas.microsoft.com/office/drawing/2010/main">
      <mc:Choice Requires="a14">
        <xdr:sp macro="" textlink="">
          <xdr:nvSpPr>
            <xdr:cNvPr id="43" name="CuadroTexto 42">
              <a:extLst>
                <a:ext uri="{FF2B5EF4-FFF2-40B4-BE49-F238E27FC236}">
                  <a16:creationId xmlns:a16="http://schemas.microsoft.com/office/drawing/2014/main" id="{00000000-0008-0000-1E00-00002B000000}"/>
                </a:ext>
              </a:extLst>
            </xdr:cNvPr>
            <xdr:cNvSpPr txBox="1"/>
          </xdr:nvSpPr>
          <xdr:spPr>
            <a:xfrm>
              <a:off x="9396942" y="30203776"/>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𝑼</m:t>
                  </m:r>
                  <m:r>
                    <a:rPr lang="es-CO" sz="1400" b="1" i="1">
                      <a:latin typeface="Cambria Math" panose="02040503050406030204" pitchFamily="18" charset="0"/>
                      <a:ea typeface="Cambria Math" panose="02040503050406030204" pitchFamily="18" charset="0"/>
                    </a:rPr>
                    <m:t> </m:t>
                  </m:r>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 </m:t>
                  </m:r>
                  <m:r>
                    <a:rPr lang="es-CO" sz="1400" b="1" i="1">
                      <a:latin typeface="Cambria Math" panose="02040503050406030204" pitchFamily="18" charset="0"/>
                      <a:ea typeface="Cambria Math" panose="02040503050406030204" pitchFamily="18" charset="0"/>
                    </a:rPr>
                    <m:t>𝒌</m:t>
                  </m:r>
                  <m:r>
                    <a:rPr lang="es-CO" sz="1400" b="1" i="1">
                      <a:latin typeface="Cambria Math" panose="02040503050406030204" pitchFamily="18" charset="0"/>
                      <a:ea typeface="Cambria Math" panose="02040503050406030204" pitchFamily="18" charset="0"/>
                    </a:rPr>
                    <m:t>=</m:t>
                  </m:r>
                  <m:r>
                    <a:rPr lang="es-CO" sz="1400" b="1" i="1">
                      <a:latin typeface="Cambria Math" panose="02040503050406030204" pitchFamily="18" charset="0"/>
                      <a:ea typeface="Cambria Math" panose="02040503050406030204" pitchFamily="18" charset="0"/>
                    </a:rPr>
                    <m:t>𝟐</m:t>
                  </m:r>
                </m:oMath>
              </a14:m>
              <a:r>
                <a:rPr lang="es-CO" sz="1400" b="1" i="1">
                  <a:latin typeface="Arial" panose="020B0604020202020204" pitchFamily="34" charset="0"/>
                  <a:cs typeface="Arial" panose="020B0604020202020204" pitchFamily="34" charset="0"/>
                </a:rPr>
                <a:t>)</a:t>
              </a:r>
            </a:p>
          </xdr:txBody>
        </xdr:sp>
      </mc:Choice>
      <mc:Fallback xmlns="">
        <xdr:sp macro="" textlink="">
          <xdr:nvSpPr>
            <xdr:cNvPr id="43" name="CuadroTexto 42">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9396942" y="30203776"/>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0">
                  <a:latin typeface="Cambria Math" panose="02040503050406030204" pitchFamily="18" charset="0"/>
                  <a:ea typeface="Cambria Math" panose="02040503050406030204" pitchFamily="18" charset="0"/>
                </a:rPr>
                <a:t>𝑼 </a:t>
              </a:r>
              <a:r>
                <a:rPr lang="es-CO" sz="1400" b="1" i="0">
                  <a:latin typeface="Cambria Math"/>
                  <a:ea typeface="Cambria Math" panose="02040503050406030204" pitchFamily="18" charset="0"/>
                </a:rPr>
                <a:t>(</a:t>
              </a:r>
              <a:r>
                <a:rPr lang="es-CO" sz="1400" b="1" i="0">
                  <a:latin typeface="Cambria Math" panose="02040503050406030204" pitchFamily="18" charset="0"/>
                  <a:ea typeface="Cambria Math" panose="02040503050406030204" pitchFamily="18" charset="0"/>
                </a:rPr>
                <a:t> 𝒎 𝒄𝒕 </a:t>
              </a:r>
              <a:r>
                <a:rPr lang="es-CO" sz="1400" b="1" i="0">
                  <a:latin typeface="Cambria Math"/>
                  <a:ea typeface="Cambria Math" panose="02040503050406030204" pitchFamily="18" charset="0"/>
                </a:rPr>
                <a:t>)</a:t>
              </a:r>
              <a:r>
                <a:rPr lang="es-CO" sz="1400" b="1" i="0">
                  <a:latin typeface="Cambria Math" panose="02040503050406030204" pitchFamily="18" charset="0"/>
                  <a:ea typeface="Cambria Math" panose="02040503050406030204" pitchFamily="18" charset="0"/>
                </a:rPr>
                <a:t>  ( 𝒌=𝟐</a:t>
              </a:r>
              <a:r>
                <a:rPr lang="es-CO" sz="1400" b="1" i="1">
                  <a:latin typeface="Arial" panose="020B0604020202020204" pitchFamily="34" charset="0"/>
                  <a:cs typeface="Arial" panose="020B0604020202020204" pitchFamily="34" charset="0"/>
                </a:rPr>
                <a:t>)</a:t>
              </a:r>
            </a:p>
          </xdr:txBody>
        </xdr:sp>
      </mc:Fallback>
    </mc:AlternateContent>
    <xdr:clientData/>
  </xdr:oneCellAnchor>
  <xdr:oneCellAnchor>
    <xdr:from>
      <xdr:col>9</xdr:col>
      <xdr:colOff>603252</xdr:colOff>
      <xdr:row>74</xdr:row>
      <xdr:rowOff>84667</xdr:rowOff>
    </xdr:from>
    <xdr:ext cx="465666" cy="219163"/>
    <xdr:sp macro="" textlink="">
      <xdr:nvSpPr>
        <xdr:cNvPr id="44" name="CuadroTexto 43">
          <a:extLst>
            <a:ext uri="{FF2B5EF4-FFF2-40B4-BE49-F238E27FC236}">
              <a16:creationId xmlns:a16="http://schemas.microsoft.com/office/drawing/2014/main" id="{00000000-0008-0000-1E00-00002C000000}"/>
            </a:ext>
          </a:extLst>
        </xdr:cNvPr>
        <xdr:cNvSpPr txBox="1"/>
      </xdr:nvSpPr>
      <xdr:spPr>
        <a:xfrm>
          <a:off x="10299702" y="30517042"/>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9</xdr:col>
      <xdr:colOff>571499</xdr:colOff>
      <xdr:row>75</xdr:row>
      <xdr:rowOff>116416</xdr:rowOff>
    </xdr:from>
    <xdr:ext cx="359835" cy="219163"/>
    <xdr:sp macro="" textlink="">
      <xdr:nvSpPr>
        <xdr:cNvPr id="45" name="CuadroTexto 44">
          <a:extLst>
            <a:ext uri="{FF2B5EF4-FFF2-40B4-BE49-F238E27FC236}">
              <a16:creationId xmlns:a16="http://schemas.microsoft.com/office/drawing/2014/main" id="{00000000-0008-0000-1E00-00002D000000}"/>
            </a:ext>
          </a:extLst>
        </xdr:cNvPr>
        <xdr:cNvSpPr txBox="1"/>
      </xdr:nvSpPr>
      <xdr:spPr>
        <a:xfrm>
          <a:off x="10267949" y="30986941"/>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6</xdr:col>
      <xdr:colOff>275167</xdr:colOff>
      <xdr:row>74</xdr:row>
      <xdr:rowOff>148166</xdr:rowOff>
    </xdr:from>
    <xdr:ext cx="465666" cy="219163"/>
    <xdr:sp macro="" textlink="">
      <xdr:nvSpPr>
        <xdr:cNvPr id="46" name="CuadroTexto 45">
          <a:extLst>
            <a:ext uri="{FF2B5EF4-FFF2-40B4-BE49-F238E27FC236}">
              <a16:creationId xmlns:a16="http://schemas.microsoft.com/office/drawing/2014/main" id="{00000000-0008-0000-1E00-00002E000000}"/>
            </a:ext>
          </a:extLst>
        </xdr:cNvPr>
        <xdr:cNvSpPr txBox="1"/>
      </xdr:nvSpPr>
      <xdr:spPr>
        <a:xfrm>
          <a:off x="6371167" y="30580541"/>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6</xdr:col>
      <xdr:colOff>328083</xdr:colOff>
      <xdr:row>75</xdr:row>
      <xdr:rowOff>84667</xdr:rowOff>
    </xdr:from>
    <xdr:ext cx="359835" cy="219163"/>
    <xdr:sp macro="" textlink="">
      <xdr:nvSpPr>
        <xdr:cNvPr id="47" name="CuadroTexto 46">
          <a:extLst>
            <a:ext uri="{FF2B5EF4-FFF2-40B4-BE49-F238E27FC236}">
              <a16:creationId xmlns:a16="http://schemas.microsoft.com/office/drawing/2014/main" id="{00000000-0008-0000-1E00-00002F000000}"/>
            </a:ext>
          </a:extLst>
        </xdr:cNvPr>
        <xdr:cNvSpPr txBox="1"/>
      </xdr:nvSpPr>
      <xdr:spPr>
        <a:xfrm>
          <a:off x="6424083" y="30955192"/>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3</xdr:col>
      <xdr:colOff>560916</xdr:colOff>
      <xdr:row>72</xdr:row>
      <xdr:rowOff>74084</xdr:rowOff>
    </xdr:from>
    <xdr:ext cx="1524000" cy="210507"/>
    <mc:AlternateContent xmlns:mc="http://schemas.openxmlformats.org/markup-compatibility/2006" xmlns:a14="http://schemas.microsoft.com/office/drawing/2010/main">
      <mc:Choice Requires="a14">
        <xdr:sp macro="" textlink="">
          <xdr:nvSpPr>
            <xdr:cNvPr id="48" name="CuadroTexto 47">
              <a:extLst>
                <a:ext uri="{FF2B5EF4-FFF2-40B4-BE49-F238E27FC236}">
                  <a16:creationId xmlns:a16="http://schemas.microsoft.com/office/drawing/2014/main" id="{00000000-0008-0000-1E00-000030000000}"/>
                </a:ext>
              </a:extLst>
            </xdr:cNvPr>
            <xdr:cNvSpPr txBox="1"/>
          </xdr:nvSpPr>
          <xdr:spPr>
            <a:xfrm>
              <a:off x="3246966" y="29553959"/>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m:t>
                    </m:r>
                  </m:oMath>
                </m:oMathPara>
              </a14:m>
              <a:endParaRPr lang="es-CO" sz="1400" b="1" i="1">
                <a:latin typeface="Arial" panose="020B0604020202020204" pitchFamily="34" charset="0"/>
                <a:cs typeface="Arial" panose="020B0604020202020204" pitchFamily="34" charset="0"/>
              </a:endParaRPr>
            </a:p>
          </xdr:txBody>
        </xdr:sp>
      </mc:Choice>
      <mc:Fallback xmlns="">
        <xdr:sp macro="" textlink="">
          <xdr:nvSpPr>
            <xdr:cNvPr id="48" name="CuadroTexto 47">
              <a:extLst>
                <a:ext uri="{FF2B5EF4-FFF2-40B4-BE49-F238E27FC236}">
                  <a16:creationId xmlns:a16="http://schemas.microsoft.com/office/drawing/2014/main" xmlns="" xmlns:a14="http://schemas.microsoft.com/office/drawing/2010/main" id="{00000000-0008-0000-1000-000016000000}"/>
                </a:ext>
              </a:extLst>
            </xdr:cNvPr>
            <xdr:cNvSpPr txBox="1"/>
          </xdr:nvSpPr>
          <xdr:spPr>
            <a:xfrm>
              <a:off x="3246966" y="29553959"/>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 𝒎 𝒄𝒕 )   </a:t>
              </a:r>
              <a:endParaRPr lang="es-CO" sz="1400" b="1" i="1">
                <a:latin typeface="Arial" panose="020B0604020202020204" pitchFamily="34" charset="0"/>
                <a:cs typeface="Arial" panose="020B0604020202020204" pitchFamily="34" charset="0"/>
              </a:endParaRPr>
            </a:p>
          </xdr:txBody>
        </xdr:sp>
      </mc:Fallback>
    </mc:AlternateContent>
    <xdr:clientData/>
  </xdr:oneCellAnchor>
  <xdr:oneCellAnchor>
    <xdr:from>
      <xdr:col>7</xdr:col>
      <xdr:colOff>411956</xdr:colOff>
      <xdr:row>71</xdr:row>
      <xdr:rowOff>406003</xdr:rowOff>
    </xdr:from>
    <xdr:ext cx="65" cy="172227"/>
    <xdr:sp macro="" textlink="">
      <xdr:nvSpPr>
        <xdr:cNvPr id="49" name="CuadroTexto 48">
          <a:extLst>
            <a:ext uri="{FF2B5EF4-FFF2-40B4-BE49-F238E27FC236}">
              <a16:creationId xmlns:a16="http://schemas.microsoft.com/office/drawing/2014/main" id="{00000000-0008-0000-1E00-000031000000}"/>
            </a:ext>
          </a:extLst>
        </xdr:cNvPr>
        <xdr:cNvSpPr txBox="1"/>
      </xdr:nvSpPr>
      <xdr:spPr>
        <a:xfrm>
          <a:off x="7555706" y="29457253"/>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51" name="CuadroTexto 50">
              <a:extLst>
                <a:ext uri="{FF2B5EF4-FFF2-40B4-BE49-F238E27FC236}">
                  <a16:creationId xmlns:a16="http://schemas.microsoft.com/office/drawing/2014/main" id="{00000000-0008-0000-1E00-000033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51" name="CuadroTexto 50">
              <a:extLst>
                <a:ext uri="{FF2B5EF4-FFF2-40B4-BE49-F238E27FC236}">
                  <a16:creationId xmlns:a16="http://schemas.microsoft.com/office/drawing/2014/main" id="{83C1FD6D-58CD-4BB9-AE4F-67E6B9A0F0B6}"/>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52" name="CuadroTexto 51">
              <a:extLst>
                <a:ext uri="{FF2B5EF4-FFF2-40B4-BE49-F238E27FC236}">
                  <a16:creationId xmlns:a16="http://schemas.microsoft.com/office/drawing/2014/main" id="{00000000-0008-0000-1E00-000034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52" name="CuadroTexto 51">
              <a:extLst>
                <a:ext uri="{FF2B5EF4-FFF2-40B4-BE49-F238E27FC236}">
                  <a16:creationId xmlns:a16="http://schemas.microsoft.com/office/drawing/2014/main" id="{D7CAF4EF-0F3E-47C5-9DBB-A6E3DE4448D1}"/>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twoCellAnchor>
    <xdr:from>
      <xdr:col>7</xdr:col>
      <xdr:colOff>849312</xdr:colOff>
      <xdr:row>62</xdr:row>
      <xdr:rowOff>206375</xdr:rowOff>
    </xdr:from>
    <xdr:to>
      <xdr:col>11</xdr:col>
      <xdr:colOff>785811</xdr:colOff>
      <xdr:row>64</xdr:row>
      <xdr:rowOff>476250</xdr:rowOff>
    </xdr:to>
    <xdr:graphicFrame macro="">
      <xdr:nvGraphicFramePr>
        <xdr:cNvPr id="53" name="Gráfico 52">
          <a:extLst>
            <a:ext uri="{FF2B5EF4-FFF2-40B4-BE49-F238E27FC236}">
              <a16:creationId xmlns:a16="http://schemas.microsoft.com/office/drawing/2014/main" id="{00000000-0008-0000-1E00-00003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238125</xdr:colOff>
      <xdr:row>0</xdr:row>
      <xdr:rowOff>59531</xdr:rowOff>
    </xdr:from>
    <xdr:to>
      <xdr:col>1</xdr:col>
      <xdr:colOff>633531</xdr:colOff>
      <xdr:row>0</xdr:row>
      <xdr:rowOff>699666</xdr:rowOff>
    </xdr:to>
    <xdr:pic>
      <xdr:nvPicPr>
        <xdr:cNvPr id="37" name="36 Imagen">
          <a:extLst>
            <a:ext uri="{FF2B5EF4-FFF2-40B4-BE49-F238E27FC236}">
              <a16:creationId xmlns:a16="http://schemas.microsoft.com/office/drawing/2014/main" id="{00000000-0008-0000-1E00-000025000000}"/>
            </a:ext>
          </a:extLst>
        </xdr:cNvPr>
        <xdr:cNvPicPr>
          <a:picLocks noChangeAspect="1"/>
        </xdr:cNvPicPr>
      </xdr:nvPicPr>
      <xdr:blipFill>
        <a:blip xmlns:r="http://schemas.openxmlformats.org/officeDocument/2006/relationships" r:embed="rId2"/>
        <a:stretch>
          <a:fillRect/>
        </a:stretch>
      </xdr:blipFill>
      <xdr:spPr>
        <a:xfrm>
          <a:off x="238125" y="59531"/>
          <a:ext cx="1371719" cy="640135"/>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oneCellAnchor>
    <xdr:from>
      <xdr:col>1</xdr:col>
      <xdr:colOff>285935</xdr:colOff>
      <xdr:row>42</xdr:row>
      <xdr:rowOff>169517</xdr:rowOff>
    </xdr:from>
    <xdr:ext cx="177356" cy="176202"/>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00000000-0008-0000-1F00-000003000000}"/>
                </a:ext>
              </a:extLst>
            </xdr:cNvPr>
            <xdr:cNvSpPr txBox="1"/>
          </xdr:nvSpPr>
          <xdr:spPr>
            <a:xfrm>
              <a:off x="1124135" y="14980892"/>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bg1"/>
                            </a:solidFill>
                            <a:latin typeface="Cambria Math" panose="02040503050406030204" pitchFamily="18" charset="0"/>
                          </a:rPr>
                        </m:ctrlPr>
                      </m:accPr>
                      <m:e>
                        <m:r>
                          <a:rPr lang="es-CO" sz="1100" b="1" i="1">
                            <a:solidFill>
                              <a:schemeClr val="bg1"/>
                            </a:solidFill>
                            <a:latin typeface="Cambria Math" panose="02040503050406030204" pitchFamily="18" charset="0"/>
                            <a:ea typeface="Cambria Math" panose="02040503050406030204" pitchFamily="18" charset="0"/>
                          </a:rPr>
                          <m:t>∆</m:t>
                        </m:r>
                        <m:r>
                          <a:rPr lang="es-CO" sz="1100" b="1" i="1">
                            <a:solidFill>
                              <a:schemeClr val="bg1"/>
                            </a:solidFill>
                            <a:latin typeface="Cambria Math" panose="02040503050406030204" pitchFamily="18" charset="0"/>
                            <a:ea typeface="Cambria Math" panose="02040503050406030204" pitchFamily="18" charset="0"/>
                          </a:rPr>
                          <m:t>𝑰</m:t>
                        </m:r>
                      </m:e>
                    </m:acc>
                  </m:oMath>
                </m:oMathPara>
              </a14:m>
              <a:endParaRPr lang="es-CO" sz="1100" b="1">
                <a:solidFill>
                  <a:schemeClr val="bg1"/>
                </a:solidFill>
              </a:endParaRPr>
            </a:p>
          </xdr:txBody>
        </xdr:sp>
      </mc:Choice>
      <mc:Fallback xmlns="">
        <xdr:sp macro="" textlink="">
          <xdr:nvSpPr>
            <xdr:cNvPr id="3" name="CuadroTexto 2">
              <a:extLst>
                <a:ext uri="{FF2B5EF4-FFF2-40B4-BE49-F238E27FC236}">
                  <a16:creationId xmlns:a16="http://schemas.microsoft.com/office/drawing/2014/main" xmlns="" xmlns:a14="http://schemas.microsoft.com/office/drawing/2010/main" id="{00000000-0008-0000-1000-000003000000}"/>
                </a:ext>
              </a:extLst>
            </xdr:cNvPr>
            <xdr:cNvSpPr txBox="1"/>
          </xdr:nvSpPr>
          <xdr:spPr>
            <a:xfrm>
              <a:off x="1124135" y="14980892"/>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bg1"/>
                  </a:solidFill>
                  <a:latin typeface="Cambria Math" panose="02040503050406030204" pitchFamily="18" charset="0"/>
                </a:rPr>
                <a:t>(</a:t>
              </a:r>
              <a:r>
                <a:rPr lang="es-CO" sz="1100" b="1" i="0">
                  <a:solidFill>
                    <a:schemeClr val="bg1"/>
                  </a:solidFill>
                  <a:latin typeface="Cambria Math" panose="02040503050406030204" pitchFamily="18" charset="0"/>
                  <a:ea typeface="Cambria Math" panose="02040503050406030204" pitchFamily="18" charset="0"/>
                </a:rPr>
                <a:t>∆𝑰) ̅</a:t>
              </a:r>
              <a:endParaRPr lang="es-CO" sz="1100" b="1">
                <a:solidFill>
                  <a:schemeClr val="bg1"/>
                </a:solidFill>
              </a:endParaRPr>
            </a:p>
          </xdr:txBody>
        </xdr:sp>
      </mc:Fallback>
    </mc:AlternateContent>
    <xdr:clientData/>
  </xdr:oneCellAnchor>
  <xdr:oneCellAnchor>
    <xdr:from>
      <xdr:col>1</xdr:col>
      <xdr:colOff>136732</xdr:colOff>
      <xdr:row>58</xdr:row>
      <xdr:rowOff>253032</xdr:rowOff>
    </xdr:from>
    <xdr:ext cx="599716" cy="172227"/>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id="{00000000-0008-0000-1F00-000004000000}"/>
                </a:ext>
              </a:extLst>
            </xdr:cNvPr>
            <xdr:cNvSpPr txBox="1"/>
          </xdr:nvSpPr>
          <xdr:spPr>
            <a:xfrm>
              <a:off x="974932" y="20779407"/>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𝒘</m:t>
                        </m:r>
                      </m:sub>
                    </m:sSub>
                    <m:r>
                      <a:rPr lang="es-CO" sz="1100" b="1" i="1">
                        <a:latin typeface="Cambria Math" panose="02040503050406030204" pitchFamily="18" charset="0"/>
                      </a:rPr>
                      <m:t>(</m:t>
                    </m:r>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4" name="CuadroTexto 3">
              <a:extLst>
                <a:ext uri="{FF2B5EF4-FFF2-40B4-BE49-F238E27FC236}">
                  <a16:creationId xmlns:a16="http://schemas.microsoft.com/office/drawing/2014/main" xmlns="" xmlns:a14="http://schemas.microsoft.com/office/drawing/2010/main" id="{00000000-0008-0000-1000-000004000000}"/>
                </a:ext>
              </a:extLst>
            </xdr:cNvPr>
            <xdr:cNvSpPr txBox="1"/>
          </xdr:nvSpPr>
          <xdr:spPr>
            <a:xfrm>
              <a:off x="974932" y="20779407"/>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𝒖_𝒘 (</a:t>
              </a: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1</xdr:col>
      <xdr:colOff>202651</xdr:colOff>
      <xdr:row>61</xdr:row>
      <xdr:rowOff>265287</xdr:rowOff>
    </xdr:from>
    <xdr:ext cx="483915" cy="172227"/>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id="{00000000-0008-0000-1F00-000005000000}"/>
                </a:ext>
              </a:extLst>
            </xdr:cNvPr>
            <xdr:cNvSpPr txBox="1"/>
          </xdr:nvSpPr>
          <xdr:spPr>
            <a:xfrm>
              <a:off x="1040851" y="2299193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5" name="CuadroTexto 4">
              <a:extLst>
                <a:ext uri="{FF2B5EF4-FFF2-40B4-BE49-F238E27FC236}">
                  <a16:creationId xmlns:a16="http://schemas.microsoft.com/office/drawing/2014/main" xmlns="" xmlns:a14="http://schemas.microsoft.com/office/drawing/2010/main" id="{00000000-0008-0000-1000-000005000000}"/>
                </a:ext>
              </a:extLst>
            </xdr:cNvPr>
            <xdr:cNvSpPr txBox="1"/>
          </xdr:nvSpPr>
          <xdr:spPr>
            <a:xfrm>
              <a:off x="1040851" y="2299193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𝒖(𝒎_𝒄𝒓)</a:t>
              </a:r>
              <a:endParaRPr lang="es-CO" sz="1100" b="1"/>
            </a:p>
          </xdr:txBody>
        </xdr:sp>
      </mc:Fallback>
    </mc:AlternateContent>
    <xdr:clientData/>
  </xdr:oneCellAnchor>
  <xdr:oneCellAnchor>
    <xdr:from>
      <xdr:col>1</xdr:col>
      <xdr:colOff>34166</xdr:colOff>
      <xdr:row>60</xdr:row>
      <xdr:rowOff>250203</xdr:rowOff>
    </xdr:from>
    <xdr:ext cx="689483" cy="172227"/>
    <mc:AlternateContent xmlns:mc="http://schemas.openxmlformats.org/markup-compatibility/2006" xmlns:a14="http://schemas.microsoft.com/office/drawing/2010/main">
      <mc:Choice Requires="a14">
        <xdr:sp macro="" textlink="">
          <xdr:nvSpPr>
            <xdr:cNvPr id="6" name="CuadroTexto 5">
              <a:extLst>
                <a:ext uri="{FF2B5EF4-FFF2-40B4-BE49-F238E27FC236}">
                  <a16:creationId xmlns:a16="http://schemas.microsoft.com/office/drawing/2014/main" id="{00000000-0008-0000-1F00-000006000000}"/>
                </a:ext>
              </a:extLst>
            </xdr:cNvPr>
            <xdr:cNvSpPr txBox="1"/>
          </xdr:nvSpPr>
          <xdr:spPr>
            <a:xfrm>
              <a:off x="872366" y="22243428"/>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𝒊𝒏𝒔𝒕</m:t>
                        </m:r>
                      </m:sub>
                    </m:sSub>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0" i="1">
                        <a:latin typeface="Cambria Math" panose="02040503050406030204" pitchFamily="18" charset="0"/>
                      </a:rPr>
                      <m:t>)</m:t>
                    </m:r>
                  </m:oMath>
                </m:oMathPara>
              </a14:m>
              <a:endParaRPr lang="es-CO" sz="1100"/>
            </a:p>
          </xdr:txBody>
        </xdr:sp>
      </mc:Choice>
      <mc:Fallback xmlns="">
        <xdr:sp macro="" textlink="">
          <xdr:nvSpPr>
            <xdr:cNvPr id="6" name="CuadroTexto 5">
              <a:extLst>
                <a:ext uri="{FF2B5EF4-FFF2-40B4-BE49-F238E27FC236}">
                  <a16:creationId xmlns:a16="http://schemas.microsoft.com/office/drawing/2014/main" xmlns="" xmlns:a14="http://schemas.microsoft.com/office/drawing/2010/main" id="{00000000-0008-0000-1000-000006000000}"/>
                </a:ext>
              </a:extLst>
            </xdr:cNvPr>
            <xdr:cNvSpPr txBox="1"/>
          </xdr:nvSpPr>
          <xdr:spPr>
            <a:xfrm>
              <a:off x="872366" y="22243428"/>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𝒖_𝒊𝒏𝒔𝒕 (𝒎_𝒄𝒓</a:t>
              </a:r>
              <a:r>
                <a:rPr lang="es-CO" sz="1100" b="0" i="0">
                  <a:latin typeface="Cambria Math" panose="02040503050406030204" pitchFamily="18" charset="0"/>
                </a:rPr>
                <a:t>)</a:t>
              </a:r>
              <a:endParaRPr lang="es-CO" sz="1100"/>
            </a:p>
          </xdr:txBody>
        </xdr:sp>
      </mc:Fallback>
    </mc:AlternateContent>
    <xdr:clientData/>
  </xdr:oneCellAnchor>
  <xdr:oneCellAnchor>
    <xdr:from>
      <xdr:col>1</xdr:col>
      <xdr:colOff>183870</xdr:colOff>
      <xdr:row>62</xdr:row>
      <xdr:rowOff>264645</xdr:rowOff>
    </xdr:from>
    <xdr:ext cx="397353" cy="172227"/>
    <mc:AlternateContent xmlns:mc="http://schemas.openxmlformats.org/markup-compatibility/2006" xmlns:a14="http://schemas.microsoft.com/office/drawing/2010/main">
      <mc:Choice Requires="a14">
        <xdr:sp macro="" textlink="">
          <xdr:nvSpPr>
            <xdr:cNvPr id="7" name="CuadroTexto 6">
              <a:extLst>
                <a:ext uri="{FF2B5EF4-FFF2-40B4-BE49-F238E27FC236}">
                  <a16:creationId xmlns:a16="http://schemas.microsoft.com/office/drawing/2014/main" id="{00000000-0008-0000-1F00-000007000000}"/>
                </a:ext>
              </a:extLst>
            </xdr:cNvPr>
            <xdr:cNvSpPr txBox="1"/>
          </xdr:nvSpPr>
          <xdr:spPr>
            <a:xfrm>
              <a:off x="1022070" y="23724720"/>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𝒂</m:t>
                        </m:r>
                      </m:sub>
                    </m:sSub>
                    <m:r>
                      <a:rPr lang="es-CO" sz="1100" b="1" i="1">
                        <a:latin typeface="Cambria Math" panose="02040503050406030204" pitchFamily="18" charset="0"/>
                      </a:rPr>
                      <m:t>)</m:t>
                    </m:r>
                  </m:oMath>
                </m:oMathPara>
              </a14:m>
              <a:endParaRPr lang="es-CO" sz="1100" b="1"/>
            </a:p>
          </xdr:txBody>
        </xdr:sp>
      </mc:Choice>
      <mc:Fallback xmlns="">
        <xdr:sp macro="" textlink="">
          <xdr:nvSpPr>
            <xdr:cNvPr id="7" name="CuadroTexto 6">
              <a:extLst>
                <a:ext uri="{FF2B5EF4-FFF2-40B4-BE49-F238E27FC236}">
                  <a16:creationId xmlns:a16="http://schemas.microsoft.com/office/drawing/2014/main" xmlns="" xmlns:a14="http://schemas.microsoft.com/office/drawing/2010/main" id="{00000000-0008-0000-1000-000007000000}"/>
                </a:ext>
              </a:extLst>
            </xdr:cNvPr>
            <xdr:cNvSpPr txBox="1"/>
          </xdr:nvSpPr>
          <xdr:spPr>
            <a:xfrm>
              <a:off x="1022070" y="23724720"/>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𝒂)</a:t>
              </a:r>
              <a:endParaRPr lang="es-CO" sz="1100" b="1"/>
            </a:p>
          </xdr:txBody>
        </xdr:sp>
      </mc:Fallback>
    </mc:AlternateContent>
    <xdr:clientData/>
  </xdr:oneCellAnchor>
  <xdr:oneCellAnchor>
    <xdr:from>
      <xdr:col>1</xdr:col>
      <xdr:colOff>186298</xdr:colOff>
      <xdr:row>63</xdr:row>
      <xdr:rowOff>266606</xdr:rowOff>
    </xdr:from>
    <xdr:ext cx="376642" cy="172227"/>
    <mc:AlternateContent xmlns:mc="http://schemas.openxmlformats.org/markup-compatibility/2006" xmlns:a14="http://schemas.microsoft.com/office/drawing/2010/main">
      <mc:Choice Requires="a14">
        <xdr:sp macro="" textlink="">
          <xdr:nvSpPr>
            <xdr:cNvPr id="8" name="CuadroTexto 7">
              <a:extLst>
                <a:ext uri="{FF2B5EF4-FFF2-40B4-BE49-F238E27FC236}">
                  <a16:creationId xmlns:a16="http://schemas.microsoft.com/office/drawing/2014/main" id="{00000000-0008-0000-1F00-000008000000}"/>
                </a:ext>
              </a:extLst>
            </xdr:cNvPr>
            <xdr:cNvSpPr txBox="1"/>
          </xdr:nvSpPr>
          <xdr:spPr>
            <a:xfrm>
              <a:off x="1024498" y="244601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𝒕</m:t>
                        </m:r>
                      </m:sub>
                    </m:sSub>
                    <m:r>
                      <a:rPr lang="es-CO" sz="1100" b="1" i="1">
                        <a:latin typeface="Cambria Math" panose="02040503050406030204" pitchFamily="18" charset="0"/>
                      </a:rPr>
                      <m:t>)</m:t>
                    </m:r>
                  </m:oMath>
                </m:oMathPara>
              </a14:m>
              <a:endParaRPr lang="es-CO" sz="1100" b="1"/>
            </a:p>
          </xdr:txBody>
        </xdr:sp>
      </mc:Choice>
      <mc:Fallback xmlns="">
        <xdr:sp macro="" textlink="">
          <xdr:nvSpPr>
            <xdr:cNvPr id="8" name="CuadroTexto 7">
              <a:extLst>
                <a:ext uri="{FF2B5EF4-FFF2-40B4-BE49-F238E27FC236}">
                  <a16:creationId xmlns:a16="http://schemas.microsoft.com/office/drawing/2014/main" xmlns="" xmlns:a14="http://schemas.microsoft.com/office/drawing/2010/main" id="{00000000-0008-0000-1000-000008000000}"/>
                </a:ext>
              </a:extLst>
            </xdr:cNvPr>
            <xdr:cNvSpPr txBox="1"/>
          </xdr:nvSpPr>
          <xdr:spPr>
            <a:xfrm>
              <a:off x="1024498" y="244601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𝒕)</a:t>
              </a:r>
              <a:endParaRPr lang="es-CO" sz="1100" b="1"/>
            </a:p>
          </xdr:txBody>
        </xdr:sp>
      </mc:Fallback>
    </mc:AlternateContent>
    <xdr:clientData/>
  </xdr:oneCellAnchor>
  <xdr:oneCellAnchor>
    <xdr:from>
      <xdr:col>1</xdr:col>
      <xdr:colOff>186298</xdr:colOff>
      <xdr:row>64</xdr:row>
      <xdr:rowOff>222250</xdr:rowOff>
    </xdr:from>
    <xdr:ext cx="388696" cy="172227"/>
    <mc:AlternateContent xmlns:mc="http://schemas.openxmlformats.org/markup-compatibility/2006" xmlns:a14="http://schemas.microsoft.com/office/drawing/2010/main">
      <mc:Choice Requires="a14">
        <xdr:sp macro="" textlink="">
          <xdr:nvSpPr>
            <xdr:cNvPr id="9" name="CuadroTexto 8">
              <a:extLst>
                <a:ext uri="{FF2B5EF4-FFF2-40B4-BE49-F238E27FC236}">
                  <a16:creationId xmlns:a16="http://schemas.microsoft.com/office/drawing/2014/main" id="{00000000-0008-0000-1F00-000009000000}"/>
                </a:ext>
              </a:extLst>
            </xdr:cNvPr>
            <xdr:cNvSpPr txBox="1"/>
          </xdr:nvSpPr>
          <xdr:spPr>
            <a:xfrm>
              <a:off x="1024498" y="25149175"/>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9" name="CuadroTexto 8">
              <a:extLst>
                <a:ext uri="{FF2B5EF4-FFF2-40B4-BE49-F238E27FC236}">
                  <a16:creationId xmlns:a16="http://schemas.microsoft.com/office/drawing/2014/main" xmlns="" xmlns:a14="http://schemas.microsoft.com/office/drawing/2010/main" id="{00000000-0008-0000-1000-000009000000}"/>
                </a:ext>
              </a:extLst>
            </xdr:cNvPr>
            <xdr:cNvSpPr txBox="1"/>
          </xdr:nvSpPr>
          <xdr:spPr>
            <a:xfrm>
              <a:off x="1024498" y="25149175"/>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𝒓)</a:t>
              </a:r>
              <a:endParaRPr lang="es-CO" sz="1100" b="1"/>
            </a:p>
          </xdr:txBody>
        </xdr:sp>
      </mc:Fallback>
    </mc:AlternateContent>
    <xdr:clientData/>
  </xdr:oneCellAnchor>
  <xdr:oneCellAnchor>
    <xdr:from>
      <xdr:col>1</xdr:col>
      <xdr:colOff>265579</xdr:colOff>
      <xdr:row>65</xdr:row>
      <xdr:rowOff>288458</xdr:rowOff>
    </xdr:from>
    <xdr:ext cx="191271" cy="172227"/>
    <mc:AlternateContent xmlns:mc="http://schemas.openxmlformats.org/markup-compatibility/2006" xmlns:a14="http://schemas.microsoft.com/office/drawing/2010/main">
      <mc:Choice Requires="a14">
        <xdr:sp macro="" textlink="">
          <xdr:nvSpPr>
            <xdr:cNvPr id="10" name="CuadroTexto 9">
              <a:extLst>
                <a:ext uri="{FF2B5EF4-FFF2-40B4-BE49-F238E27FC236}">
                  <a16:creationId xmlns:a16="http://schemas.microsoft.com/office/drawing/2014/main" id="{00000000-0008-0000-1F00-00000A000000}"/>
                </a:ext>
              </a:extLst>
            </xdr:cNvPr>
            <xdr:cNvSpPr txBox="1"/>
          </xdr:nvSpPr>
          <xdr:spPr>
            <a:xfrm>
              <a:off x="1103779" y="2594880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𝒃</m:t>
                        </m:r>
                      </m:sub>
                    </m:sSub>
                  </m:oMath>
                </m:oMathPara>
              </a14:m>
              <a:endParaRPr lang="es-CO" sz="1100" b="1"/>
            </a:p>
          </xdr:txBody>
        </xdr:sp>
      </mc:Choice>
      <mc:Fallback xmlns="">
        <xdr:sp macro="" textlink="">
          <xdr:nvSpPr>
            <xdr:cNvPr id="10" name="CuadroTexto 9">
              <a:extLst>
                <a:ext uri="{FF2B5EF4-FFF2-40B4-BE49-F238E27FC236}">
                  <a16:creationId xmlns:a16="http://schemas.microsoft.com/office/drawing/2014/main" xmlns="" xmlns:a14="http://schemas.microsoft.com/office/drawing/2010/main" id="{00000000-0008-0000-1000-00000A000000}"/>
                </a:ext>
              </a:extLst>
            </xdr:cNvPr>
            <xdr:cNvSpPr txBox="1"/>
          </xdr:nvSpPr>
          <xdr:spPr>
            <a:xfrm>
              <a:off x="1103779" y="2594880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𝒖_𝒃</a:t>
              </a:r>
              <a:endParaRPr lang="es-CO" sz="1100" b="1"/>
            </a:p>
          </xdr:txBody>
        </xdr:sp>
      </mc:Fallback>
    </mc:AlternateContent>
    <xdr:clientData/>
  </xdr:oneCellAnchor>
  <xdr:oneCellAnchor>
    <xdr:from>
      <xdr:col>1</xdr:col>
      <xdr:colOff>261391</xdr:colOff>
      <xdr:row>66</xdr:row>
      <xdr:rowOff>294234</xdr:rowOff>
    </xdr:from>
    <xdr:ext cx="195053" cy="172227"/>
    <mc:AlternateContent xmlns:mc="http://schemas.openxmlformats.org/markup-compatibility/2006" xmlns:a14="http://schemas.microsoft.com/office/drawing/2010/main">
      <mc:Choice Requires="a14">
        <xdr:sp macro="" textlink="">
          <xdr:nvSpPr>
            <xdr:cNvPr id="11" name="CuadroTexto 10">
              <a:extLst>
                <a:ext uri="{FF2B5EF4-FFF2-40B4-BE49-F238E27FC236}">
                  <a16:creationId xmlns:a16="http://schemas.microsoft.com/office/drawing/2014/main" id="{00000000-0008-0000-1F00-00000B000000}"/>
                </a:ext>
              </a:extLst>
            </xdr:cNvPr>
            <xdr:cNvSpPr txBox="1"/>
          </xdr:nvSpPr>
          <xdr:spPr>
            <a:xfrm>
              <a:off x="1099591" y="26688009"/>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𝒅</m:t>
                        </m:r>
                      </m:sub>
                    </m:sSub>
                  </m:oMath>
                </m:oMathPara>
              </a14:m>
              <a:endParaRPr lang="es-CO" sz="1100" b="1"/>
            </a:p>
          </xdr:txBody>
        </xdr:sp>
      </mc:Choice>
      <mc:Fallback xmlns="">
        <xdr:sp macro="" textlink="">
          <xdr:nvSpPr>
            <xdr:cNvPr id="11" name="CuadroTexto 10">
              <a:extLst>
                <a:ext uri="{FF2B5EF4-FFF2-40B4-BE49-F238E27FC236}">
                  <a16:creationId xmlns:a16="http://schemas.microsoft.com/office/drawing/2014/main" xmlns="" xmlns:a14="http://schemas.microsoft.com/office/drawing/2010/main" id="{00000000-0008-0000-1000-00000B000000}"/>
                </a:ext>
              </a:extLst>
            </xdr:cNvPr>
            <xdr:cNvSpPr txBox="1"/>
          </xdr:nvSpPr>
          <xdr:spPr>
            <a:xfrm>
              <a:off x="1099591" y="26688009"/>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𝒖_𝒅</a:t>
              </a:r>
              <a:endParaRPr lang="es-CO" sz="1100" b="1"/>
            </a:p>
          </xdr:txBody>
        </xdr:sp>
      </mc:Fallback>
    </mc:AlternateContent>
    <xdr:clientData/>
  </xdr:oneCellAnchor>
  <xdr:oneCellAnchor>
    <xdr:from>
      <xdr:col>5</xdr:col>
      <xdr:colOff>393571</xdr:colOff>
      <xdr:row>69</xdr:row>
      <xdr:rowOff>265119</xdr:rowOff>
    </xdr:from>
    <xdr:ext cx="529697" cy="172227"/>
    <mc:AlternateContent xmlns:mc="http://schemas.openxmlformats.org/markup-compatibility/2006" xmlns:a14="http://schemas.microsoft.com/office/drawing/2010/main">
      <mc:Choice Requires="a14">
        <xdr:sp macro="" textlink="">
          <xdr:nvSpPr>
            <xdr:cNvPr id="12" name="CuadroTexto 11">
              <a:extLst>
                <a:ext uri="{FF2B5EF4-FFF2-40B4-BE49-F238E27FC236}">
                  <a16:creationId xmlns:a16="http://schemas.microsoft.com/office/drawing/2014/main" id="{00000000-0008-0000-1F00-00000C000000}"/>
                </a:ext>
              </a:extLst>
            </xdr:cNvPr>
            <xdr:cNvSpPr txBox="1"/>
          </xdr:nvSpPr>
          <xdr:spPr>
            <a:xfrm>
              <a:off x="5251321" y="28220994"/>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𝒄</m:t>
                        </m:r>
                      </m:sub>
                    </m:sSub>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12" name="CuadroTexto 11">
              <a:extLst>
                <a:ext uri="{FF2B5EF4-FFF2-40B4-BE49-F238E27FC236}">
                  <a16:creationId xmlns:a16="http://schemas.microsoft.com/office/drawing/2014/main" xmlns="" xmlns:a14="http://schemas.microsoft.com/office/drawing/2010/main" id="{00000000-0008-0000-1000-00000C000000}"/>
                </a:ext>
              </a:extLst>
            </xdr:cNvPr>
            <xdr:cNvSpPr txBox="1"/>
          </xdr:nvSpPr>
          <xdr:spPr>
            <a:xfrm>
              <a:off x="5251321" y="28220994"/>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𝒖_𝒄 (</a:t>
              </a:r>
              <a:r>
                <a:rPr lang="es-CO" sz="1100" b="1" i="0">
                  <a:latin typeface="Cambria Math" panose="02040503050406030204" pitchFamily="18" charset="0"/>
                  <a:ea typeface="Cambria Math" panose="02040503050406030204" pitchFamily="18" charset="0"/>
                </a:rPr>
                <a:t>𝒎_𝒄𝒕)</a:t>
              </a:r>
              <a:endParaRPr lang="es-CO" sz="1100" b="1"/>
            </a:p>
          </xdr:txBody>
        </xdr:sp>
      </mc:Fallback>
    </mc:AlternateContent>
    <xdr:clientData/>
  </xdr:oneCellAnchor>
  <xdr:oneCellAnchor>
    <xdr:from>
      <xdr:col>5</xdr:col>
      <xdr:colOff>243965</xdr:colOff>
      <xdr:row>70</xdr:row>
      <xdr:rowOff>130277</xdr:rowOff>
    </xdr:from>
    <xdr:ext cx="780598" cy="172227"/>
    <mc:AlternateContent xmlns:mc="http://schemas.openxmlformats.org/markup-compatibility/2006" xmlns:a14="http://schemas.microsoft.com/office/drawing/2010/main">
      <mc:Choice Requires="a14">
        <xdr:sp macro="" textlink="">
          <xdr:nvSpPr>
            <xdr:cNvPr id="13" name="CuadroTexto 12">
              <a:extLst>
                <a:ext uri="{FF2B5EF4-FFF2-40B4-BE49-F238E27FC236}">
                  <a16:creationId xmlns:a16="http://schemas.microsoft.com/office/drawing/2014/main" id="{00000000-0008-0000-1F00-00000D000000}"/>
                </a:ext>
              </a:extLst>
            </xdr:cNvPr>
            <xdr:cNvSpPr txBox="1"/>
          </xdr:nvSpPr>
          <xdr:spPr>
            <a:xfrm>
              <a:off x="5101715" y="2874337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100" b="1" i="1">
                      <a:latin typeface="Cambria Math" panose="02040503050406030204" pitchFamily="18" charset="0"/>
                    </a:rPr>
                    <m:t>𝑼</m:t>
                  </m:r>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a14:m>
              <a:r>
                <a:rPr lang="es-CO" sz="1100" b="1"/>
                <a:t> (k=2)</a:t>
              </a:r>
            </a:p>
          </xdr:txBody>
        </xdr:sp>
      </mc:Choice>
      <mc:Fallback xmlns="">
        <xdr:sp macro="" textlink="">
          <xdr:nvSpPr>
            <xdr:cNvPr id="13" name="CuadroTexto 12">
              <a:extLst>
                <a:ext uri="{FF2B5EF4-FFF2-40B4-BE49-F238E27FC236}">
                  <a16:creationId xmlns:a16="http://schemas.microsoft.com/office/drawing/2014/main" xmlns="" xmlns:a14="http://schemas.microsoft.com/office/drawing/2010/main" id="{00000000-0008-0000-1000-00000D000000}"/>
                </a:ext>
              </a:extLst>
            </xdr:cNvPr>
            <xdr:cNvSpPr txBox="1"/>
          </xdr:nvSpPr>
          <xdr:spPr>
            <a:xfrm>
              <a:off x="5101715" y="2874337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100" b="1" i="0">
                  <a:latin typeface="Cambria Math" panose="02040503050406030204" pitchFamily="18" charset="0"/>
                </a:rPr>
                <a:t>𝑼(</a:t>
              </a:r>
              <a:r>
                <a:rPr lang="es-CO" sz="1100" b="1" i="0">
                  <a:latin typeface="Cambria Math" panose="02040503050406030204" pitchFamily="18" charset="0"/>
                  <a:ea typeface="Cambria Math" panose="02040503050406030204" pitchFamily="18" charset="0"/>
                </a:rPr>
                <a:t>𝒎_𝒄𝒕)</a:t>
              </a:r>
              <a:r>
                <a:rPr lang="es-CO" sz="1100" b="1"/>
                <a:t> (k=2)</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14" name="CuadroTexto 13">
              <a:extLst>
                <a:ext uri="{FF2B5EF4-FFF2-40B4-BE49-F238E27FC236}">
                  <a16:creationId xmlns:a16="http://schemas.microsoft.com/office/drawing/2014/main" id="{00000000-0008-0000-1F00-00000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14" name="CuadroTexto 13">
              <a:extLst>
                <a:ext uri="{FF2B5EF4-FFF2-40B4-BE49-F238E27FC236}">
                  <a16:creationId xmlns:a16="http://schemas.microsoft.com/office/drawing/2014/main" xmlns="" xmlns:a14="http://schemas.microsoft.com/office/drawing/2010/main" id="{00000000-0008-0000-1000-00000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8</xdr:col>
      <xdr:colOff>541269</xdr:colOff>
      <xdr:row>52</xdr:row>
      <xdr:rowOff>78683</xdr:rowOff>
    </xdr:from>
    <xdr:ext cx="304571" cy="172227"/>
    <mc:AlternateContent xmlns:mc="http://schemas.openxmlformats.org/markup-compatibility/2006" xmlns:a14="http://schemas.microsoft.com/office/drawing/2010/main">
      <mc:Choice Requires="a14">
        <xdr:sp macro="" textlink="">
          <xdr:nvSpPr>
            <xdr:cNvPr id="15" name="CuadroTexto 14">
              <a:extLst>
                <a:ext uri="{FF2B5EF4-FFF2-40B4-BE49-F238E27FC236}">
                  <a16:creationId xmlns:a16="http://schemas.microsoft.com/office/drawing/2014/main" id="{00000000-0008-0000-1F00-00000F000000}"/>
                </a:ext>
              </a:extLst>
            </xdr:cNvPr>
            <xdr:cNvSpPr txBox="1"/>
          </xdr:nvSpPr>
          <xdr:spPr>
            <a:xfrm>
              <a:off x="9313794" y="18623858"/>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oMath>
                </m:oMathPara>
              </a14:m>
              <a:endParaRPr lang="es-CO" sz="1100" b="1"/>
            </a:p>
          </xdr:txBody>
        </xdr:sp>
      </mc:Choice>
      <mc:Fallback xmlns="">
        <xdr:sp macro="" textlink="">
          <xdr:nvSpPr>
            <xdr:cNvPr id="15" name="CuadroTexto 14">
              <a:extLst>
                <a:ext uri="{FF2B5EF4-FFF2-40B4-BE49-F238E27FC236}">
                  <a16:creationId xmlns:a16="http://schemas.microsoft.com/office/drawing/2014/main" xmlns="" xmlns:a14="http://schemas.microsoft.com/office/drawing/2010/main" id="{00000000-0008-0000-1000-00000F000000}"/>
                </a:ext>
              </a:extLst>
            </xdr:cNvPr>
            <xdr:cNvSpPr txBox="1"/>
          </xdr:nvSpPr>
          <xdr:spPr>
            <a:xfrm>
              <a:off x="9313794" y="18623858"/>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4</xdr:col>
      <xdr:colOff>155713</xdr:colOff>
      <xdr:row>39</xdr:row>
      <xdr:rowOff>106017</xdr:rowOff>
    </xdr:from>
    <xdr:ext cx="65" cy="172227"/>
    <xdr:sp macro="" textlink="">
      <xdr:nvSpPr>
        <xdr:cNvPr id="16" name="CuadroTexto 15">
          <a:extLst>
            <a:ext uri="{FF2B5EF4-FFF2-40B4-BE49-F238E27FC236}">
              <a16:creationId xmlns:a16="http://schemas.microsoft.com/office/drawing/2014/main" id="{00000000-0008-0000-1F00-000010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17" name="CuadroTexto 16">
              <a:extLst>
                <a:ext uri="{FF2B5EF4-FFF2-40B4-BE49-F238E27FC236}">
                  <a16:creationId xmlns:a16="http://schemas.microsoft.com/office/drawing/2014/main" id="{00000000-0008-0000-1F00-000011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7" name="CuadroTexto 16">
              <a:extLst>
                <a:ext uri="{FF2B5EF4-FFF2-40B4-BE49-F238E27FC236}">
                  <a16:creationId xmlns:a16="http://schemas.microsoft.com/office/drawing/2014/main" xmlns="" xmlns:a14="http://schemas.microsoft.com/office/drawing/2010/main" id="{00000000-0008-0000-1000-000011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18" name="CuadroTexto 17">
              <a:extLst>
                <a:ext uri="{FF2B5EF4-FFF2-40B4-BE49-F238E27FC236}">
                  <a16:creationId xmlns:a16="http://schemas.microsoft.com/office/drawing/2014/main" id="{00000000-0008-0000-1F00-000012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18" name="CuadroTexto 17">
              <a:extLst>
                <a:ext uri="{FF2B5EF4-FFF2-40B4-BE49-F238E27FC236}">
                  <a16:creationId xmlns:a16="http://schemas.microsoft.com/office/drawing/2014/main" xmlns="" xmlns:a14="http://schemas.microsoft.com/office/drawing/2010/main" id="{00000000-0008-0000-1000-000012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19" name="CuadroTexto 18">
              <a:extLst>
                <a:ext uri="{FF2B5EF4-FFF2-40B4-BE49-F238E27FC236}">
                  <a16:creationId xmlns:a16="http://schemas.microsoft.com/office/drawing/2014/main" id="{00000000-0008-0000-1F00-000013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9" name="CuadroTexto 18">
              <a:extLst>
                <a:ext uri="{FF2B5EF4-FFF2-40B4-BE49-F238E27FC236}">
                  <a16:creationId xmlns:a16="http://schemas.microsoft.com/office/drawing/2014/main" xmlns="" xmlns:a14="http://schemas.microsoft.com/office/drawing/2010/main" id="{00000000-0008-0000-1000-000013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0" name="CuadroTexto 19">
              <a:extLst>
                <a:ext uri="{FF2B5EF4-FFF2-40B4-BE49-F238E27FC236}">
                  <a16:creationId xmlns:a16="http://schemas.microsoft.com/office/drawing/2014/main" id="{00000000-0008-0000-1F00-000014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0" name="CuadroTexto 19">
              <a:extLst>
                <a:ext uri="{FF2B5EF4-FFF2-40B4-BE49-F238E27FC236}">
                  <a16:creationId xmlns:a16="http://schemas.microsoft.com/office/drawing/2014/main" xmlns="" xmlns:a14="http://schemas.microsoft.com/office/drawing/2010/main" id="{00000000-0008-0000-1000-000014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1" name="CuadroTexto 20">
          <a:extLst>
            <a:ext uri="{FF2B5EF4-FFF2-40B4-BE49-F238E27FC236}">
              <a16:creationId xmlns:a16="http://schemas.microsoft.com/office/drawing/2014/main" id="{00000000-0008-0000-1F00-000015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3</xdr:col>
      <xdr:colOff>236456</xdr:colOff>
      <xdr:row>73</xdr:row>
      <xdr:rowOff>141002</xdr:rowOff>
    </xdr:from>
    <xdr:ext cx="730521" cy="219163"/>
    <mc:AlternateContent xmlns:mc="http://schemas.openxmlformats.org/markup-compatibility/2006" xmlns:a14="http://schemas.microsoft.com/office/drawing/2010/main">
      <mc:Choice Requires="a14">
        <xdr:sp macro="" textlink="">
          <xdr:nvSpPr>
            <xdr:cNvPr id="22" name="CuadroTexto 21">
              <a:extLst>
                <a:ext uri="{FF2B5EF4-FFF2-40B4-BE49-F238E27FC236}">
                  <a16:creationId xmlns:a16="http://schemas.microsoft.com/office/drawing/2014/main" id="{00000000-0008-0000-1F00-000016000000}"/>
                </a:ext>
              </a:extLst>
            </xdr:cNvPr>
            <xdr:cNvSpPr txBox="1"/>
          </xdr:nvSpPr>
          <xdr:spPr>
            <a:xfrm>
              <a:off x="2922506" y="30059027"/>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m:t>
                  </m:r>
                  <m:sSub>
                    <m:sSubPr>
                      <m:ctrlPr>
                        <a:rPr lang="es-CO" sz="1400" b="1" i="1">
                          <a:latin typeface="Cambria Math" panose="02040503050406030204" pitchFamily="18" charset="0"/>
                          <a:ea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𝒎</m:t>
                      </m:r>
                    </m:e>
                    <m:sub>
                      <m:r>
                        <a:rPr lang="es-CO" sz="1400" b="1" i="1">
                          <a:latin typeface="Cambria Math" panose="02040503050406030204" pitchFamily="18" charset="0"/>
                          <a:ea typeface="Cambria Math" panose="02040503050406030204" pitchFamily="18" charset="0"/>
                        </a:rPr>
                        <m:t>𝒄</m:t>
                      </m:r>
                    </m:sub>
                  </m:sSub>
                </m:oMath>
              </a14:m>
              <a:r>
                <a:rPr lang="es-CO" sz="1400" b="1" i="1"/>
                <a:t> (mg</a:t>
              </a:r>
              <a:r>
                <a:rPr lang="es-CO" sz="1200" b="1" i="0"/>
                <a:t>)</a:t>
              </a:r>
            </a:p>
          </xdr:txBody>
        </xdr:sp>
      </mc:Choice>
      <mc:Fallback xmlns="">
        <xdr:sp macro="" textlink="">
          <xdr:nvSpPr>
            <xdr:cNvPr id="22" name="CuadroTexto 21">
              <a:extLst>
                <a:ext uri="{FF2B5EF4-FFF2-40B4-BE49-F238E27FC236}">
                  <a16:creationId xmlns:a16="http://schemas.microsoft.com/office/drawing/2014/main" xmlns="" xmlns:a14="http://schemas.microsoft.com/office/drawing/2010/main" id="{00000000-0008-0000-1000-000016000000}"/>
                </a:ext>
              </a:extLst>
            </xdr:cNvPr>
            <xdr:cNvSpPr txBox="1"/>
          </xdr:nvSpPr>
          <xdr:spPr>
            <a:xfrm>
              <a:off x="2922506" y="30059027"/>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400" b="1" i="0">
                  <a:latin typeface="Cambria Math" panose="02040503050406030204" pitchFamily="18" charset="0"/>
                  <a:ea typeface="Cambria Math" panose="02040503050406030204" pitchFamily="18" charset="0"/>
                </a:rPr>
                <a:t>∆𝒎_𝒄</a:t>
              </a:r>
              <a:r>
                <a:rPr lang="es-CO" sz="1400" b="1" i="1"/>
                <a:t> (mg</a:t>
              </a:r>
              <a:r>
                <a:rPr lang="es-CO" sz="1200" b="1" i="0"/>
                <a:t>)</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23" name="CuadroTexto 22">
              <a:extLst>
                <a:ext uri="{FF2B5EF4-FFF2-40B4-BE49-F238E27FC236}">
                  <a16:creationId xmlns:a16="http://schemas.microsoft.com/office/drawing/2014/main" id="{00000000-0008-0000-1F00-000017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23" name="CuadroTexto 22">
              <a:extLst>
                <a:ext uri="{FF2B5EF4-FFF2-40B4-BE49-F238E27FC236}">
                  <a16:creationId xmlns:a16="http://schemas.microsoft.com/office/drawing/2014/main" xmlns="" xmlns:a14="http://schemas.microsoft.com/office/drawing/2010/main" id="{00000000-0008-0000-1000-000023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24" name="CuadroTexto 23">
          <a:extLst>
            <a:ext uri="{FF2B5EF4-FFF2-40B4-BE49-F238E27FC236}">
              <a16:creationId xmlns:a16="http://schemas.microsoft.com/office/drawing/2014/main" id="{00000000-0008-0000-1F00-000018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25" name="CuadroTexto 24">
              <a:extLst>
                <a:ext uri="{FF2B5EF4-FFF2-40B4-BE49-F238E27FC236}">
                  <a16:creationId xmlns:a16="http://schemas.microsoft.com/office/drawing/2014/main" id="{00000000-0008-0000-1F00-000019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5" name="CuadroTexto 24">
              <a:extLst>
                <a:ext uri="{FF2B5EF4-FFF2-40B4-BE49-F238E27FC236}">
                  <a16:creationId xmlns:a16="http://schemas.microsoft.com/office/drawing/2014/main" xmlns="" xmlns:a14="http://schemas.microsoft.com/office/drawing/2010/main" id="{00000000-0008-0000-1000-000026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26" name="CuadroTexto 25">
              <a:extLst>
                <a:ext uri="{FF2B5EF4-FFF2-40B4-BE49-F238E27FC236}">
                  <a16:creationId xmlns:a16="http://schemas.microsoft.com/office/drawing/2014/main" id="{00000000-0008-0000-1F00-00001A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6" name="CuadroTexto 25">
              <a:extLst>
                <a:ext uri="{FF2B5EF4-FFF2-40B4-BE49-F238E27FC236}">
                  <a16:creationId xmlns:a16="http://schemas.microsoft.com/office/drawing/2014/main" xmlns="" xmlns:a14="http://schemas.microsoft.com/office/drawing/2010/main" id="{00000000-0008-0000-1000-000027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27" name="CuadroTexto 26">
              <a:extLst>
                <a:ext uri="{FF2B5EF4-FFF2-40B4-BE49-F238E27FC236}">
                  <a16:creationId xmlns:a16="http://schemas.microsoft.com/office/drawing/2014/main" id="{00000000-0008-0000-1F00-00001B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7" name="CuadroTexto 26">
              <a:extLst>
                <a:ext uri="{FF2B5EF4-FFF2-40B4-BE49-F238E27FC236}">
                  <a16:creationId xmlns:a16="http://schemas.microsoft.com/office/drawing/2014/main" xmlns="" xmlns:a14="http://schemas.microsoft.com/office/drawing/2010/main" id="{00000000-0008-0000-1000-000028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8" name="CuadroTexto 27">
              <a:extLst>
                <a:ext uri="{FF2B5EF4-FFF2-40B4-BE49-F238E27FC236}">
                  <a16:creationId xmlns:a16="http://schemas.microsoft.com/office/drawing/2014/main" id="{00000000-0008-0000-1F00-00001C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8" name="CuadroTexto 27">
              <a:extLst>
                <a:ext uri="{FF2B5EF4-FFF2-40B4-BE49-F238E27FC236}">
                  <a16:creationId xmlns:a16="http://schemas.microsoft.com/office/drawing/2014/main" xmlns="" xmlns:a14="http://schemas.microsoft.com/office/drawing/2010/main" id="{00000000-0008-0000-1000-000029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9" name="CuadroTexto 28">
          <a:extLst>
            <a:ext uri="{FF2B5EF4-FFF2-40B4-BE49-F238E27FC236}">
              <a16:creationId xmlns:a16="http://schemas.microsoft.com/office/drawing/2014/main" id="{00000000-0008-0000-1F00-00001D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30" name="CuadroTexto 29">
              <a:extLst>
                <a:ext uri="{FF2B5EF4-FFF2-40B4-BE49-F238E27FC236}">
                  <a16:creationId xmlns:a16="http://schemas.microsoft.com/office/drawing/2014/main" id="{00000000-0008-0000-1F00-00001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30" name="CuadroTexto 29">
              <a:extLst>
                <a:ext uri="{FF2B5EF4-FFF2-40B4-BE49-F238E27FC236}">
                  <a16:creationId xmlns:a16="http://schemas.microsoft.com/office/drawing/2014/main" xmlns="" xmlns:a14="http://schemas.microsoft.com/office/drawing/2010/main" id="{00000000-0008-0000-1000-000038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31" name="CuadroTexto 30">
          <a:extLst>
            <a:ext uri="{FF2B5EF4-FFF2-40B4-BE49-F238E27FC236}">
              <a16:creationId xmlns:a16="http://schemas.microsoft.com/office/drawing/2014/main" id="{00000000-0008-0000-1F00-00001F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32" name="CuadroTexto 31">
              <a:extLst>
                <a:ext uri="{FF2B5EF4-FFF2-40B4-BE49-F238E27FC236}">
                  <a16:creationId xmlns:a16="http://schemas.microsoft.com/office/drawing/2014/main" id="{00000000-0008-0000-1F00-000020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2" name="CuadroTexto 31">
              <a:extLst>
                <a:ext uri="{FF2B5EF4-FFF2-40B4-BE49-F238E27FC236}">
                  <a16:creationId xmlns:a16="http://schemas.microsoft.com/office/drawing/2014/main" xmlns="" xmlns:a14="http://schemas.microsoft.com/office/drawing/2010/main" id="{00000000-0008-0000-1000-00003B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33" name="CuadroTexto 32">
              <a:extLst>
                <a:ext uri="{FF2B5EF4-FFF2-40B4-BE49-F238E27FC236}">
                  <a16:creationId xmlns:a16="http://schemas.microsoft.com/office/drawing/2014/main" id="{00000000-0008-0000-1F00-000021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3" name="CuadroTexto 32">
              <a:extLst>
                <a:ext uri="{FF2B5EF4-FFF2-40B4-BE49-F238E27FC236}">
                  <a16:creationId xmlns:a16="http://schemas.microsoft.com/office/drawing/2014/main" xmlns="" xmlns:a14="http://schemas.microsoft.com/office/drawing/2010/main" id="{00000000-0008-0000-1000-00003C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34" name="CuadroTexto 33">
              <a:extLst>
                <a:ext uri="{FF2B5EF4-FFF2-40B4-BE49-F238E27FC236}">
                  <a16:creationId xmlns:a16="http://schemas.microsoft.com/office/drawing/2014/main" id="{00000000-0008-0000-1F00-000022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4" name="CuadroTexto 33">
              <a:extLst>
                <a:ext uri="{FF2B5EF4-FFF2-40B4-BE49-F238E27FC236}">
                  <a16:creationId xmlns:a16="http://schemas.microsoft.com/office/drawing/2014/main" xmlns="" xmlns:a14="http://schemas.microsoft.com/office/drawing/2010/main" id="{00000000-0008-0000-1000-00003D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35" name="CuadroTexto 34">
              <a:extLst>
                <a:ext uri="{FF2B5EF4-FFF2-40B4-BE49-F238E27FC236}">
                  <a16:creationId xmlns:a16="http://schemas.microsoft.com/office/drawing/2014/main" id="{00000000-0008-0000-1F00-000023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5" name="CuadroTexto 34">
              <a:extLst>
                <a:ext uri="{FF2B5EF4-FFF2-40B4-BE49-F238E27FC236}">
                  <a16:creationId xmlns:a16="http://schemas.microsoft.com/office/drawing/2014/main" xmlns="" xmlns:a14="http://schemas.microsoft.com/office/drawing/2010/main" id="{00000000-0008-0000-1000-00003E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36" name="CuadroTexto 35">
          <a:extLst>
            <a:ext uri="{FF2B5EF4-FFF2-40B4-BE49-F238E27FC236}">
              <a16:creationId xmlns:a16="http://schemas.microsoft.com/office/drawing/2014/main" id="{00000000-0008-0000-1F00-000024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11</xdr:col>
      <xdr:colOff>628650</xdr:colOff>
      <xdr:row>61</xdr:row>
      <xdr:rowOff>0</xdr:rowOff>
    </xdr:from>
    <xdr:ext cx="65" cy="172227"/>
    <xdr:sp macro="" textlink="">
      <xdr:nvSpPr>
        <xdr:cNvPr id="38" name="CuadroTexto 37">
          <a:extLst>
            <a:ext uri="{FF2B5EF4-FFF2-40B4-BE49-F238E27FC236}">
              <a16:creationId xmlns:a16="http://schemas.microsoft.com/office/drawing/2014/main" id="{00000000-0008-0000-1F00-000026000000}"/>
            </a:ext>
          </a:extLst>
        </xdr:cNvPr>
        <xdr:cNvSpPr txBox="1"/>
      </xdr:nvSpPr>
      <xdr:spPr>
        <a:xfrm>
          <a:off x="12001500" y="2272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5</xdr:col>
      <xdr:colOff>539750</xdr:colOff>
      <xdr:row>73</xdr:row>
      <xdr:rowOff>158749</xdr:rowOff>
    </xdr:from>
    <xdr:ext cx="984250" cy="210507"/>
    <mc:AlternateContent xmlns:mc="http://schemas.openxmlformats.org/markup-compatibility/2006" xmlns:a14="http://schemas.microsoft.com/office/drawing/2010/main">
      <mc:Choice Requires="a14">
        <xdr:sp macro="" textlink="">
          <xdr:nvSpPr>
            <xdr:cNvPr id="39" name="CuadroTexto 38">
              <a:extLst>
                <a:ext uri="{FF2B5EF4-FFF2-40B4-BE49-F238E27FC236}">
                  <a16:creationId xmlns:a16="http://schemas.microsoft.com/office/drawing/2014/main" id="{00000000-0008-0000-1F00-000027000000}"/>
                </a:ext>
              </a:extLst>
            </xdr:cNvPr>
            <xdr:cNvSpPr txBox="1"/>
          </xdr:nvSpPr>
          <xdr:spPr>
            <a:xfrm>
              <a:off x="5397500" y="30076774"/>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𝒆</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39" name="CuadroTexto 38">
              <a:extLst>
                <a:ext uri="{FF2B5EF4-FFF2-40B4-BE49-F238E27FC236}">
                  <a16:creationId xmlns:a16="http://schemas.microsoft.com/office/drawing/2014/main" xmlns="" xmlns:a14="http://schemas.microsoft.com/office/drawing/2010/main" id="{00000000-0008-0000-1000-000016000000}"/>
                </a:ext>
              </a:extLst>
            </xdr:cNvPr>
            <xdr:cNvSpPr txBox="1"/>
          </xdr:nvSpPr>
          <xdr:spPr>
            <a:xfrm>
              <a:off x="5397500" y="30076774"/>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𝒆 𝒄𝒕</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4</xdr:col>
      <xdr:colOff>52917</xdr:colOff>
      <xdr:row>73</xdr:row>
      <xdr:rowOff>148167</xdr:rowOff>
    </xdr:from>
    <xdr:ext cx="984250" cy="210507"/>
    <mc:AlternateContent xmlns:mc="http://schemas.openxmlformats.org/markup-compatibility/2006" xmlns:a14="http://schemas.microsoft.com/office/drawing/2010/main">
      <mc:Choice Requires="a14">
        <xdr:sp macro="" textlink="">
          <xdr:nvSpPr>
            <xdr:cNvPr id="40" name="CuadroTexto 39">
              <a:extLst>
                <a:ext uri="{FF2B5EF4-FFF2-40B4-BE49-F238E27FC236}">
                  <a16:creationId xmlns:a16="http://schemas.microsoft.com/office/drawing/2014/main" id="{00000000-0008-0000-1F00-000028000000}"/>
                </a:ext>
              </a:extLst>
            </xdr:cNvPr>
            <xdr:cNvSpPr txBox="1"/>
          </xdr:nvSpPr>
          <xdr:spPr>
            <a:xfrm>
              <a:off x="3872442" y="30066192"/>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0" name="CuadroTexto 39">
              <a:extLst>
                <a:ext uri="{FF2B5EF4-FFF2-40B4-BE49-F238E27FC236}">
                  <a16:creationId xmlns:a16="http://schemas.microsoft.com/office/drawing/2014/main" xmlns="" xmlns:a14="http://schemas.microsoft.com/office/drawing/2010/main" id="{00000000-0008-0000-1000-000016000000}"/>
                </a:ext>
              </a:extLst>
            </xdr:cNvPr>
            <xdr:cNvSpPr txBox="1"/>
          </xdr:nvSpPr>
          <xdr:spPr>
            <a:xfrm>
              <a:off x="3872442" y="30066192"/>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𝒄𝒕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1</xdr:col>
      <xdr:colOff>23812</xdr:colOff>
      <xdr:row>73</xdr:row>
      <xdr:rowOff>95250</xdr:rowOff>
    </xdr:from>
    <xdr:ext cx="724958" cy="210507"/>
    <mc:AlternateContent xmlns:mc="http://schemas.openxmlformats.org/markup-compatibility/2006" xmlns:a14="http://schemas.microsoft.com/office/drawing/2010/main">
      <mc:Choice Requires="a14">
        <xdr:sp macro="" textlink="">
          <xdr:nvSpPr>
            <xdr:cNvPr id="42" name="CuadroTexto 41">
              <a:extLst>
                <a:ext uri="{FF2B5EF4-FFF2-40B4-BE49-F238E27FC236}">
                  <a16:creationId xmlns:a16="http://schemas.microsoft.com/office/drawing/2014/main" id="{00000000-0008-0000-1F00-00002A000000}"/>
                </a:ext>
              </a:extLst>
            </xdr:cNvPr>
            <xdr:cNvSpPr txBox="1"/>
          </xdr:nvSpPr>
          <xdr:spPr>
            <a:xfrm>
              <a:off x="1000125" y="30206156"/>
              <a:ext cx="724958"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𝑵𝒓</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2" name="CuadroTexto 41">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1000125" y="30206156"/>
              <a:ext cx="724958"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𝑵𝒓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8</xdr:col>
      <xdr:colOff>624417</xdr:colOff>
      <xdr:row>73</xdr:row>
      <xdr:rowOff>285751</xdr:rowOff>
    </xdr:from>
    <xdr:ext cx="1524000" cy="210507"/>
    <mc:AlternateContent xmlns:mc="http://schemas.openxmlformats.org/markup-compatibility/2006" xmlns:a14="http://schemas.microsoft.com/office/drawing/2010/main">
      <mc:Choice Requires="a14">
        <xdr:sp macro="" textlink="">
          <xdr:nvSpPr>
            <xdr:cNvPr id="43" name="CuadroTexto 42">
              <a:extLst>
                <a:ext uri="{FF2B5EF4-FFF2-40B4-BE49-F238E27FC236}">
                  <a16:creationId xmlns:a16="http://schemas.microsoft.com/office/drawing/2014/main" id="{00000000-0008-0000-1F00-00002B000000}"/>
                </a:ext>
              </a:extLst>
            </xdr:cNvPr>
            <xdr:cNvSpPr txBox="1"/>
          </xdr:nvSpPr>
          <xdr:spPr>
            <a:xfrm>
              <a:off x="9396942" y="30203776"/>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𝑼</m:t>
                  </m:r>
                  <m:r>
                    <a:rPr lang="es-CO" sz="1400" b="1" i="1">
                      <a:latin typeface="Cambria Math" panose="02040503050406030204" pitchFamily="18" charset="0"/>
                      <a:ea typeface="Cambria Math" panose="02040503050406030204" pitchFamily="18" charset="0"/>
                    </a:rPr>
                    <m:t> </m:t>
                  </m:r>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 </m:t>
                  </m:r>
                  <m:r>
                    <a:rPr lang="es-CO" sz="1400" b="1" i="1">
                      <a:latin typeface="Cambria Math" panose="02040503050406030204" pitchFamily="18" charset="0"/>
                      <a:ea typeface="Cambria Math" panose="02040503050406030204" pitchFamily="18" charset="0"/>
                    </a:rPr>
                    <m:t>𝒌</m:t>
                  </m:r>
                  <m:r>
                    <a:rPr lang="es-CO" sz="1400" b="1" i="1">
                      <a:latin typeface="Cambria Math" panose="02040503050406030204" pitchFamily="18" charset="0"/>
                      <a:ea typeface="Cambria Math" panose="02040503050406030204" pitchFamily="18" charset="0"/>
                    </a:rPr>
                    <m:t>=</m:t>
                  </m:r>
                  <m:r>
                    <a:rPr lang="es-CO" sz="1400" b="1" i="1">
                      <a:latin typeface="Cambria Math" panose="02040503050406030204" pitchFamily="18" charset="0"/>
                      <a:ea typeface="Cambria Math" panose="02040503050406030204" pitchFamily="18" charset="0"/>
                    </a:rPr>
                    <m:t>𝟐</m:t>
                  </m:r>
                </m:oMath>
              </a14:m>
              <a:r>
                <a:rPr lang="es-CO" sz="1400" b="1" i="1">
                  <a:latin typeface="Arial" panose="020B0604020202020204" pitchFamily="34" charset="0"/>
                  <a:cs typeface="Arial" panose="020B0604020202020204" pitchFamily="34" charset="0"/>
                </a:rPr>
                <a:t>)</a:t>
              </a:r>
            </a:p>
          </xdr:txBody>
        </xdr:sp>
      </mc:Choice>
      <mc:Fallback xmlns="">
        <xdr:sp macro="" textlink="">
          <xdr:nvSpPr>
            <xdr:cNvPr id="43" name="CuadroTexto 42">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9396942" y="30203776"/>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0">
                  <a:latin typeface="Cambria Math" panose="02040503050406030204" pitchFamily="18" charset="0"/>
                  <a:ea typeface="Cambria Math" panose="02040503050406030204" pitchFamily="18" charset="0"/>
                </a:rPr>
                <a:t>𝑼 </a:t>
              </a:r>
              <a:r>
                <a:rPr lang="es-CO" sz="1400" b="1" i="0">
                  <a:latin typeface="Cambria Math"/>
                  <a:ea typeface="Cambria Math" panose="02040503050406030204" pitchFamily="18" charset="0"/>
                </a:rPr>
                <a:t>(</a:t>
              </a:r>
              <a:r>
                <a:rPr lang="es-CO" sz="1400" b="1" i="0">
                  <a:latin typeface="Cambria Math" panose="02040503050406030204" pitchFamily="18" charset="0"/>
                  <a:ea typeface="Cambria Math" panose="02040503050406030204" pitchFamily="18" charset="0"/>
                </a:rPr>
                <a:t> 𝒎 𝒄𝒕 </a:t>
              </a:r>
              <a:r>
                <a:rPr lang="es-CO" sz="1400" b="1" i="0">
                  <a:latin typeface="Cambria Math"/>
                  <a:ea typeface="Cambria Math" panose="02040503050406030204" pitchFamily="18" charset="0"/>
                </a:rPr>
                <a:t>)</a:t>
              </a:r>
              <a:r>
                <a:rPr lang="es-CO" sz="1400" b="1" i="0">
                  <a:latin typeface="Cambria Math" panose="02040503050406030204" pitchFamily="18" charset="0"/>
                  <a:ea typeface="Cambria Math" panose="02040503050406030204" pitchFamily="18" charset="0"/>
                </a:rPr>
                <a:t>  ( 𝒌=𝟐</a:t>
              </a:r>
              <a:r>
                <a:rPr lang="es-CO" sz="1400" b="1" i="1">
                  <a:latin typeface="Arial" panose="020B0604020202020204" pitchFamily="34" charset="0"/>
                  <a:cs typeface="Arial" panose="020B0604020202020204" pitchFamily="34" charset="0"/>
                </a:rPr>
                <a:t>)</a:t>
              </a:r>
            </a:p>
          </xdr:txBody>
        </xdr:sp>
      </mc:Fallback>
    </mc:AlternateContent>
    <xdr:clientData/>
  </xdr:oneCellAnchor>
  <xdr:oneCellAnchor>
    <xdr:from>
      <xdr:col>9</xdr:col>
      <xdr:colOff>603252</xdr:colOff>
      <xdr:row>74</xdr:row>
      <xdr:rowOff>84667</xdr:rowOff>
    </xdr:from>
    <xdr:ext cx="465666" cy="219163"/>
    <xdr:sp macro="" textlink="">
      <xdr:nvSpPr>
        <xdr:cNvPr id="44" name="CuadroTexto 43">
          <a:extLst>
            <a:ext uri="{FF2B5EF4-FFF2-40B4-BE49-F238E27FC236}">
              <a16:creationId xmlns:a16="http://schemas.microsoft.com/office/drawing/2014/main" id="{00000000-0008-0000-1F00-00002C000000}"/>
            </a:ext>
          </a:extLst>
        </xdr:cNvPr>
        <xdr:cNvSpPr txBox="1"/>
      </xdr:nvSpPr>
      <xdr:spPr>
        <a:xfrm>
          <a:off x="10299702" y="30517042"/>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9</xdr:col>
      <xdr:colOff>571499</xdr:colOff>
      <xdr:row>75</xdr:row>
      <xdr:rowOff>116416</xdr:rowOff>
    </xdr:from>
    <xdr:ext cx="359835" cy="219163"/>
    <xdr:sp macro="" textlink="">
      <xdr:nvSpPr>
        <xdr:cNvPr id="45" name="CuadroTexto 44">
          <a:extLst>
            <a:ext uri="{FF2B5EF4-FFF2-40B4-BE49-F238E27FC236}">
              <a16:creationId xmlns:a16="http://schemas.microsoft.com/office/drawing/2014/main" id="{00000000-0008-0000-1F00-00002D000000}"/>
            </a:ext>
          </a:extLst>
        </xdr:cNvPr>
        <xdr:cNvSpPr txBox="1"/>
      </xdr:nvSpPr>
      <xdr:spPr>
        <a:xfrm>
          <a:off x="10267949" y="30986941"/>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6</xdr:col>
      <xdr:colOff>275167</xdr:colOff>
      <xdr:row>74</xdr:row>
      <xdr:rowOff>148166</xdr:rowOff>
    </xdr:from>
    <xdr:ext cx="465666" cy="219163"/>
    <xdr:sp macro="" textlink="">
      <xdr:nvSpPr>
        <xdr:cNvPr id="46" name="CuadroTexto 45">
          <a:extLst>
            <a:ext uri="{FF2B5EF4-FFF2-40B4-BE49-F238E27FC236}">
              <a16:creationId xmlns:a16="http://schemas.microsoft.com/office/drawing/2014/main" id="{00000000-0008-0000-1F00-00002E000000}"/>
            </a:ext>
          </a:extLst>
        </xdr:cNvPr>
        <xdr:cNvSpPr txBox="1"/>
      </xdr:nvSpPr>
      <xdr:spPr>
        <a:xfrm>
          <a:off x="6371167" y="30580541"/>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6</xdr:col>
      <xdr:colOff>328083</xdr:colOff>
      <xdr:row>75</xdr:row>
      <xdr:rowOff>84667</xdr:rowOff>
    </xdr:from>
    <xdr:ext cx="359835" cy="219163"/>
    <xdr:sp macro="" textlink="">
      <xdr:nvSpPr>
        <xdr:cNvPr id="47" name="CuadroTexto 46">
          <a:extLst>
            <a:ext uri="{FF2B5EF4-FFF2-40B4-BE49-F238E27FC236}">
              <a16:creationId xmlns:a16="http://schemas.microsoft.com/office/drawing/2014/main" id="{00000000-0008-0000-1F00-00002F000000}"/>
            </a:ext>
          </a:extLst>
        </xdr:cNvPr>
        <xdr:cNvSpPr txBox="1"/>
      </xdr:nvSpPr>
      <xdr:spPr>
        <a:xfrm>
          <a:off x="6424083" y="30955192"/>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3</xdr:col>
      <xdr:colOff>560916</xdr:colOff>
      <xdr:row>72</xdr:row>
      <xdr:rowOff>74084</xdr:rowOff>
    </xdr:from>
    <xdr:ext cx="1524000" cy="210507"/>
    <mc:AlternateContent xmlns:mc="http://schemas.openxmlformats.org/markup-compatibility/2006" xmlns:a14="http://schemas.microsoft.com/office/drawing/2010/main">
      <mc:Choice Requires="a14">
        <xdr:sp macro="" textlink="">
          <xdr:nvSpPr>
            <xdr:cNvPr id="48" name="CuadroTexto 47">
              <a:extLst>
                <a:ext uri="{FF2B5EF4-FFF2-40B4-BE49-F238E27FC236}">
                  <a16:creationId xmlns:a16="http://schemas.microsoft.com/office/drawing/2014/main" id="{00000000-0008-0000-1F00-000030000000}"/>
                </a:ext>
              </a:extLst>
            </xdr:cNvPr>
            <xdr:cNvSpPr txBox="1"/>
          </xdr:nvSpPr>
          <xdr:spPr>
            <a:xfrm>
              <a:off x="3246966" y="29553959"/>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m:t>
                    </m:r>
                  </m:oMath>
                </m:oMathPara>
              </a14:m>
              <a:endParaRPr lang="es-CO" sz="1400" b="1" i="1">
                <a:latin typeface="Arial" panose="020B0604020202020204" pitchFamily="34" charset="0"/>
                <a:cs typeface="Arial" panose="020B0604020202020204" pitchFamily="34" charset="0"/>
              </a:endParaRPr>
            </a:p>
          </xdr:txBody>
        </xdr:sp>
      </mc:Choice>
      <mc:Fallback xmlns="">
        <xdr:sp macro="" textlink="">
          <xdr:nvSpPr>
            <xdr:cNvPr id="48" name="CuadroTexto 47">
              <a:extLst>
                <a:ext uri="{FF2B5EF4-FFF2-40B4-BE49-F238E27FC236}">
                  <a16:creationId xmlns:a16="http://schemas.microsoft.com/office/drawing/2014/main" xmlns="" xmlns:a14="http://schemas.microsoft.com/office/drawing/2010/main" id="{00000000-0008-0000-1000-000016000000}"/>
                </a:ext>
              </a:extLst>
            </xdr:cNvPr>
            <xdr:cNvSpPr txBox="1"/>
          </xdr:nvSpPr>
          <xdr:spPr>
            <a:xfrm>
              <a:off x="3246966" y="29553959"/>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 𝒎 𝒄𝒕 )   </a:t>
              </a:r>
              <a:endParaRPr lang="es-CO" sz="1400" b="1" i="1">
                <a:latin typeface="Arial" panose="020B0604020202020204" pitchFamily="34" charset="0"/>
                <a:cs typeface="Arial" panose="020B0604020202020204" pitchFamily="34" charset="0"/>
              </a:endParaRPr>
            </a:p>
          </xdr:txBody>
        </xdr:sp>
      </mc:Fallback>
    </mc:AlternateContent>
    <xdr:clientData/>
  </xdr:oneCellAnchor>
  <xdr:oneCellAnchor>
    <xdr:from>
      <xdr:col>7</xdr:col>
      <xdr:colOff>411956</xdr:colOff>
      <xdr:row>71</xdr:row>
      <xdr:rowOff>406003</xdr:rowOff>
    </xdr:from>
    <xdr:ext cx="65" cy="172227"/>
    <xdr:sp macro="" textlink="">
      <xdr:nvSpPr>
        <xdr:cNvPr id="49" name="CuadroTexto 48">
          <a:extLst>
            <a:ext uri="{FF2B5EF4-FFF2-40B4-BE49-F238E27FC236}">
              <a16:creationId xmlns:a16="http://schemas.microsoft.com/office/drawing/2014/main" id="{00000000-0008-0000-1F00-000031000000}"/>
            </a:ext>
          </a:extLst>
        </xdr:cNvPr>
        <xdr:cNvSpPr txBox="1"/>
      </xdr:nvSpPr>
      <xdr:spPr>
        <a:xfrm>
          <a:off x="7555706" y="29457253"/>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51" name="CuadroTexto 50">
              <a:extLst>
                <a:ext uri="{FF2B5EF4-FFF2-40B4-BE49-F238E27FC236}">
                  <a16:creationId xmlns:a16="http://schemas.microsoft.com/office/drawing/2014/main" id="{00000000-0008-0000-1F00-000033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51" name="CuadroTexto 50">
              <a:extLst>
                <a:ext uri="{FF2B5EF4-FFF2-40B4-BE49-F238E27FC236}">
                  <a16:creationId xmlns:a16="http://schemas.microsoft.com/office/drawing/2014/main" id="{BC17A67F-1290-4308-8C0D-30286039D611}"/>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52" name="CuadroTexto 51">
              <a:extLst>
                <a:ext uri="{FF2B5EF4-FFF2-40B4-BE49-F238E27FC236}">
                  <a16:creationId xmlns:a16="http://schemas.microsoft.com/office/drawing/2014/main" id="{00000000-0008-0000-1F00-000034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52" name="CuadroTexto 51">
              <a:extLst>
                <a:ext uri="{FF2B5EF4-FFF2-40B4-BE49-F238E27FC236}">
                  <a16:creationId xmlns:a16="http://schemas.microsoft.com/office/drawing/2014/main" id="{0EBA5BEE-C1BE-4E2A-AA11-154828997BCF}"/>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twoCellAnchor>
    <xdr:from>
      <xdr:col>7</xdr:col>
      <xdr:colOff>889000</xdr:colOff>
      <xdr:row>62</xdr:row>
      <xdr:rowOff>246062</xdr:rowOff>
    </xdr:from>
    <xdr:to>
      <xdr:col>12</xdr:col>
      <xdr:colOff>23812</xdr:colOff>
      <xdr:row>64</xdr:row>
      <xdr:rowOff>515937</xdr:rowOff>
    </xdr:to>
    <xdr:graphicFrame macro="">
      <xdr:nvGraphicFramePr>
        <xdr:cNvPr id="53" name="Gráfico 52">
          <a:extLst>
            <a:ext uri="{FF2B5EF4-FFF2-40B4-BE49-F238E27FC236}">
              <a16:creationId xmlns:a16="http://schemas.microsoft.com/office/drawing/2014/main" id="{00000000-0008-0000-1F00-00003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202406</xdr:colOff>
      <xdr:row>0</xdr:row>
      <xdr:rowOff>59531</xdr:rowOff>
    </xdr:from>
    <xdr:to>
      <xdr:col>1</xdr:col>
      <xdr:colOff>597812</xdr:colOff>
      <xdr:row>0</xdr:row>
      <xdr:rowOff>699666</xdr:rowOff>
    </xdr:to>
    <xdr:pic>
      <xdr:nvPicPr>
        <xdr:cNvPr id="37" name="36 Imagen">
          <a:extLst>
            <a:ext uri="{FF2B5EF4-FFF2-40B4-BE49-F238E27FC236}">
              <a16:creationId xmlns:a16="http://schemas.microsoft.com/office/drawing/2014/main" id="{00000000-0008-0000-1F00-000025000000}"/>
            </a:ext>
          </a:extLst>
        </xdr:cNvPr>
        <xdr:cNvPicPr>
          <a:picLocks noChangeAspect="1"/>
        </xdr:cNvPicPr>
      </xdr:nvPicPr>
      <xdr:blipFill>
        <a:blip xmlns:r="http://schemas.openxmlformats.org/officeDocument/2006/relationships" r:embed="rId2"/>
        <a:stretch>
          <a:fillRect/>
        </a:stretch>
      </xdr:blipFill>
      <xdr:spPr>
        <a:xfrm>
          <a:off x="202406" y="59531"/>
          <a:ext cx="1371719" cy="640135"/>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oneCellAnchor>
    <xdr:from>
      <xdr:col>1</xdr:col>
      <xdr:colOff>285935</xdr:colOff>
      <xdr:row>42</xdr:row>
      <xdr:rowOff>169517</xdr:rowOff>
    </xdr:from>
    <xdr:ext cx="177356" cy="176202"/>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00000000-0008-0000-2000-000003000000}"/>
                </a:ext>
              </a:extLst>
            </xdr:cNvPr>
            <xdr:cNvSpPr txBox="1"/>
          </xdr:nvSpPr>
          <xdr:spPr>
            <a:xfrm>
              <a:off x="1124135" y="14980892"/>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bg1"/>
                            </a:solidFill>
                            <a:latin typeface="Cambria Math" panose="02040503050406030204" pitchFamily="18" charset="0"/>
                          </a:rPr>
                        </m:ctrlPr>
                      </m:accPr>
                      <m:e>
                        <m:r>
                          <a:rPr lang="es-CO" sz="1100" b="1" i="1">
                            <a:solidFill>
                              <a:schemeClr val="bg1"/>
                            </a:solidFill>
                            <a:latin typeface="Cambria Math" panose="02040503050406030204" pitchFamily="18" charset="0"/>
                            <a:ea typeface="Cambria Math" panose="02040503050406030204" pitchFamily="18" charset="0"/>
                          </a:rPr>
                          <m:t>∆</m:t>
                        </m:r>
                        <m:r>
                          <a:rPr lang="es-CO" sz="1100" b="1" i="1">
                            <a:solidFill>
                              <a:schemeClr val="bg1"/>
                            </a:solidFill>
                            <a:latin typeface="Cambria Math" panose="02040503050406030204" pitchFamily="18" charset="0"/>
                            <a:ea typeface="Cambria Math" panose="02040503050406030204" pitchFamily="18" charset="0"/>
                          </a:rPr>
                          <m:t>𝑰</m:t>
                        </m:r>
                      </m:e>
                    </m:acc>
                  </m:oMath>
                </m:oMathPara>
              </a14:m>
              <a:endParaRPr lang="es-CO" sz="1100" b="1">
                <a:solidFill>
                  <a:schemeClr val="bg1"/>
                </a:solidFill>
              </a:endParaRPr>
            </a:p>
          </xdr:txBody>
        </xdr:sp>
      </mc:Choice>
      <mc:Fallback xmlns="">
        <xdr:sp macro="" textlink="">
          <xdr:nvSpPr>
            <xdr:cNvPr id="3" name="CuadroTexto 2">
              <a:extLst>
                <a:ext uri="{FF2B5EF4-FFF2-40B4-BE49-F238E27FC236}">
                  <a16:creationId xmlns:a16="http://schemas.microsoft.com/office/drawing/2014/main" xmlns="" xmlns:a14="http://schemas.microsoft.com/office/drawing/2010/main" id="{00000000-0008-0000-1000-000003000000}"/>
                </a:ext>
              </a:extLst>
            </xdr:cNvPr>
            <xdr:cNvSpPr txBox="1"/>
          </xdr:nvSpPr>
          <xdr:spPr>
            <a:xfrm>
              <a:off x="1124135" y="14980892"/>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bg1"/>
                  </a:solidFill>
                  <a:latin typeface="Cambria Math" panose="02040503050406030204" pitchFamily="18" charset="0"/>
                </a:rPr>
                <a:t>(</a:t>
              </a:r>
              <a:r>
                <a:rPr lang="es-CO" sz="1100" b="1" i="0">
                  <a:solidFill>
                    <a:schemeClr val="bg1"/>
                  </a:solidFill>
                  <a:latin typeface="Cambria Math" panose="02040503050406030204" pitchFamily="18" charset="0"/>
                  <a:ea typeface="Cambria Math" panose="02040503050406030204" pitchFamily="18" charset="0"/>
                </a:rPr>
                <a:t>∆𝑰) ̅</a:t>
              </a:r>
              <a:endParaRPr lang="es-CO" sz="1100" b="1">
                <a:solidFill>
                  <a:schemeClr val="bg1"/>
                </a:solidFill>
              </a:endParaRPr>
            </a:p>
          </xdr:txBody>
        </xdr:sp>
      </mc:Fallback>
    </mc:AlternateContent>
    <xdr:clientData/>
  </xdr:oneCellAnchor>
  <xdr:oneCellAnchor>
    <xdr:from>
      <xdr:col>1</xdr:col>
      <xdr:colOff>136732</xdr:colOff>
      <xdr:row>58</xdr:row>
      <xdr:rowOff>253032</xdr:rowOff>
    </xdr:from>
    <xdr:ext cx="599716" cy="172227"/>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id="{00000000-0008-0000-2000-000004000000}"/>
                </a:ext>
              </a:extLst>
            </xdr:cNvPr>
            <xdr:cNvSpPr txBox="1"/>
          </xdr:nvSpPr>
          <xdr:spPr>
            <a:xfrm>
              <a:off x="974932" y="20779407"/>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𝒘</m:t>
                        </m:r>
                      </m:sub>
                    </m:sSub>
                    <m:r>
                      <a:rPr lang="es-CO" sz="1100" b="1" i="1">
                        <a:latin typeface="Cambria Math" panose="02040503050406030204" pitchFamily="18" charset="0"/>
                      </a:rPr>
                      <m:t>(</m:t>
                    </m:r>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4" name="CuadroTexto 3">
              <a:extLst>
                <a:ext uri="{FF2B5EF4-FFF2-40B4-BE49-F238E27FC236}">
                  <a16:creationId xmlns:a16="http://schemas.microsoft.com/office/drawing/2014/main" xmlns="" xmlns:a14="http://schemas.microsoft.com/office/drawing/2010/main" id="{00000000-0008-0000-1000-000004000000}"/>
                </a:ext>
              </a:extLst>
            </xdr:cNvPr>
            <xdr:cNvSpPr txBox="1"/>
          </xdr:nvSpPr>
          <xdr:spPr>
            <a:xfrm>
              <a:off x="974932" y="20779407"/>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𝒖_𝒘 (</a:t>
              </a: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1</xdr:col>
      <xdr:colOff>202651</xdr:colOff>
      <xdr:row>61</xdr:row>
      <xdr:rowOff>265287</xdr:rowOff>
    </xdr:from>
    <xdr:ext cx="483915" cy="172227"/>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id="{00000000-0008-0000-2000-000005000000}"/>
                </a:ext>
              </a:extLst>
            </xdr:cNvPr>
            <xdr:cNvSpPr txBox="1"/>
          </xdr:nvSpPr>
          <xdr:spPr>
            <a:xfrm>
              <a:off x="1040851" y="2299193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5" name="CuadroTexto 4">
              <a:extLst>
                <a:ext uri="{FF2B5EF4-FFF2-40B4-BE49-F238E27FC236}">
                  <a16:creationId xmlns:a16="http://schemas.microsoft.com/office/drawing/2014/main" xmlns="" xmlns:a14="http://schemas.microsoft.com/office/drawing/2010/main" id="{00000000-0008-0000-1000-000005000000}"/>
                </a:ext>
              </a:extLst>
            </xdr:cNvPr>
            <xdr:cNvSpPr txBox="1"/>
          </xdr:nvSpPr>
          <xdr:spPr>
            <a:xfrm>
              <a:off x="1040851" y="2299193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𝒖(𝒎_𝒄𝒓)</a:t>
              </a:r>
              <a:endParaRPr lang="es-CO" sz="1100" b="1"/>
            </a:p>
          </xdr:txBody>
        </xdr:sp>
      </mc:Fallback>
    </mc:AlternateContent>
    <xdr:clientData/>
  </xdr:oneCellAnchor>
  <xdr:oneCellAnchor>
    <xdr:from>
      <xdr:col>1</xdr:col>
      <xdr:colOff>34166</xdr:colOff>
      <xdr:row>60</xdr:row>
      <xdr:rowOff>250203</xdr:rowOff>
    </xdr:from>
    <xdr:ext cx="689483" cy="172227"/>
    <mc:AlternateContent xmlns:mc="http://schemas.openxmlformats.org/markup-compatibility/2006" xmlns:a14="http://schemas.microsoft.com/office/drawing/2010/main">
      <mc:Choice Requires="a14">
        <xdr:sp macro="" textlink="">
          <xdr:nvSpPr>
            <xdr:cNvPr id="6" name="CuadroTexto 5">
              <a:extLst>
                <a:ext uri="{FF2B5EF4-FFF2-40B4-BE49-F238E27FC236}">
                  <a16:creationId xmlns:a16="http://schemas.microsoft.com/office/drawing/2014/main" id="{00000000-0008-0000-2000-000006000000}"/>
                </a:ext>
              </a:extLst>
            </xdr:cNvPr>
            <xdr:cNvSpPr txBox="1"/>
          </xdr:nvSpPr>
          <xdr:spPr>
            <a:xfrm>
              <a:off x="872366" y="22243428"/>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𝒊𝒏𝒔𝒕</m:t>
                        </m:r>
                      </m:sub>
                    </m:sSub>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0" i="1">
                        <a:latin typeface="Cambria Math" panose="02040503050406030204" pitchFamily="18" charset="0"/>
                      </a:rPr>
                      <m:t>)</m:t>
                    </m:r>
                  </m:oMath>
                </m:oMathPara>
              </a14:m>
              <a:endParaRPr lang="es-CO" sz="1100"/>
            </a:p>
          </xdr:txBody>
        </xdr:sp>
      </mc:Choice>
      <mc:Fallback xmlns="">
        <xdr:sp macro="" textlink="">
          <xdr:nvSpPr>
            <xdr:cNvPr id="6" name="CuadroTexto 5">
              <a:extLst>
                <a:ext uri="{FF2B5EF4-FFF2-40B4-BE49-F238E27FC236}">
                  <a16:creationId xmlns:a16="http://schemas.microsoft.com/office/drawing/2014/main" xmlns="" xmlns:a14="http://schemas.microsoft.com/office/drawing/2010/main" id="{00000000-0008-0000-1000-000006000000}"/>
                </a:ext>
              </a:extLst>
            </xdr:cNvPr>
            <xdr:cNvSpPr txBox="1"/>
          </xdr:nvSpPr>
          <xdr:spPr>
            <a:xfrm>
              <a:off x="872366" y="22243428"/>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𝒖_𝒊𝒏𝒔𝒕 (𝒎_𝒄𝒓</a:t>
              </a:r>
              <a:r>
                <a:rPr lang="es-CO" sz="1100" b="0" i="0">
                  <a:latin typeface="Cambria Math" panose="02040503050406030204" pitchFamily="18" charset="0"/>
                </a:rPr>
                <a:t>)</a:t>
              </a:r>
              <a:endParaRPr lang="es-CO" sz="1100"/>
            </a:p>
          </xdr:txBody>
        </xdr:sp>
      </mc:Fallback>
    </mc:AlternateContent>
    <xdr:clientData/>
  </xdr:oneCellAnchor>
  <xdr:oneCellAnchor>
    <xdr:from>
      <xdr:col>1</xdr:col>
      <xdr:colOff>183870</xdr:colOff>
      <xdr:row>62</xdr:row>
      <xdr:rowOff>264645</xdr:rowOff>
    </xdr:from>
    <xdr:ext cx="397353" cy="172227"/>
    <mc:AlternateContent xmlns:mc="http://schemas.openxmlformats.org/markup-compatibility/2006" xmlns:a14="http://schemas.microsoft.com/office/drawing/2010/main">
      <mc:Choice Requires="a14">
        <xdr:sp macro="" textlink="">
          <xdr:nvSpPr>
            <xdr:cNvPr id="7" name="CuadroTexto 6">
              <a:extLst>
                <a:ext uri="{FF2B5EF4-FFF2-40B4-BE49-F238E27FC236}">
                  <a16:creationId xmlns:a16="http://schemas.microsoft.com/office/drawing/2014/main" id="{00000000-0008-0000-2000-000007000000}"/>
                </a:ext>
              </a:extLst>
            </xdr:cNvPr>
            <xdr:cNvSpPr txBox="1"/>
          </xdr:nvSpPr>
          <xdr:spPr>
            <a:xfrm>
              <a:off x="1022070" y="23724720"/>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𝒂</m:t>
                        </m:r>
                      </m:sub>
                    </m:sSub>
                    <m:r>
                      <a:rPr lang="es-CO" sz="1100" b="1" i="1">
                        <a:latin typeface="Cambria Math" panose="02040503050406030204" pitchFamily="18" charset="0"/>
                      </a:rPr>
                      <m:t>)</m:t>
                    </m:r>
                  </m:oMath>
                </m:oMathPara>
              </a14:m>
              <a:endParaRPr lang="es-CO" sz="1100" b="1"/>
            </a:p>
          </xdr:txBody>
        </xdr:sp>
      </mc:Choice>
      <mc:Fallback xmlns="">
        <xdr:sp macro="" textlink="">
          <xdr:nvSpPr>
            <xdr:cNvPr id="7" name="CuadroTexto 6">
              <a:extLst>
                <a:ext uri="{FF2B5EF4-FFF2-40B4-BE49-F238E27FC236}">
                  <a16:creationId xmlns:a16="http://schemas.microsoft.com/office/drawing/2014/main" xmlns="" xmlns:a14="http://schemas.microsoft.com/office/drawing/2010/main" id="{00000000-0008-0000-1000-000007000000}"/>
                </a:ext>
              </a:extLst>
            </xdr:cNvPr>
            <xdr:cNvSpPr txBox="1"/>
          </xdr:nvSpPr>
          <xdr:spPr>
            <a:xfrm>
              <a:off x="1022070" y="23724720"/>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𝒂)</a:t>
              </a:r>
              <a:endParaRPr lang="es-CO" sz="1100" b="1"/>
            </a:p>
          </xdr:txBody>
        </xdr:sp>
      </mc:Fallback>
    </mc:AlternateContent>
    <xdr:clientData/>
  </xdr:oneCellAnchor>
  <xdr:oneCellAnchor>
    <xdr:from>
      <xdr:col>1</xdr:col>
      <xdr:colOff>186298</xdr:colOff>
      <xdr:row>63</xdr:row>
      <xdr:rowOff>266606</xdr:rowOff>
    </xdr:from>
    <xdr:ext cx="376642" cy="172227"/>
    <mc:AlternateContent xmlns:mc="http://schemas.openxmlformats.org/markup-compatibility/2006" xmlns:a14="http://schemas.microsoft.com/office/drawing/2010/main">
      <mc:Choice Requires="a14">
        <xdr:sp macro="" textlink="">
          <xdr:nvSpPr>
            <xdr:cNvPr id="8" name="CuadroTexto 7">
              <a:extLst>
                <a:ext uri="{FF2B5EF4-FFF2-40B4-BE49-F238E27FC236}">
                  <a16:creationId xmlns:a16="http://schemas.microsoft.com/office/drawing/2014/main" id="{00000000-0008-0000-2000-000008000000}"/>
                </a:ext>
              </a:extLst>
            </xdr:cNvPr>
            <xdr:cNvSpPr txBox="1"/>
          </xdr:nvSpPr>
          <xdr:spPr>
            <a:xfrm>
              <a:off x="1024498" y="244601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𝒕</m:t>
                        </m:r>
                      </m:sub>
                    </m:sSub>
                    <m:r>
                      <a:rPr lang="es-CO" sz="1100" b="1" i="1">
                        <a:latin typeface="Cambria Math" panose="02040503050406030204" pitchFamily="18" charset="0"/>
                      </a:rPr>
                      <m:t>)</m:t>
                    </m:r>
                  </m:oMath>
                </m:oMathPara>
              </a14:m>
              <a:endParaRPr lang="es-CO" sz="1100" b="1"/>
            </a:p>
          </xdr:txBody>
        </xdr:sp>
      </mc:Choice>
      <mc:Fallback xmlns="">
        <xdr:sp macro="" textlink="">
          <xdr:nvSpPr>
            <xdr:cNvPr id="8" name="CuadroTexto 7">
              <a:extLst>
                <a:ext uri="{FF2B5EF4-FFF2-40B4-BE49-F238E27FC236}">
                  <a16:creationId xmlns:a16="http://schemas.microsoft.com/office/drawing/2014/main" xmlns="" xmlns:a14="http://schemas.microsoft.com/office/drawing/2010/main" id="{00000000-0008-0000-1000-000008000000}"/>
                </a:ext>
              </a:extLst>
            </xdr:cNvPr>
            <xdr:cNvSpPr txBox="1"/>
          </xdr:nvSpPr>
          <xdr:spPr>
            <a:xfrm>
              <a:off x="1024498" y="244601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𝒕)</a:t>
              </a:r>
              <a:endParaRPr lang="es-CO" sz="1100" b="1"/>
            </a:p>
          </xdr:txBody>
        </xdr:sp>
      </mc:Fallback>
    </mc:AlternateContent>
    <xdr:clientData/>
  </xdr:oneCellAnchor>
  <xdr:oneCellAnchor>
    <xdr:from>
      <xdr:col>1</xdr:col>
      <xdr:colOff>186298</xdr:colOff>
      <xdr:row>64</xdr:row>
      <xdr:rowOff>222250</xdr:rowOff>
    </xdr:from>
    <xdr:ext cx="388696" cy="172227"/>
    <mc:AlternateContent xmlns:mc="http://schemas.openxmlformats.org/markup-compatibility/2006" xmlns:a14="http://schemas.microsoft.com/office/drawing/2010/main">
      <mc:Choice Requires="a14">
        <xdr:sp macro="" textlink="">
          <xdr:nvSpPr>
            <xdr:cNvPr id="9" name="CuadroTexto 8">
              <a:extLst>
                <a:ext uri="{FF2B5EF4-FFF2-40B4-BE49-F238E27FC236}">
                  <a16:creationId xmlns:a16="http://schemas.microsoft.com/office/drawing/2014/main" id="{00000000-0008-0000-2000-000009000000}"/>
                </a:ext>
              </a:extLst>
            </xdr:cNvPr>
            <xdr:cNvSpPr txBox="1"/>
          </xdr:nvSpPr>
          <xdr:spPr>
            <a:xfrm>
              <a:off x="1024498" y="25149175"/>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9" name="CuadroTexto 8">
              <a:extLst>
                <a:ext uri="{FF2B5EF4-FFF2-40B4-BE49-F238E27FC236}">
                  <a16:creationId xmlns:a16="http://schemas.microsoft.com/office/drawing/2014/main" xmlns="" xmlns:a14="http://schemas.microsoft.com/office/drawing/2010/main" id="{00000000-0008-0000-1000-000009000000}"/>
                </a:ext>
              </a:extLst>
            </xdr:cNvPr>
            <xdr:cNvSpPr txBox="1"/>
          </xdr:nvSpPr>
          <xdr:spPr>
            <a:xfrm>
              <a:off x="1024498" y="25149175"/>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𝒓)</a:t>
              </a:r>
              <a:endParaRPr lang="es-CO" sz="1100" b="1"/>
            </a:p>
          </xdr:txBody>
        </xdr:sp>
      </mc:Fallback>
    </mc:AlternateContent>
    <xdr:clientData/>
  </xdr:oneCellAnchor>
  <xdr:oneCellAnchor>
    <xdr:from>
      <xdr:col>1</xdr:col>
      <xdr:colOff>265579</xdr:colOff>
      <xdr:row>65</xdr:row>
      <xdr:rowOff>288458</xdr:rowOff>
    </xdr:from>
    <xdr:ext cx="191271" cy="172227"/>
    <mc:AlternateContent xmlns:mc="http://schemas.openxmlformats.org/markup-compatibility/2006" xmlns:a14="http://schemas.microsoft.com/office/drawing/2010/main">
      <mc:Choice Requires="a14">
        <xdr:sp macro="" textlink="">
          <xdr:nvSpPr>
            <xdr:cNvPr id="10" name="CuadroTexto 9">
              <a:extLst>
                <a:ext uri="{FF2B5EF4-FFF2-40B4-BE49-F238E27FC236}">
                  <a16:creationId xmlns:a16="http://schemas.microsoft.com/office/drawing/2014/main" id="{00000000-0008-0000-2000-00000A000000}"/>
                </a:ext>
              </a:extLst>
            </xdr:cNvPr>
            <xdr:cNvSpPr txBox="1"/>
          </xdr:nvSpPr>
          <xdr:spPr>
            <a:xfrm>
              <a:off x="1103779" y="2594880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𝒃</m:t>
                        </m:r>
                      </m:sub>
                    </m:sSub>
                  </m:oMath>
                </m:oMathPara>
              </a14:m>
              <a:endParaRPr lang="es-CO" sz="1100" b="1"/>
            </a:p>
          </xdr:txBody>
        </xdr:sp>
      </mc:Choice>
      <mc:Fallback xmlns="">
        <xdr:sp macro="" textlink="">
          <xdr:nvSpPr>
            <xdr:cNvPr id="10" name="CuadroTexto 9">
              <a:extLst>
                <a:ext uri="{FF2B5EF4-FFF2-40B4-BE49-F238E27FC236}">
                  <a16:creationId xmlns:a16="http://schemas.microsoft.com/office/drawing/2014/main" xmlns="" xmlns:a14="http://schemas.microsoft.com/office/drawing/2010/main" id="{00000000-0008-0000-1000-00000A000000}"/>
                </a:ext>
              </a:extLst>
            </xdr:cNvPr>
            <xdr:cNvSpPr txBox="1"/>
          </xdr:nvSpPr>
          <xdr:spPr>
            <a:xfrm>
              <a:off x="1103779" y="2594880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𝒖_𝒃</a:t>
              </a:r>
              <a:endParaRPr lang="es-CO" sz="1100" b="1"/>
            </a:p>
          </xdr:txBody>
        </xdr:sp>
      </mc:Fallback>
    </mc:AlternateContent>
    <xdr:clientData/>
  </xdr:oneCellAnchor>
  <xdr:oneCellAnchor>
    <xdr:from>
      <xdr:col>1</xdr:col>
      <xdr:colOff>261391</xdr:colOff>
      <xdr:row>66</xdr:row>
      <xdr:rowOff>294234</xdr:rowOff>
    </xdr:from>
    <xdr:ext cx="195053" cy="172227"/>
    <mc:AlternateContent xmlns:mc="http://schemas.openxmlformats.org/markup-compatibility/2006" xmlns:a14="http://schemas.microsoft.com/office/drawing/2010/main">
      <mc:Choice Requires="a14">
        <xdr:sp macro="" textlink="">
          <xdr:nvSpPr>
            <xdr:cNvPr id="11" name="CuadroTexto 10">
              <a:extLst>
                <a:ext uri="{FF2B5EF4-FFF2-40B4-BE49-F238E27FC236}">
                  <a16:creationId xmlns:a16="http://schemas.microsoft.com/office/drawing/2014/main" id="{00000000-0008-0000-2000-00000B000000}"/>
                </a:ext>
              </a:extLst>
            </xdr:cNvPr>
            <xdr:cNvSpPr txBox="1"/>
          </xdr:nvSpPr>
          <xdr:spPr>
            <a:xfrm>
              <a:off x="1099591" y="26688009"/>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𝒅</m:t>
                        </m:r>
                      </m:sub>
                    </m:sSub>
                  </m:oMath>
                </m:oMathPara>
              </a14:m>
              <a:endParaRPr lang="es-CO" sz="1100" b="1"/>
            </a:p>
          </xdr:txBody>
        </xdr:sp>
      </mc:Choice>
      <mc:Fallback xmlns="">
        <xdr:sp macro="" textlink="">
          <xdr:nvSpPr>
            <xdr:cNvPr id="11" name="CuadroTexto 10">
              <a:extLst>
                <a:ext uri="{FF2B5EF4-FFF2-40B4-BE49-F238E27FC236}">
                  <a16:creationId xmlns:a16="http://schemas.microsoft.com/office/drawing/2014/main" xmlns="" xmlns:a14="http://schemas.microsoft.com/office/drawing/2010/main" id="{00000000-0008-0000-1000-00000B000000}"/>
                </a:ext>
              </a:extLst>
            </xdr:cNvPr>
            <xdr:cNvSpPr txBox="1"/>
          </xdr:nvSpPr>
          <xdr:spPr>
            <a:xfrm>
              <a:off x="1099591" y="26688009"/>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𝒖_𝒅</a:t>
              </a:r>
              <a:endParaRPr lang="es-CO" sz="1100" b="1"/>
            </a:p>
          </xdr:txBody>
        </xdr:sp>
      </mc:Fallback>
    </mc:AlternateContent>
    <xdr:clientData/>
  </xdr:oneCellAnchor>
  <xdr:oneCellAnchor>
    <xdr:from>
      <xdr:col>5</xdr:col>
      <xdr:colOff>393571</xdr:colOff>
      <xdr:row>69</xdr:row>
      <xdr:rowOff>265119</xdr:rowOff>
    </xdr:from>
    <xdr:ext cx="529697" cy="172227"/>
    <mc:AlternateContent xmlns:mc="http://schemas.openxmlformats.org/markup-compatibility/2006" xmlns:a14="http://schemas.microsoft.com/office/drawing/2010/main">
      <mc:Choice Requires="a14">
        <xdr:sp macro="" textlink="">
          <xdr:nvSpPr>
            <xdr:cNvPr id="12" name="CuadroTexto 11">
              <a:extLst>
                <a:ext uri="{FF2B5EF4-FFF2-40B4-BE49-F238E27FC236}">
                  <a16:creationId xmlns:a16="http://schemas.microsoft.com/office/drawing/2014/main" id="{00000000-0008-0000-2000-00000C000000}"/>
                </a:ext>
              </a:extLst>
            </xdr:cNvPr>
            <xdr:cNvSpPr txBox="1"/>
          </xdr:nvSpPr>
          <xdr:spPr>
            <a:xfrm>
              <a:off x="5251321" y="28220994"/>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𝒄</m:t>
                        </m:r>
                      </m:sub>
                    </m:sSub>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12" name="CuadroTexto 11">
              <a:extLst>
                <a:ext uri="{FF2B5EF4-FFF2-40B4-BE49-F238E27FC236}">
                  <a16:creationId xmlns:a16="http://schemas.microsoft.com/office/drawing/2014/main" xmlns="" xmlns:a14="http://schemas.microsoft.com/office/drawing/2010/main" id="{00000000-0008-0000-1000-00000C000000}"/>
                </a:ext>
              </a:extLst>
            </xdr:cNvPr>
            <xdr:cNvSpPr txBox="1"/>
          </xdr:nvSpPr>
          <xdr:spPr>
            <a:xfrm>
              <a:off x="5251321" y="28220994"/>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𝒖_𝒄 (</a:t>
              </a:r>
              <a:r>
                <a:rPr lang="es-CO" sz="1100" b="1" i="0">
                  <a:latin typeface="Cambria Math" panose="02040503050406030204" pitchFamily="18" charset="0"/>
                  <a:ea typeface="Cambria Math" panose="02040503050406030204" pitchFamily="18" charset="0"/>
                </a:rPr>
                <a:t>𝒎_𝒄𝒕)</a:t>
              </a:r>
              <a:endParaRPr lang="es-CO" sz="1100" b="1"/>
            </a:p>
          </xdr:txBody>
        </xdr:sp>
      </mc:Fallback>
    </mc:AlternateContent>
    <xdr:clientData/>
  </xdr:oneCellAnchor>
  <xdr:oneCellAnchor>
    <xdr:from>
      <xdr:col>5</xdr:col>
      <xdr:colOff>243965</xdr:colOff>
      <xdr:row>70</xdr:row>
      <xdr:rowOff>130277</xdr:rowOff>
    </xdr:from>
    <xdr:ext cx="780598" cy="172227"/>
    <mc:AlternateContent xmlns:mc="http://schemas.openxmlformats.org/markup-compatibility/2006" xmlns:a14="http://schemas.microsoft.com/office/drawing/2010/main">
      <mc:Choice Requires="a14">
        <xdr:sp macro="" textlink="">
          <xdr:nvSpPr>
            <xdr:cNvPr id="13" name="CuadroTexto 12">
              <a:extLst>
                <a:ext uri="{FF2B5EF4-FFF2-40B4-BE49-F238E27FC236}">
                  <a16:creationId xmlns:a16="http://schemas.microsoft.com/office/drawing/2014/main" id="{00000000-0008-0000-2000-00000D000000}"/>
                </a:ext>
              </a:extLst>
            </xdr:cNvPr>
            <xdr:cNvSpPr txBox="1"/>
          </xdr:nvSpPr>
          <xdr:spPr>
            <a:xfrm>
              <a:off x="5101715" y="2874337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100" b="1" i="1">
                      <a:latin typeface="Cambria Math" panose="02040503050406030204" pitchFamily="18" charset="0"/>
                    </a:rPr>
                    <m:t>𝑼</m:t>
                  </m:r>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a14:m>
              <a:r>
                <a:rPr lang="es-CO" sz="1100" b="1"/>
                <a:t> (k=2)</a:t>
              </a:r>
            </a:p>
          </xdr:txBody>
        </xdr:sp>
      </mc:Choice>
      <mc:Fallback xmlns="">
        <xdr:sp macro="" textlink="">
          <xdr:nvSpPr>
            <xdr:cNvPr id="13" name="CuadroTexto 12">
              <a:extLst>
                <a:ext uri="{FF2B5EF4-FFF2-40B4-BE49-F238E27FC236}">
                  <a16:creationId xmlns:a16="http://schemas.microsoft.com/office/drawing/2014/main" xmlns="" xmlns:a14="http://schemas.microsoft.com/office/drawing/2010/main" id="{00000000-0008-0000-1000-00000D000000}"/>
                </a:ext>
              </a:extLst>
            </xdr:cNvPr>
            <xdr:cNvSpPr txBox="1"/>
          </xdr:nvSpPr>
          <xdr:spPr>
            <a:xfrm>
              <a:off x="5101715" y="2874337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100" b="1" i="0">
                  <a:latin typeface="Cambria Math" panose="02040503050406030204" pitchFamily="18" charset="0"/>
                </a:rPr>
                <a:t>𝑼(</a:t>
              </a:r>
              <a:r>
                <a:rPr lang="es-CO" sz="1100" b="1" i="0">
                  <a:latin typeface="Cambria Math" panose="02040503050406030204" pitchFamily="18" charset="0"/>
                  <a:ea typeface="Cambria Math" panose="02040503050406030204" pitchFamily="18" charset="0"/>
                </a:rPr>
                <a:t>𝒎_𝒄𝒕)</a:t>
              </a:r>
              <a:r>
                <a:rPr lang="es-CO" sz="1100" b="1"/>
                <a:t> (k=2)</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14" name="CuadroTexto 13">
              <a:extLst>
                <a:ext uri="{FF2B5EF4-FFF2-40B4-BE49-F238E27FC236}">
                  <a16:creationId xmlns:a16="http://schemas.microsoft.com/office/drawing/2014/main" id="{00000000-0008-0000-2000-00000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14" name="CuadroTexto 13">
              <a:extLst>
                <a:ext uri="{FF2B5EF4-FFF2-40B4-BE49-F238E27FC236}">
                  <a16:creationId xmlns:a16="http://schemas.microsoft.com/office/drawing/2014/main" xmlns="" xmlns:a14="http://schemas.microsoft.com/office/drawing/2010/main" id="{00000000-0008-0000-1000-00000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8</xdr:col>
      <xdr:colOff>541269</xdr:colOff>
      <xdr:row>52</xdr:row>
      <xdr:rowOff>78683</xdr:rowOff>
    </xdr:from>
    <xdr:ext cx="304571" cy="172227"/>
    <mc:AlternateContent xmlns:mc="http://schemas.openxmlformats.org/markup-compatibility/2006" xmlns:a14="http://schemas.microsoft.com/office/drawing/2010/main">
      <mc:Choice Requires="a14">
        <xdr:sp macro="" textlink="">
          <xdr:nvSpPr>
            <xdr:cNvPr id="15" name="CuadroTexto 14">
              <a:extLst>
                <a:ext uri="{FF2B5EF4-FFF2-40B4-BE49-F238E27FC236}">
                  <a16:creationId xmlns:a16="http://schemas.microsoft.com/office/drawing/2014/main" id="{00000000-0008-0000-2000-00000F000000}"/>
                </a:ext>
              </a:extLst>
            </xdr:cNvPr>
            <xdr:cNvSpPr txBox="1"/>
          </xdr:nvSpPr>
          <xdr:spPr>
            <a:xfrm>
              <a:off x="9313794" y="18623858"/>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oMath>
                </m:oMathPara>
              </a14:m>
              <a:endParaRPr lang="es-CO" sz="1100" b="1"/>
            </a:p>
          </xdr:txBody>
        </xdr:sp>
      </mc:Choice>
      <mc:Fallback xmlns="">
        <xdr:sp macro="" textlink="">
          <xdr:nvSpPr>
            <xdr:cNvPr id="15" name="CuadroTexto 14">
              <a:extLst>
                <a:ext uri="{FF2B5EF4-FFF2-40B4-BE49-F238E27FC236}">
                  <a16:creationId xmlns:a16="http://schemas.microsoft.com/office/drawing/2014/main" xmlns="" xmlns:a14="http://schemas.microsoft.com/office/drawing/2010/main" id="{00000000-0008-0000-1000-00000F000000}"/>
                </a:ext>
              </a:extLst>
            </xdr:cNvPr>
            <xdr:cNvSpPr txBox="1"/>
          </xdr:nvSpPr>
          <xdr:spPr>
            <a:xfrm>
              <a:off x="9313794" y="18623858"/>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4</xdr:col>
      <xdr:colOff>155713</xdr:colOff>
      <xdr:row>39</xdr:row>
      <xdr:rowOff>106017</xdr:rowOff>
    </xdr:from>
    <xdr:ext cx="65" cy="172227"/>
    <xdr:sp macro="" textlink="">
      <xdr:nvSpPr>
        <xdr:cNvPr id="16" name="CuadroTexto 15">
          <a:extLst>
            <a:ext uri="{FF2B5EF4-FFF2-40B4-BE49-F238E27FC236}">
              <a16:creationId xmlns:a16="http://schemas.microsoft.com/office/drawing/2014/main" id="{00000000-0008-0000-2000-000010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17" name="CuadroTexto 16">
              <a:extLst>
                <a:ext uri="{FF2B5EF4-FFF2-40B4-BE49-F238E27FC236}">
                  <a16:creationId xmlns:a16="http://schemas.microsoft.com/office/drawing/2014/main" id="{00000000-0008-0000-2000-000011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7" name="CuadroTexto 16">
              <a:extLst>
                <a:ext uri="{FF2B5EF4-FFF2-40B4-BE49-F238E27FC236}">
                  <a16:creationId xmlns:a16="http://schemas.microsoft.com/office/drawing/2014/main" xmlns="" xmlns:a14="http://schemas.microsoft.com/office/drawing/2010/main" id="{00000000-0008-0000-1000-000011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18" name="CuadroTexto 17">
              <a:extLst>
                <a:ext uri="{FF2B5EF4-FFF2-40B4-BE49-F238E27FC236}">
                  <a16:creationId xmlns:a16="http://schemas.microsoft.com/office/drawing/2014/main" id="{00000000-0008-0000-2000-000012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18" name="CuadroTexto 17">
              <a:extLst>
                <a:ext uri="{FF2B5EF4-FFF2-40B4-BE49-F238E27FC236}">
                  <a16:creationId xmlns:a16="http://schemas.microsoft.com/office/drawing/2014/main" xmlns="" xmlns:a14="http://schemas.microsoft.com/office/drawing/2010/main" id="{00000000-0008-0000-1000-000012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19" name="CuadroTexto 18">
              <a:extLst>
                <a:ext uri="{FF2B5EF4-FFF2-40B4-BE49-F238E27FC236}">
                  <a16:creationId xmlns:a16="http://schemas.microsoft.com/office/drawing/2014/main" id="{00000000-0008-0000-2000-000013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9" name="CuadroTexto 18">
              <a:extLst>
                <a:ext uri="{FF2B5EF4-FFF2-40B4-BE49-F238E27FC236}">
                  <a16:creationId xmlns:a16="http://schemas.microsoft.com/office/drawing/2014/main" xmlns="" xmlns:a14="http://schemas.microsoft.com/office/drawing/2010/main" id="{00000000-0008-0000-1000-000013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0" name="CuadroTexto 19">
              <a:extLst>
                <a:ext uri="{FF2B5EF4-FFF2-40B4-BE49-F238E27FC236}">
                  <a16:creationId xmlns:a16="http://schemas.microsoft.com/office/drawing/2014/main" id="{00000000-0008-0000-2000-000014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0" name="CuadroTexto 19">
              <a:extLst>
                <a:ext uri="{FF2B5EF4-FFF2-40B4-BE49-F238E27FC236}">
                  <a16:creationId xmlns:a16="http://schemas.microsoft.com/office/drawing/2014/main" xmlns="" xmlns:a14="http://schemas.microsoft.com/office/drawing/2010/main" id="{00000000-0008-0000-1000-000014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1" name="CuadroTexto 20">
          <a:extLst>
            <a:ext uri="{FF2B5EF4-FFF2-40B4-BE49-F238E27FC236}">
              <a16:creationId xmlns:a16="http://schemas.microsoft.com/office/drawing/2014/main" id="{00000000-0008-0000-2000-000015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3</xdr:col>
      <xdr:colOff>236456</xdr:colOff>
      <xdr:row>73</xdr:row>
      <xdr:rowOff>141002</xdr:rowOff>
    </xdr:from>
    <xdr:ext cx="730521" cy="219163"/>
    <mc:AlternateContent xmlns:mc="http://schemas.openxmlformats.org/markup-compatibility/2006" xmlns:a14="http://schemas.microsoft.com/office/drawing/2010/main">
      <mc:Choice Requires="a14">
        <xdr:sp macro="" textlink="">
          <xdr:nvSpPr>
            <xdr:cNvPr id="22" name="CuadroTexto 21">
              <a:extLst>
                <a:ext uri="{FF2B5EF4-FFF2-40B4-BE49-F238E27FC236}">
                  <a16:creationId xmlns:a16="http://schemas.microsoft.com/office/drawing/2014/main" id="{00000000-0008-0000-2000-000016000000}"/>
                </a:ext>
              </a:extLst>
            </xdr:cNvPr>
            <xdr:cNvSpPr txBox="1"/>
          </xdr:nvSpPr>
          <xdr:spPr>
            <a:xfrm>
              <a:off x="2922506" y="30059027"/>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m:t>
                  </m:r>
                  <m:sSub>
                    <m:sSubPr>
                      <m:ctrlPr>
                        <a:rPr lang="es-CO" sz="1400" b="1" i="1">
                          <a:latin typeface="Cambria Math" panose="02040503050406030204" pitchFamily="18" charset="0"/>
                          <a:ea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𝒎</m:t>
                      </m:r>
                    </m:e>
                    <m:sub>
                      <m:r>
                        <a:rPr lang="es-CO" sz="1400" b="1" i="1">
                          <a:latin typeface="Cambria Math" panose="02040503050406030204" pitchFamily="18" charset="0"/>
                          <a:ea typeface="Cambria Math" panose="02040503050406030204" pitchFamily="18" charset="0"/>
                        </a:rPr>
                        <m:t>𝒄</m:t>
                      </m:r>
                    </m:sub>
                  </m:sSub>
                </m:oMath>
              </a14:m>
              <a:r>
                <a:rPr lang="es-CO" sz="1400" b="1" i="1"/>
                <a:t> (mg</a:t>
              </a:r>
              <a:r>
                <a:rPr lang="es-CO" sz="1200" b="1" i="0"/>
                <a:t>)</a:t>
              </a:r>
            </a:p>
          </xdr:txBody>
        </xdr:sp>
      </mc:Choice>
      <mc:Fallback xmlns="">
        <xdr:sp macro="" textlink="">
          <xdr:nvSpPr>
            <xdr:cNvPr id="22" name="CuadroTexto 21">
              <a:extLst>
                <a:ext uri="{FF2B5EF4-FFF2-40B4-BE49-F238E27FC236}">
                  <a16:creationId xmlns:a16="http://schemas.microsoft.com/office/drawing/2014/main" xmlns="" xmlns:a14="http://schemas.microsoft.com/office/drawing/2010/main" id="{00000000-0008-0000-1000-000016000000}"/>
                </a:ext>
              </a:extLst>
            </xdr:cNvPr>
            <xdr:cNvSpPr txBox="1"/>
          </xdr:nvSpPr>
          <xdr:spPr>
            <a:xfrm>
              <a:off x="2922506" y="30059027"/>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400" b="1" i="0">
                  <a:latin typeface="Cambria Math" panose="02040503050406030204" pitchFamily="18" charset="0"/>
                  <a:ea typeface="Cambria Math" panose="02040503050406030204" pitchFamily="18" charset="0"/>
                </a:rPr>
                <a:t>∆𝒎_𝒄</a:t>
              </a:r>
              <a:r>
                <a:rPr lang="es-CO" sz="1400" b="1" i="1"/>
                <a:t> (mg</a:t>
              </a:r>
              <a:r>
                <a:rPr lang="es-CO" sz="1200" b="1" i="0"/>
                <a:t>)</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23" name="CuadroTexto 22">
              <a:extLst>
                <a:ext uri="{FF2B5EF4-FFF2-40B4-BE49-F238E27FC236}">
                  <a16:creationId xmlns:a16="http://schemas.microsoft.com/office/drawing/2014/main" id="{00000000-0008-0000-2000-000017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23" name="CuadroTexto 22">
              <a:extLst>
                <a:ext uri="{FF2B5EF4-FFF2-40B4-BE49-F238E27FC236}">
                  <a16:creationId xmlns:a16="http://schemas.microsoft.com/office/drawing/2014/main" xmlns="" xmlns:a14="http://schemas.microsoft.com/office/drawing/2010/main" id="{00000000-0008-0000-1000-000023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24" name="CuadroTexto 23">
          <a:extLst>
            <a:ext uri="{FF2B5EF4-FFF2-40B4-BE49-F238E27FC236}">
              <a16:creationId xmlns:a16="http://schemas.microsoft.com/office/drawing/2014/main" id="{00000000-0008-0000-2000-000018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25" name="CuadroTexto 24">
              <a:extLst>
                <a:ext uri="{FF2B5EF4-FFF2-40B4-BE49-F238E27FC236}">
                  <a16:creationId xmlns:a16="http://schemas.microsoft.com/office/drawing/2014/main" id="{00000000-0008-0000-2000-000019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5" name="CuadroTexto 24">
              <a:extLst>
                <a:ext uri="{FF2B5EF4-FFF2-40B4-BE49-F238E27FC236}">
                  <a16:creationId xmlns:a16="http://schemas.microsoft.com/office/drawing/2014/main" xmlns="" xmlns:a14="http://schemas.microsoft.com/office/drawing/2010/main" id="{00000000-0008-0000-1000-000026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26" name="CuadroTexto 25">
              <a:extLst>
                <a:ext uri="{FF2B5EF4-FFF2-40B4-BE49-F238E27FC236}">
                  <a16:creationId xmlns:a16="http://schemas.microsoft.com/office/drawing/2014/main" id="{00000000-0008-0000-2000-00001A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6" name="CuadroTexto 25">
              <a:extLst>
                <a:ext uri="{FF2B5EF4-FFF2-40B4-BE49-F238E27FC236}">
                  <a16:creationId xmlns:a16="http://schemas.microsoft.com/office/drawing/2014/main" xmlns="" xmlns:a14="http://schemas.microsoft.com/office/drawing/2010/main" id="{00000000-0008-0000-1000-000027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27" name="CuadroTexto 26">
              <a:extLst>
                <a:ext uri="{FF2B5EF4-FFF2-40B4-BE49-F238E27FC236}">
                  <a16:creationId xmlns:a16="http://schemas.microsoft.com/office/drawing/2014/main" id="{00000000-0008-0000-2000-00001B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7" name="CuadroTexto 26">
              <a:extLst>
                <a:ext uri="{FF2B5EF4-FFF2-40B4-BE49-F238E27FC236}">
                  <a16:creationId xmlns:a16="http://schemas.microsoft.com/office/drawing/2014/main" xmlns="" xmlns:a14="http://schemas.microsoft.com/office/drawing/2010/main" id="{00000000-0008-0000-1000-000028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8" name="CuadroTexto 27">
              <a:extLst>
                <a:ext uri="{FF2B5EF4-FFF2-40B4-BE49-F238E27FC236}">
                  <a16:creationId xmlns:a16="http://schemas.microsoft.com/office/drawing/2014/main" id="{00000000-0008-0000-2000-00001C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8" name="CuadroTexto 27">
              <a:extLst>
                <a:ext uri="{FF2B5EF4-FFF2-40B4-BE49-F238E27FC236}">
                  <a16:creationId xmlns:a16="http://schemas.microsoft.com/office/drawing/2014/main" xmlns="" xmlns:a14="http://schemas.microsoft.com/office/drawing/2010/main" id="{00000000-0008-0000-1000-000029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9" name="CuadroTexto 28">
          <a:extLst>
            <a:ext uri="{FF2B5EF4-FFF2-40B4-BE49-F238E27FC236}">
              <a16:creationId xmlns:a16="http://schemas.microsoft.com/office/drawing/2014/main" id="{00000000-0008-0000-2000-00001D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30" name="CuadroTexto 29">
              <a:extLst>
                <a:ext uri="{FF2B5EF4-FFF2-40B4-BE49-F238E27FC236}">
                  <a16:creationId xmlns:a16="http://schemas.microsoft.com/office/drawing/2014/main" id="{00000000-0008-0000-2000-00001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30" name="CuadroTexto 29">
              <a:extLst>
                <a:ext uri="{FF2B5EF4-FFF2-40B4-BE49-F238E27FC236}">
                  <a16:creationId xmlns:a16="http://schemas.microsoft.com/office/drawing/2014/main" xmlns="" xmlns:a14="http://schemas.microsoft.com/office/drawing/2010/main" id="{00000000-0008-0000-1000-000038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31" name="CuadroTexto 30">
          <a:extLst>
            <a:ext uri="{FF2B5EF4-FFF2-40B4-BE49-F238E27FC236}">
              <a16:creationId xmlns:a16="http://schemas.microsoft.com/office/drawing/2014/main" id="{00000000-0008-0000-2000-00001F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32" name="CuadroTexto 31">
              <a:extLst>
                <a:ext uri="{FF2B5EF4-FFF2-40B4-BE49-F238E27FC236}">
                  <a16:creationId xmlns:a16="http://schemas.microsoft.com/office/drawing/2014/main" id="{00000000-0008-0000-2000-000020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2" name="CuadroTexto 31">
              <a:extLst>
                <a:ext uri="{FF2B5EF4-FFF2-40B4-BE49-F238E27FC236}">
                  <a16:creationId xmlns:a16="http://schemas.microsoft.com/office/drawing/2014/main" xmlns="" xmlns:a14="http://schemas.microsoft.com/office/drawing/2010/main" id="{00000000-0008-0000-1000-00003B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33" name="CuadroTexto 32">
              <a:extLst>
                <a:ext uri="{FF2B5EF4-FFF2-40B4-BE49-F238E27FC236}">
                  <a16:creationId xmlns:a16="http://schemas.microsoft.com/office/drawing/2014/main" id="{00000000-0008-0000-2000-000021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3" name="CuadroTexto 32">
              <a:extLst>
                <a:ext uri="{FF2B5EF4-FFF2-40B4-BE49-F238E27FC236}">
                  <a16:creationId xmlns:a16="http://schemas.microsoft.com/office/drawing/2014/main" xmlns="" xmlns:a14="http://schemas.microsoft.com/office/drawing/2010/main" id="{00000000-0008-0000-1000-00003C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34" name="CuadroTexto 33">
              <a:extLst>
                <a:ext uri="{FF2B5EF4-FFF2-40B4-BE49-F238E27FC236}">
                  <a16:creationId xmlns:a16="http://schemas.microsoft.com/office/drawing/2014/main" id="{00000000-0008-0000-2000-000022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4" name="CuadroTexto 33">
              <a:extLst>
                <a:ext uri="{FF2B5EF4-FFF2-40B4-BE49-F238E27FC236}">
                  <a16:creationId xmlns:a16="http://schemas.microsoft.com/office/drawing/2014/main" xmlns="" xmlns:a14="http://schemas.microsoft.com/office/drawing/2010/main" id="{00000000-0008-0000-1000-00003D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35" name="CuadroTexto 34">
              <a:extLst>
                <a:ext uri="{FF2B5EF4-FFF2-40B4-BE49-F238E27FC236}">
                  <a16:creationId xmlns:a16="http://schemas.microsoft.com/office/drawing/2014/main" id="{00000000-0008-0000-2000-000023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5" name="CuadroTexto 34">
              <a:extLst>
                <a:ext uri="{FF2B5EF4-FFF2-40B4-BE49-F238E27FC236}">
                  <a16:creationId xmlns:a16="http://schemas.microsoft.com/office/drawing/2014/main" xmlns="" xmlns:a14="http://schemas.microsoft.com/office/drawing/2010/main" id="{00000000-0008-0000-1000-00003E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36" name="CuadroTexto 35">
          <a:extLst>
            <a:ext uri="{FF2B5EF4-FFF2-40B4-BE49-F238E27FC236}">
              <a16:creationId xmlns:a16="http://schemas.microsoft.com/office/drawing/2014/main" id="{00000000-0008-0000-2000-000024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11</xdr:col>
      <xdr:colOff>628650</xdr:colOff>
      <xdr:row>61</xdr:row>
      <xdr:rowOff>0</xdr:rowOff>
    </xdr:from>
    <xdr:ext cx="65" cy="172227"/>
    <xdr:sp macro="" textlink="">
      <xdr:nvSpPr>
        <xdr:cNvPr id="38" name="CuadroTexto 37">
          <a:extLst>
            <a:ext uri="{FF2B5EF4-FFF2-40B4-BE49-F238E27FC236}">
              <a16:creationId xmlns:a16="http://schemas.microsoft.com/office/drawing/2014/main" id="{00000000-0008-0000-2000-000026000000}"/>
            </a:ext>
          </a:extLst>
        </xdr:cNvPr>
        <xdr:cNvSpPr txBox="1"/>
      </xdr:nvSpPr>
      <xdr:spPr>
        <a:xfrm>
          <a:off x="12001500" y="2272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5</xdr:col>
      <xdr:colOff>539750</xdr:colOff>
      <xdr:row>73</xdr:row>
      <xdr:rowOff>158749</xdr:rowOff>
    </xdr:from>
    <xdr:ext cx="984250" cy="210507"/>
    <mc:AlternateContent xmlns:mc="http://schemas.openxmlformats.org/markup-compatibility/2006" xmlns:a14="http://schemas.microsoft.com/office/drawing/2010/main">
      <mc:Choice Requires="a14">
        <xdr:sp macro="" textlink="">
          <xdr:nvSpPr>
            <xdr:cNvPr id="39" name="CuadroTexto 38">
              <a:extLst>
                <a:ext uri="{FF2B5EF4-FFF2-40B4-BE49-F238E27FC236}">
                  <a16:creationId xmlns:a16="http://schemas.microsoft.com/office/drawing/2014/main" id="{00000000-0008-0000-2000-000027000000}"/>
                </a:ext>
              </a:extLst>
            </xdr:cNvPr>
            <xdr:cNvSpPr txBox="1"/>
          </xdr:nvSpPr>
          <xdr:spPr>
            <a:xfrm>
              <a:off x="5397500" y="30076774"/>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𝒆</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39" name="CuadroTexto 38">
              <a:extLst>
                <a:ext uri="{FF2B5EF4-FFF2-40B4-BE49-F238E27FC236}">
                  <a16:creationId xmlns:a16="http://schemas.microsoft.com/office/drawing/2014/main" xmlns="" xmlns:a14="http://schemas.microsoft.com/office/drawing/2010/main" id="{00000000-0008-0000-1000-000016000000}"/>
                </a:ext>
              </a:extLst>
            </xdr:cNvPr>
            <xdr:cNvSpPr txBox="1"/>
          </xdr:nvSpPr>
          <xdr:spPr>
            <a:xfrm>
              <a:off x="5397500" y="30076774"/>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𝒆 𝒄𝒕</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4</xdr:col>
      <xdr:colOff>52917</xdr:colOff>
      <xdr:row>73</xdr:row>
      <xdr:rowOff>148167</xdr:rowOff>
    </xdr:from>
    <xdr:ext cx="984250" cy="210507"/>
    <mc:AlternateContent xmlns:mc="http://schemas.openxmlformats.org/markup-compatibility/2006" xmlns:a14="http://schemas.microsoft.com/office/drawing/2010/main">
      <mc:Choice Requires="a14">
        <xdr:sp macro="" textlink="">
          <xdr:nvSpPr>
            <xdr:cNvPr id="40" name="CuadroTexto 39">
              <a:extLst>
                <a:ext uri="{FF2B5EF4-FFF2-40B4-BE49-F238E27FC236}">
                  <a16:creationId xmlns:a16="http://schemas.microsoft.com/office/drawing/2014/main" id="{00000000-0008-0000-2000-000028000000}"/>
                </a:ext>
              </a:extLst>
            </xdr:cNvPr>
            <xdr:cNvSpPr txBox="1"/>
          </xdr:nvSpPr>
          <xdr:spPr>
            <a:xfrm>
              <a:off x="3872442" y="30066192"/>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0" name="CuadroTexto 39">
              <a:extLst>
                <a:ext uri="{FF2B5EF4-FFF2-40B4-BE49-F238E27FC236}">
                  <a16:creationId xmlns:a16="http://schemas.microsoft.com/office/drawing/2014/main" xmlns="" xmlns:a14="http://schemas.microsoft.com/office/drawing/2010/main" id="{00000000-0008-0000-1000-000016000000}"/>
                </a:ext>
              </a:extLst>
            </xdr:cNvPr>
            <xdr:cNvSpPr txBox="1"/>
          </xdr:nvSpPr>
          <xdr:spPr>
            <a:xfrm>
              <a:off x="3872442" y="30066192"/>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𝒄𝒕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1</xdr:col>
      <xdr:colOff>23812</xdr:colOff>
      <xdr:row>73</xdr:row>
      <xdr:rowOff>95250</xdr:rowOff>
    </xdr:from>
    <xdr:ext cx="724958" cy="210507"/>
    <mc:AlternateContent xmlns:mc="http://schemas.openxmlformats.org/markup-compatibility/2006" xmlns:a14="http://schemas.microsoft.com/office/drawing/2010/main">
      <mc:Choice Requires="a14">
        <xdr:sp macro="" textlink="">
          <xdr:nvSpPr>
            <xdr:cNvPr id="42" name="CuadroTexto 41">
              <a:extLst>
                <a:ext uri="{FF2B5EF4-FFF2-40B4-BE49-F238E27FC236}">
                  <a16:creationId xmlns:a16="http://schemas.microsoft.com/office/drawing/2014/main" id="{00000000-0008-0000-2000-00002A000000}"/>
                </a:ext>
              </a:extLst>
            </xdr:cNvPr>
            <xdr:cNvSpPr txBox="1"/>
          </xdr:nvSpPr>
          <xdr:spPr>
            <a:xfrm>
              <a:off x="1000125" y="30206156"/>
              <a:ext cx="724958"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𝑵𝒓</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2" name="CuadroTexto 41">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1000125" y="30206156"/>
              <a:ext cx="724958"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𝑵𝒓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8</xdr:col>
      <xdr:colOff>624417</xdr:colOff>
      <xdr:row>73</xdr:row>
      <xdr:rowOff>285751</xdr:rowOff>
    </xdr:from>
    <xdr:ext cx="1524000" cy="210507"/>
    <mc:AlternateContent xmlns:mc="http://schemas.openxmlformats.org/markup-compatibility/2006" xmlns:a14="http://schemas.microsoft.com/office/drawing/2010/main">
      <mc:Choice Requires="a14">
        <xdr:sp macro="" textlink="">
          <xdr:nvSpPr>
            <xdr:cNvPr id="43" name="CuadroTexto 42">
              <a:extLst>
                <a:ext uri="{FF2B5EF4-FFF2-40B4-BE49-F238E27FC236}">
                  <a16:creationId xmlns:a16="http://schemas.microsoft.com/office/drawing/2014/main" id="{00000000-0008-0000-2000-00002B000000}"/>
                </a:ext>
              </a:extLst>
            </xdr:cNvPr>
            <xdr:cNvSpPr txBox="1"/>
          </xdr:nvSpPr>
          <xdr:spPr>
            <a:xfrm>
              <a:off x="9530292" y="30396657"/>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𝑼</m:t>
                  </m:r>
                  <m:r>
                    <a:rPr lang="es-CO" sz="1400" b="1" i="1">
                      <a:latin typeface="Cambria Math" panose="02040503050406030204" pitchFamily="18" charset="0"/>
                      <a:ea typeface="Cambria Math" panose="02040503050406030204" pitchFamily="18" charset="0"/>
                    </a:rPr>
                    <m:t> </m:t>
                  </m:r>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 </m:t>
                  </m:r>
                  <m:r>
                    <a:rPr lang="es-CO" sz="1400" b="1" i="1">
                      <a:latin typeface="Cambria Math" panose="02040503050406030204" pitchFamily="18" charset="0"/>
                      <a:ea typeface="Cambria Math" panose="02040503050406030204" pitchFamily="18" charset="0"/>
                    </a:rPr>
                    <m:t>𝒌</m:t>
                  </m:r>
                  <m:r>
                    <a:rPr lang="es-CO" sz="1400" b="1" i="1">
                      <a:latin typeface="Cambria Math" panose="02040503050406030204" pitchFamily="18" charset="0"/>
                      <a:ea typeface="Cambria Math" panose="02040503050406030204" pitchFamily="18" charset="0"/>
                    </a:rPr>
                    <m:t>=</m:t>
                  </m:r>
                  <m:r>
                    <a:rPr lang="es-CO" sz="1400" b="1" i="1">
                      <a:latin typeface="Cambria Math" panose="02040503050406030204" pitchFamily="18" charset="0"/>
                      <a:ea typeface="Cambria Math" panose="02040503050406030204" pitchFamily="18" charset="0"/>
                    </a:rPr>
                    <m:t>𝟐</m:t>
                  </m:r>
                </m:oMath>
              </a14:m>
              <a:r>
                <a:rPr lang="es-CO" sz="1400" b="1" i="1">
                  <a:latin typeface="Arial" panose="020B0604020202020204" pitchFamily="34" charset="0"/>
                  <a:cs typeface="Arial" panose="020B0604020202020204" pitchFamily="34" charset="0"/>
                </a:rPr>
                <a:t>)</a:t>
              </a:r>
            </a:p>
          </xdr:txBody>
        </xdr:sp>
      </mc:Choice>
      <mc:Fallback xmlns="">
        <xdr:sp macro="" textlink="">
          <xdr:nvSpPr>
            <xdr:cNvPr id="43" name="CuadroTexto 42">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9530292" y="30396657"/>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0">
                  <a:latin typeface="Cambria Math" panose="02040503050406030204" pitchFamily="18" charset="0"/>
                  <a:ea typeface="Cambria Math" panose="02040503050406030204" pitchFamily="18" charset="0"/>
                </a:rPr>
                <a:t>𝑼 </a:t>
              </a:r>
              <a:r>
                <a:rPr lang="es-CO" sz="1400" b="1" i="0">
                  <a:latin typeface="Cambria Math"/>
                  <a:ea typeface="Cambria Math" panose="02040503050406030204" pitchFamily="18" charset="0"/>
                </a:rPr>
                <a:t>(</a:t>
              </a:r>
              <a:r>
                <a:rPr lang="es-CO" sz="1400" b="1" i="0">
                  <a:latin typeface="Cambria Math" panose="02040503050406030204" pitchFamily="18" charset="0"/>
                  <a:ea typeface="Cambria Math" panose="02040503050406030204" pitchFamily="18" charset="0"/>
                </a:rPr>
                <a:t> 𝒎 𝒄𝒕 </a:t>
              </a:r>
              <a:r>
                <a:rPr lang="es-CO" sz="1400" b="1" i="0">
                  <a:latin typeface="Cambria Math"/>
                  <a:ea typeface="Cambria Math" panose="02040503050406030204" pitchFamily="18" charset="0"/>
                </a:rPr>
                <a:t>)</a:t>
              </a:r>
              <a:r>
                <a:rPr lang="es-CO" sz="1400" b="1" i="0">
                  <a:latin typeface="Cambria Math" panose="02040503050406030204" pitchFamily="18" charset="0"/>
                  <a:ea typeface="Cambria Math" panose="02040503050406030204" pitchFamily="18" charset="0"/>
                </a:rPr>
                <a:t>  ( 𝒌=𝟐</a:t>
              </a:r>
              <a:r>
                <a:rPr lang="es-CO" sz="1400" b="1" i="1">
                  <a:latin typeface="Arial" panose="020B0604020202020204" pitchFamily="34" charset="0"/>
                  <a:cs typeface="Arial" panose="020B0604020202020204" pitchFamily="34" charset="0"/>
                </a:rPr>
                <a:t>)</a:t>
              </a:r>
            </a:p>
          </xdr:txBody>
        </xdr:sp>
      </mc:Fallback>
    </mc:AlternateContent>
    <xdr:clientData/>
  </xdr:oneCellAnchor>
  <xdr:oneCellAnchor>
    <xdr:from>
      <xdr:col>9</xdr:col>
      <xdr:colOff>603252</xdr:colOff>
      <xdr:row>74</xdr:row>
      <xdr:rowOff>84667</xdr:rowOff>
    </xdr:from>
    <xdr:ext cx="465666" cy="219163"/>
    <xdr:sp macro="" textlink="">
      <xdr:nvSpPr>
        <xdr:cNvPr id="44" name="CuadroTexto 43">
          <a:extLst>
            <a:ext uri="{FF2B5EF4-FFF2-40B4-BE49-F238E27FC236}">
              <a16:creationId xmlns:a16="http://schemas.microsoft.com/office/drawing/2014/main" id="{00000000-0008-0000-2000-00002C000000}"/>
            </a:ext>
          </a:extLst>
        </xdr:cNvPr>
        <xdr:cNvSpPr txBox="1"/>
      </xdr:nvSpPr>
      <xdr:spPr>
        <a:xfrm>
          <a:off x="10299702" y="30517042"/>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9</xdr:col>
      <xdr:colOff>571499</xdr:colOff>
      <xdr:row>75</xdr:row>
      <xdr:rowOff>116416</xdr:rowOff>
    </xdr:from>
    <xdr:ext cx="359835" cy="219163"/>
    <xdr:sp macro="" textlink="">
      <xdr:nvSpPr>
        <xdr:cNvPr id="45" name="CuadroTexto 44">
          <a:extLst>
            <a:ext uri="{FF2B5EF4-FFF2-40B4-BE49-F238E27FC236}">
              <a16:creationId xmlns:a16="http://schemas.microsoft.com/office/drawing/2014/main" id="{00000000-0008-0000-2000-00002D000000}"/>
            </a:ext>
          </a:extLst>
        </xdr:cNvPr>
        <xdr:cNvSpPr txBox="1"/>
      </xdr:nvSpPr>
      <xdr:spPr>
        <a:xfrm>
          <a:off x="10267949" y="30986941"/>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6</xdr:col>
      <xdr:colOff>275167</xdr:colOff>
      <xdr:row>74</xdr:row>
      <xdr:rowOff>148166</xdr:rowOff>
    </xdr:from>
    <xdr:ext cx="465666" cy="219163"/>
    <xdr:sp macro="" textlink="">
      <xdr:nvSpPr>
        <xdr:cNvPr id="46" name="CuadroTexto 45">
          <a:extLst>
            <a:ext uri="{FF2B5EF4-FFF2-40B4-BE49-F238E27FC236}">
              <a16:creationId xmlns:a16="http://schemas.microsoft.com/office/drawing/2014/main" id="{00000000-0008-0000-2000-00002E000000}"/>
            </a:ext>
          </a:extLst>
        </xdr:cNvPr>
        <xdr:cNvSpPr txBox="1"/>
      </xdr:nvSpPr>
      <xdr:spPr>
        <a:xfrm>
          <a:off x="6371167" y="30580541"/>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6</xdr:col>
      <xdr:colOff>328083</xdr:colOff>
      <xdr:row>75</xdr:row>
      <xdr:rowOff>84667</xdr:rowOff>
    </xdr:from>
    <xdr:ext cx="359835" cy="219163"/>
    <xdr:sp macro="" textlink="">
      <xdr:nvSpPr>
        <xdr:cNvPr id="47" name="CuadroTexto 46">
          <a:extLst>
            <a:ext uri="{FF2B5EF4-FFF2-40B4-BE49-F238E27FC236}">
              <a16:creationId xmlns:a16="http://schemas.microsoft.com/office/drawing/2014/main" id="{00000000-0008-0000-2000-00002F000000}"/>
            </a:ext>
          </a:extLst>
        </xdr:cNvPr>
        <xdr:cNvSpPr txBox="1"/>
      </xdr:nvSpPr>
      <xdr:spPr>
        <a:xfrm>
          <a:off x="6424083" y="30955192"/>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3</xdr:col>
      <xdr:colOff>560916</xdr:colOff>
      <xdr:row>72</xdr:row>
      <xdr:rowOff>74084</xdr:rowOff>
    </xdr:from>
    <xdr:ext cx="1524000" cy="210507"/>
    <mc:AlternateContent xmlns:mc="http://schemas.openxmlformats.org/markup-compatibility/2006" xmlns:a14="http://schemas.microsoft.com/office/drawing/2010/main">
      <mc:Choice Requires="a14">
        <xdr:sp macro="" textlink="">
          <xdr:nvSpPr>
            <xdr:cNvPr id="48" name="CuadroTexto 47">
              <a:extLst>
                <a:ext uri="{FF2B5EF4-FFF2-40B4-BE49-F238E27FC236}">
                  <a16:creationId xmlns:a16="http://schemas.microsoft.com/office/drawing/2014/main" id="{00000000-0008-0000-2000-000030000000}"/>
                </a:ext>
              </a:extLst>
            </xdr:cNvPr>
            <xdr:cNvSpPr txBox="1"/>
          </xdr:nvSpPr>
          <xdr:spPr>
            <a:xfrm>
              <a:off x="3246966" y="29553959"/>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m:t>
                    </m:r>
                  </m:oMath>
                </m:oMathPara>
              </a14:m>
              <a:endParaRPr lang="es-CO" sz="1400" b="1" i="1">
                <a:latin typeface="Arial" panose="020B0604020202020204" pitchFamily="34" charset="0"/>
                <a:cs typeface="Arial" panose="020B0604020202020204" pitchFamily="34" charset="0"/>
              </a:endParaRPr>
            </a:p>
          </xdr:txBody>
        </xdr:sp>
      </mc:Choice>
      <mc:Fallback xmlns="">
        <xdr:sp macro="" textlink="">
          <xdr:nvSpPr>
            <xdr:cNvPr id="48" name="CuadroTexto 47">
              <a:extLst>
                <a:ext uri="{FF2B5EF4-FFF2-40B4-BE49-F238E27FC236}">
                  <a16:creationId xmlns:a16="http://schemas.microsoft.com/office/drawing/2014/main" xmlns="" xmlns:a14="http://schemas.microsoft.com/office/drawing/2010/main" id="{00000000-0008-0000-1000-000016000000}"/>
                </a:ext>
              </a:extLst>
            </xdr:cNvPr>
            <xdr:cNvSpPr txBox="1"/>
          </xdr:nvSpPr>
          <xdr:spPr>
            <a:xfrm>
              <a:off x="3246966" y="29553959"/>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 𝒎 𝒄𝒕 )   </a:t>
              </a:r>
              <a:endParaRPr lang="es-CO" sz="1400" b="1" i="1">
                <a:latin typeface="Arial" panose="020B0604020202020204" pitchFamily="34" charset="0"/>
                <a:cs typeface="Arial" panose="020B0604020202020204" pitchFamily="34" charset="0"/>
              </a:endParaRPr>
            </a:p>
          </xdr:txBody>
        </xdr:sp>
      </mc:Fallback>
    </mc:AlternateContent>
    <xdr:clientData/>
  </xdr:oneCellAnchor>
  <xdr:oneCellAnchor>
    <xdr:from>
      <xdr:col>7</xdr:col>
      <xdr:colOff>411956</xdr:colOff>
      <xdr:row>71</xdr:row>
      <xdr:rowOff>406003</xdr:rowOff>
    </xdr:from>
    <xdr:ext cx="65" cy="172227"/>
    <xdr:sp macro="" textlink="">
      <xdr:nvSpPr>
        <xdr:cNvPr id="49" name="CuadroTexto 48">
          <a:extLst>
            <a:ext uri="{FF2B5EF4-FFF2-40B4-BE49-F238E27FC236}">
              <a16:creationId xmlns:a16="http://schemas.microsoft.com/office/drawing/2014/main" id="{00000000-0008-0000-2000-000031000000}"/>
            </a:ext>
          </a:extLst>
        </xdr:cNvPr>
        <xdr:cNvSpPr txBox="1"/>
      </xdr:nvSpPr>
      <xdr:spPr>
        <a:xfrm>
          <a:off x="7555706" y="29457253"/>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51" name="CuadroTexto 50">
              <a:extLst>
                <a:ext uri="{FF2B5EF4-FFF2-40B4-BE49-F238E27FC236}">
                  <a16:creationId xmlns:a16="http://schemas.microsoft.com/office/drawing/2014/main" id="{00000000-0008-0000-2000-000033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51" name="CuadroTexto 50">
              <a:extLst>
                <a:ext uri="{FF2B5EF4-FFF2-40B4-BE49-F238E27FC236}">
                  <a16:creationId xmlns:a16="http://schemas.microsoft.com/office/drawing/2014/main" id="{996C4A5D-F6F1-4BC3-81E3-6DFB846A20BF}"/>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52" name="CuadroTexto 51">
              <a:extLst>
                <a:ext uri="{FF2B5EF4-FFF2-40B4-BE49-F238E27FC236}">
                  <a16:creationId xmlns:a16="http://schemas.microsoft.com/office/drawing/2014/main" id="{00000000-0008-0000-2000-000034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52" name="CuadroTexto 51">
              <a:extLst>
                <a:ext uri="{FF2B5EF4-FFF2-40B4-BE49-F238E27FC236}">
                  <a16:creationId xmlns:a16="http://schemas.microsoft.com/office/drawing/2014/main" id="{DA71394F-DDFF-4B4F-A500-6283CEDAB5EA}"/>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twoCellAnchor>
    <xdr:from>
      <xdr:col>7</xdr:col>
      <xdr:colOff>809625</xdr:colOff>
      <xdr:row>62</xdr:row>
      <xdr:rowOff>198437</xdr:rowOff>
    </xdr:from>
    <xdr:to>
      <xdr:col>11</xdr:col>
      <xdr:colOff>746124</xdr:colOff>
      <xdr:row>64</xdr:row>
      <xdr:rowOff>468312</xdr:rowOff>
    </xdr:to>
    <xdr:graphicFrame macro="">
      <xdr:nvGraphicFramePr>
        <xdr:cNvPr id="53" name="Gráfico 52">
          <a:extLst>
            <a:ext uri="{FF2B5EF4-FFF2-40B4-BE49-F238E27FC236}">
              <a16:creationId xmlns:a16="http://schemas.microsoft.com/office/drawing/2014/main" id="{00000000-0008-0000-2000-00003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238125</xdr:colOff>
      <xdr:row>0</xdr:row>
      <xdr:rowOff>47625</xdr:rowOff>
    </xdr:from>
    <xdr:to>
      <xdr:col>1</xdr:col>
      <xdr:colOff>633531</xdr:colOff>
      <xdr:row>0</xdr:row>
      <xdr:rowOff>687760</xdr:rowOff>
    </xdr:to>
    <xdr:pic>
      <xdr:nvPicPr>
        <xdr:cNvPr id="37" name="36 Imagen">
          <a:extLst>
            <a:ext uri="{FF2B5EF4-FFF2-40B4-BE49-F238E27FC236}">
              <a16:creationId xmlns:a16="http://schemas.microsoft.com/office/drawing/2014/main" id="{00000000-0008-0000-2000-000025000000}"/>
            </a:ext>
          </a:extLst>
        </xdr:cNvPr>
        <xdr:cNvPicPr>
          <a:picLocks noChangeAspect="1"/>
        </xdr:cNvPicPr>
      </xdr:nvPicPr>
      <xdr:blipFill>
        <a:blip xmlns:r="http://schemas.openxmlformats.org/officeDocument/2006/relationships" r:embed="rId2"/>
        <a:stretch>
          <a:fillRect/>
        </a:stretch>
      </xdr:blipFill>
      <xdr:spPr>
        <a:xfrm>
          <a:off x="238125" y="47625"/>
          <a:ext cx="1371719" cy="640135"/>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oneCellAnchor>
    <xdr:from>
      <xdr:col>1</xdr:col>
      <xdr:colOff>285935</xdr:colOff>
      <xdr:row>42</xdr:row>
      <xdr:rowOff>169517</xdr:rowOff>
    </xdr:from>
    <xdr:ext cx="177356" cy="176202"/>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00000000-0008-0000-2100-000003000000}"/>
                </a:ext>
              </a:extLst>
            </xdr:cNvPr>
            <xdr:cNvSpPr txBox="1"/>
          </xdr:nvSpPr>
          <xdr:spPr>
            <a:xfrm>
              <a:off x="1124135" y="14980892"/>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bg1"/>
                            </a:solidFill>
                            <a:latin typeface="Cambria Math" panose="02040503050406030204" pitchFamily="18" charset="0"/>
                          </a:rPr>
                        </m:ctrlPr>
                      </m:accPr>
                      <m:e>
                        <m:r>
                          <a:rPr lang="es-CO" sz="1100" b="1" i="1">
                            <a:solidFill>
                              <a:schemeClr val="bg1"/>
                            </a:solidFill>
                            <a:latin typeface="Cambria Math" panose="02040503050406030204" pitchFamily="18" charset="0"/>
                            <a:ea typeface="Cambria Math" panose="02040503050406030204" pitchFamily="18" charset="0"/>
                          </a:rPr>
                          <m:t>∆</m:t>
                        </m:r>
                        <m:r>
                          <a:rPr lang="es-CO" sz="1100" b="1" i="1">
                            <a:solidFill>
                              <a:schemeClr val="bg1"/>
                            </a:solidFill>
                            <a:latin typeface="Cambria Math" panose="02040503050406030204" pitchFamily="18" charset="0"/>
                            <a:ea typeface="Cambria Math" panose="02040503050406030204" pitchFamily="18" charset="0"/>
                          </a:rPr>
                          <m:t>𝑰</m:t>
                        </m:r>
                      </m:e>
                    </m:acc>
                  </m:oMath>
                </m:oMathPara>
              </a14:m>
              <a:endParaRPr lang="es-CO" sz="1100" b="1">
                <a:solidFill>
                  <a:schemeClr val="bg1"/>
                </a:solidFill>
              </a:endParaRPr>
            </a:p>
          </xdr:txBody>
        </xdr:sp>
      </mc:Choice>
      <mc:Fallback xmlns="">
        <xdr:sp macro="" textlink="">
          <xdr:nvSpPr>
            <xdr:cNvPr id="3" name="CuadroTexto 2">
              <a:extLst>
                <a:ext uri="{FF2B5EF4-FFF2-40B4-BE49-F238E27FC236}">
                  <a16:creationId xmlns:a16="http://schemas.microsoft.com/office/drawing/2014/main" xmlns="" xmlns:a14="http://schemas.microsoft.com/office/drawing/2010/main" id="{00000000-0008-0000-1000-000003000000}"/>
                </a:ext>
              </a:extLst>
            </xdr:cNvPr>
            <xdr:cNvSpPr txBox="1"/>
          </xdr:nvSpPr>
          <xdr:spPr>
            <a:xfrm>
              <a:off x="1124135" y="14980892"/>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bg1"/>
                  </a:solidFill>
                  <a:latin typeface="Cambria Math" panose="02040503050406030204" pitchFamily="18" charset="0"/>
                </a:rPr>
                <a:t>(</a:t>
              </a:r>
              <a:r>
                <a:rPr lang="es-CO" sz="1100" b="1" i="0">
                  <a:solidFill>
                    <a:schemeClr val="bg1"/>
                  </a:solidFill>
                  <a:latin typeface="Cambria Math" panose="02040503050406030204" pitchFamily="18" charset="0"/>
                  <a:ea typeface="Cambria Math" panose="02040503050406030204" pitchFamily="18" charset="0"/>
                </a:rPr>
                <a:t>∆𝑰) ̅</a:t>
              </a:r>
              <a:endParaRPr lang="es-CO" sz="1100" b="1">
                <a:solidFill>
                  <a:schemeClr val="bg1"/>
                </a:solidFill>
              </a:endParaRPr>
            </a:p>
          </xdr:txBody>
        </xdr:sp>
      </mc:Fallback>
    </mc:AlternateContent>
    <xdr:clientData/>
  </xdr:oneCellAnchor>
  <xdr:oneCellAnchor>
    <xdr:from>
      <xdr:col>1</xdr:col>
      <xdr:colOff>136732</xdr:colOff>
      <xdr:row>58</xdr:row>
      <xdr:rowOff>253032</xdr:rowOff>
    </xdr:from>
    <xdr:ext cx="599716" cy="172227"/>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id="{00000000-0008-0000-2100-000004000000}"/>
                </a:ext>
              </a:extLst>
            </xdr:cNvPr>
            <xdr:cNvSpPr txBox="1"/>
          </xdr:nvSpPr>
          <xdr:spPr>
            <a:xfrm>
              <a:off x="974932" y="20779407"/>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𝒘</m:t>
                        </m:r>
                      </m:sub>
                    </m:sSub>
                    <m:r>
                      <a:rPr lang="es-CO" sz="1100" b="1" i="1">
                        <a:latin typeface="Cambria Math" panose="02040503050406030204" pitchFamily="18" charset="0"/>
                      </a:rPr>
                      <m:t>(</m:t>
                    </m:r>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4" name="CuadroTexto 3">
              <a:extLst>
                <a:ext uri="{FF2B5EF4-FFF2-40B4-BE49-F238E27FC236}">
                  <a16:creationId xmlns:a16="http://schemas.microsoft.com/office/drawing/2014/main" xmlns="" xmlns:a14="http://schemas.microsoft.com/office/drawing/2010/main" id="{00000000-0008-0000-1000-000004000000}"/>
                </a:ext>
              </a:extLst>
            </xdr:cNvPr>
            <xdr:cNvSpPr txBox="1"/>
          </xdr:nvSpPr>
          <xdr:spPr>
            <a:xfrm>
              <a:off x="974932" y="20779407"/>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𝒖_𝒘 (</a:t>
              </a: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1</xdr:col>
      <xdr:colOff>202651</xdr:colOff>
      <xdr:row>61</xdr:row>
      <xdr:rowOff>265287</xdr:rowOff>
    </xdr:from>
    <xdr:ext cx="483915" cy="172227"/>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id="{00000000-0008-0000-2100-000005000000}"/>
                </a:ext>
              </a:extLst>
            </xdr:cNvPr>
            <xdr:cNvSpPr txBox="1"/>
          </xdr:nvSpPr>
          <xdr:spPr>
            <a:xfrm>
              <a:off x="1040851" y="2299193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5" name="CuadroTexto 4">
              <a:extLst>
                <a:ext uri="{FF2B5EF4-FFF2-40B4-BE49-F238E27FC236}">
                  <a16:creationId xmlns:a16="http://schemas.microsoft.com/office/drawing/2014/main" xmlns="" xmlns:a14="http://schemas.microsoft.com/office/drawing/2010/main" id="{00000000-0008-0000-1000-000005000000}"/>
                </a:ext>
              </a:extLst>
            </xdr:cNvPr>
            <xdr:cNvSpPr txBox="1"/>
          </xdr:nvSpPr>
          <xdr:spPr>
            <a:xfrm>
              <a:off x="1040851" y="2299193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𝒖(𝒎_𝒄𝒓)</a:t>
              </a:r>
              <a:endParaRPr lang="es-CO" sz="1100" b="1"/>
            </a:p>
          </xdr:txBody>
        </xdr:sp>
      </mc:Fallback>
    </mc:AlternateContent>
    <xdr:clientData/>
  </xdr:oneCellAnchor>
  <xdr:oneCellAnchor>
    <xdr:from>
      <xdr:col>1</xdr:col>
      <xdr:colOff>34166</xdr:colOff>
      <xdr:row>60</xdr:row>
      <xdr:rowOff>250203</xdr:rowOff>
    </xdr:from>
    <xdr:ext cx="689483" cy="172227"/>
    <mc:AlternateContent xmlns:mc="http://schemas.openxmlformats.org/markup-compatibility/2006" xmlns:a14="http://schemas.microsoft.com/office/drawing/2010/main">
      <mc:Choice Requires="a14">
        <xdr:sp macro="" textlink="">
          <xdr:nvSpPr>
            <xdr:cNvPr id="6" name="CuadroTexto 5">
              <a:extLst>
                <a:ext uri="{FF2B5EF4-FFF2-40B4-BE49-F238E27FC236}">
                  <a16:creationId xmlns:a16="http://schemas.microsoft.com/office/drawing/2014/main" id="{00000000-0008-0000-2100-000006000000}"/>
                </a:ext>
              </a:extLst>
            </xdr:cNvPr>
            <xdr:cNvSpPr txBox="1"/>
          </xdr:nvSpPr>
          <xdr:spPr>
            <a:xfrm>
              <a:off x="872366" y="22243428"/>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𝒊𝒏𝒔𝒕</m:t>
                        </m:r>
                      </m:sub>
                    </m:sSub>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0" i="1">
                        <a:latin typeface="Cambria Math" panose="02040503050406030204" pitchFamily="18" charset="0"/>
                      </a:rPr>
                      <m:t>)</m:t>
                    </m:r>
                  </m:oMath>
                </m:oMathPara>
              </a14:m>
              <a:endParaRPr lang="es-CO" sz="1100"/>
            </a:p>
          </xdr:txBody>
        </xdr:sp>
      </mc:Choice>
      <mc:Fallback xmlns="">
        <xdr:sp macro="" textlink="">
          <xdr:nvSpPr>
            <xdr:cNvPr id="6" name="CuadroTexto 5">
              <a:extLst>
                <a:ext uri="{FF2B5EF4-FFF2-40B4-BE49-F238E27FC236}">
                  <a16:creationId xmlns:a16="http://schemas.microsoft.com/office/drawing/2014/main" xmlns="" xmlns:a14="http://schemas.microsoft.com/office/drawing/2010/main" id="{00000000-0008-0000-1000-000006000000}"/>
                </a:ext>
              </a:extLst>
            </xdr:cNvPr>
            <xdr:cNvSpPr txBox="1"/>
          </xdr:nvSpPr>
          <xdr:spPr>
            <a:xfrm>
              <a:off x="872366" y="22243428"/>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𝒖_𝒊𝒏𝒔𝒕 (𝒎_𝒄𝒓</a:t>
              </a:r>
              <a:r>
                <a:rPr lang="es-CO" sz="1100" b="0" i="0">
                  <a:latin typeface="Cambria Math" panose="02040503050406030204" pitchFamily="18" charset="0"/>
                </a:rPr>
                <a:t>)</a:t>
              </a:r>
              <a:endParaRPr lang="es-CO" sz="1100"/>
            </a:p>
          </xdr:txBody>
        </xdr:sp>
      </mc:Fallback>
    </mc:AlternateContent>
    <xdr:clientData/>
  </xdr:oneCellAnchor>
  <xdr:oneCellAnchor>
    <xdr:from>
      <xdr:col>1</xdr:col>
      <xdr:colOff>183870</xdr:colOff>
      <xdr:row>62</xdr:row>
      <xdr:rowOff>264645</xdr:rowOff>
    </xdr:from>
    <xdr:ext cx="397353" cy="172227"/>
    <mc:AlternateContent xmlns:mc="http://schemas.openxmlformats.org/markup-compatibility/2006" xmlns:a14="http://schemas.microsoft.com/office/drawing/2010/main">
      <mc:Choice Requires="a14">
        <xdr:sp macro="" textlink="">
          <xdr:nvSpPr>
            <xdr:cNvPr id="7" name="CuadroTexto 6">
              <a:extLst>
                <a:ext uri="{FF2B5EF4-FFF2-40B4-BE49-F238E27FC236}">
                  <a16:creationId xmlns:a16="http://schemas.microsoft.com/office/drawing/2014/main" id="{00000000-0008-0000-2100-000007000000}"/>
                </a:ext>
              </a:extLst>
            </xdr:cNvPr>
            <xdr:cNvSpPr txBox="1"/>
          </xdr:nvSpPr>
          <xdr:spPr>
            <a:xfrm>
              <a:off x="1022070" y="23724720"/>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𝒂</m:t>
                        </m:r>
                      </m:sub>
                    </m:sSub>
                    <m:r>
                      <a:rPr lang="es-CO" sz="1100" b="1" i="1">
                        <a:latin typeface="Cambria Math" panose="02040503050406030204" pitchFamily="18" charset="0"/>
                      </a:rPr>
                      <m:t>)</m:t>
                    </m:r>
                  </m:oMath>
                </m:oMathPara>
              </a14:m>
              <a:endParaRPr lang="es-CO" sz="1100" b="1"/>
            </a:p>
          </xdr:txBody>
        </xdr:sp>
      </mc:Choice>
      <mc:Fallback xmlns="">
        <xdr:sp macro="" textlink="">
          <xdr:nvSpPr>
            <xdr:cNvPr id="7" name="CuadroTexto 6">
              <a:extLst>
                <a:ext uri="{FF2B5EF4-FFF2-40B4-BE49-F238E27FC236}">
                  <a16:creationId xmlns:a16="http://schemas.microsoft.com/office/drawing/2014/main" xmlns="" xmlns:a14="http://schemas.microsoft.com/office/drawing/2010/main" id="{00000000-0008-0000-1000-000007000000}"/>
                </a:ext>
              </a:extLst>
            </xdr:cNvPr>
            <xdr:cNvSpPr txBox="1"/>
          </xdr:nvSpPr>
          <xdr:spPr>
            <a:xfrm>
              <a:off x="1022070" y="23724720"/>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𝒂)</a:t>
              </a:r>
              <a:endParaRPr lang="es-CO" sz="1100" b="1"/>
            </a:p>
          </xdr:txBody>
        </xdr:sp>
      </mc:Fallback>
    </mc:AlternateContent>
    <xdr:clientData/>
  </xdr:oneCellAnchor>
  <xdr:oneCellAnchor>
    <xdr:from>
      <xdr:col>1</xdr:col>
      <xdr:colOff>186298</xdr:colOff>
      <xdr:row>63</xdr:row>
      <xdr:rowOff>266606</xdr:rowOff>
    </xdr:from>
    <xdr:ext cx="376642" cy="172227"/>
    <mc:AlternateContent xmlns:mc="http://schemas.openxmlformats.org/markup-compatibility/2006" xmlns:a14="http://schemas.microsoft.com/office/drawing/2010/main">
      <mc:Choice Requires="a14">
        <xdr:sp macro="" textlink="">
          <xdr:nvSpPr>
            <xdr:cNvPr id="8" name="CuadroTexto 7">
              <a:extLst>
                <a:ext uri="{FF2B5EF4-FFF2-40B4-BE49-F238E27FC236}">
                  <a16:creationId xmlns:a16="http://schemas.microsoft.com/office/drawing/2014/main" id="{00000000-0008-0000-2100-000008000000}"/>
                </a:ext>
              </a:extLst>
            </xdr:cNvPr>
            <xdr:cNvSpPr txBox="1"/>
          </xdr:nvSpPr>
          <xdr:spPr>
            <a:xfrm>
              <a:off x="1024498" y="244601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𝒕</m:t>
                        </m:r>
                      </m:sub>
                    </m:sSub>
                    <m:r>
                      <a:rPr lang="es-CO" sz="1100" b="1" i="1">
                        <a:latin typeface="Cambria Math" panose="02040503050406030204" pitchFamily="18" charset="0"/>
                      </a:rPr>
                      <m:t>)</m:t>
                    </m:r>
                  </m:oMath>
                </m:oMathPara>
              </a14:m>
              <a:endParaRPr lang="es-CO" sz="1100" b="1"/>
            </a:p>
          </xdr:txBody>
        </xdr:sp>
      </mc:Choice>
      <mc:Fallback xmlns="">
        <xdr:sp macro="" textlink="">
          <xdr:nvSpPr>
            <xdr:cNvPr id="8" name="CuadroTexto 7">
              <a:extLst>
                <a:ext uri="{FF2B5EF4-FFF2-40B4-BE49-F238E27FC236}">
                  <a16:creationId xmlns:a16="http://schemas.microsoft.com/office/drawing/2014/main" xmlns="" xmlns:a14="http://schemas.microsoft.com/office/drawing/2010/main" id="{00000000-0008-0000-1000-000008000000}"/>
                </a:ext>
              </a:extLst>
            </xdr:cNvPr>
            <xdr:cNvSpPr txBox="1"/>
          </xdr:nvSpPr>
          <xdr:spPr>
            <a:xfrm>
              <a:off x="1024498" y="244601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𝒕)</a:t>
              </a:r>
              <a:endParaRPr lang="es-CO" sz="1100" b="1"/>
            </a:p>
          </xdr:txBody>
        </xdr:sp>
      </mc:Fallback>
    </mc:AlternateContent>
    <xdr:clientData/>
  </xdr:oneCellAnchor>
  <xdr:oneCellAnchor>
    <xdr:from>
      <xdr:col>1</xdr:col>
      <xdr:colOff>186298</xdr:colOff>
      <xdr:row>64</xdr:row>
      <xdr:rowOff>222250</xdr:rowOff>
    </xdr:from>
    <xdr:ext cx="388696" cy="172227"/>
    <mc:AlternateContent xmlns:mc="http://schemas.openxmlformats.org/markup-compatibility/2006" xmlns:a14="http://schemas.microsoft.com/office/drawing/2010/main">
      <mc:Choice Requires="a14">
        <xdr:sp macro="" textlink="">
          <xdr:nvSpPr>
            <xdr:cNvPr id="9" name="CuadroTexto 8">
              <a:extLst>
                <a:ext uri="{FF2B5EF4-FFF2-40B4-BE49-F238E27FC236}">
                  <a16:creationId xmlns:a16="http://schemas.microsoft.com/office/drawing/2014/main" id="{00000000-0008-0000-2100-000009000000}"/>
                </a:ext>
              </a:extLst>
            </xdr:cNvPr>
            <xdr:cNvSpPr txBox="1"/>
          </xdr:nvSpPr>
          <xdr:spPr>
            <a:xfrm>
              <a:off x="1024498" y="25149175"/>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9" name="CuadroTexto 8">
              <a:extLst>
                <a:ext uri="{FF2B5EF4-FFF2-40B4-BE49-F238E27FC236}">
                  <a16:creationId xmlns:a16="http://schemas.microsoft.com/office/drawing/2014/main" xmlns="" xmlns:a14="http://schemas.microsoft.com/office/drawing/2010/main" id="{00000000-0008-0000-1000-000009000000}"/>
                </a:ext>
              </a:extLst>
            </xdr:cNvPr>
            <xdr:cNvSpPr txBox="1"/>
          </xdr:nvSpPr>
          <xdr:spPr>
            <a:xfrm>
              <a:off x="1024498" y="25149175"/>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𝒓)</a:t>
              </a:r>
              <a:endParaRPr lang="es-CO" sz="1100" b="1"/>
            </a:p>
          </xdr:txBody>
        </xdr:sp>
      </mc:Fallback>
    </mc:AlternateContent>
    <xdr:clientData/>
  </xdr:oneCellAnchor>
  <xdr:oneCellAnchor>
    <xdr:from>
      <xdr:col>1</xdr:col>
      <xdr:colOff>265579</xdr:colOff>
      <xdr:row>65</xdr:row>
      <xdr:rowOff>288458</xdr:rowOff>
    </xdr:from>
    <xdr:ext cx="191271" cy="172227"/>
    <mc:AlternateContent xmlns:mc="http://schemas.openxmlformats.org/markup-compatibility/2006" xmlns:a14="http://schemas.microsoft.com/office/drawing/2010/main">
      <mc:Choice Requires="a14">
        <xdr:sp macro="" textlink="">
          <xdr:nvSpPr>
            <xdr:cNvPr id="10" name="CuadroTexto 9">
              <a:extLst>
                <a:ext uri="{FF2B5EF4-FFF2-40B4-BE49-F238E27FC236}">
                  <a16:creationId xmlns:a16="http://schemas.microsoft.com/office/drawing/2014/main" id="{00000000-0008-0000-2100-00000A000000}"/>
                </a:ext>
              </a:extLst>
            </xdr:cNvPr>
            <xdr:cNvSpPr txBox="1"/>
          </xdr:nvSpPr>
          <xdr:spPr>
            <a:xfrm>
              <a:off x="1103779" y="2594880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𝒃</m:t>
                        </m:r>
                      </m:sub>
                    </m:sSub>
                  </m:oMath>
                </m:oMathPara>
              </a14:m>
              <a:endParaRPr lang="es-CO" sz="1100" b="1"/>
            </a:p>
          </xdr:txBody>
        </xdr:sp>
      </mc:Choice>
      <mc:Fallback xmlns="">
        <xdr:sp macro="" textlink="">
          <xdr:nvSpPr>
            <xdr:cNvPr id="10" name="CuadroTexto 9">
              <a:extLst>
                <a:ext uri="{FF2B5EF4-FFF2-40B4-BE49-F238E27FC236}">
                  <a16:creationId xmlns:a16="http://schemas.microsoft.com/office/drawing/2014/main" xmlns="" xmlns:a14="http://schemas.microsoft.com/office/drawing/2010/main" id="{00000000-0008-0000-1000-00000A000000}"/>
                </a:ext>
              </a:extLst>
            </xdr:cNvPr>
            <xdr:cNvSpPr txBox="1"/>
          </xdr:nvSpPr>
          <xdr:spPr>
            <a:xfrm>
              <a:off x="1103779" y="2594880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𝒖_𝒃</a:t>
              </a:r>
              <a:endParaRPr lang="es-CO" sz="1100" b="1"/>
            </a:p>
          </xdr:txBody>
        </xdr:sp>
      </mc:Fallback>
    </mc:AlternateContent>
    <xdr:clientData/>
  </xdr:oneCellAnchor>
  <xdr:oneCellAnchor>
    <xdr:from>
      <xdr:col>1</xdr:col>
      <xdr:colOff>261391</xdr:colOff>
      <xdr:row>66</xdr:row>
      <xdr:rowOff>294234</xdr:rowOff>
    </xdr:from>
    <xdr:ext cx="195053" cy="172227"/>
    <mc:AlternateContent xmlns:mc="http://schemas.openxmlformats.org/markup-compatibility/2006" xmlns:a14="http://schemas.microsoft.com/office/drawing/2010/main">
      <mc:Choice Requires="a14">
        <xdr:sp macro="" textlink="">
          <xdr:nvSpPr>
            <xdr:cNvPr id="11" name="CuadroTexto 10">
              <a:extLst>
                <a:ext uri="{FF2B5EF4-FFF2-40B4-BE49-F238E27FC236}">
                  <a16:creationId xmlns:a16="http://schemas.microsoft.com/office/drawing/2014/main" id="{00000000-0008-0000-2100-00000B000000}"/>
                </a:ext>
              </a:extLst>
            </xdr:cNvPr>
            <xdr:cNvSpPr txBox="1"/>
          </xdr:nvSpPr>
          <xdr:spPr>
            <a:xfrm>
              <a:off x="1099591" y="26688009"/>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𝒅</m:t>
                        </m:r>
                      </m:sub>
                    </m:sSub>
                  </m:oMath>
                </m:oMathPara>
              </a14:m>
              <a:endParaRPr lang="es-CO" sz="1100" b="1"/>
            </a:p>
          </xdr:txBody>
        </xdr:sp>
      </mc:Choice>
      <mc:Fallback xmlns="">
        <xdr:sp macro="" textlink="">
          <xdr:nvSpPr>
            <xdr:cNvPr id="11" name="CuadroTexto 10">
              <a:extLst>
                <a:ext uri="{FF2B5EF4-FFF2-40B4-BE49-F238E27FC236}">
                  <a16:creationId xmlns:a16="http://schemas.microsoft.com/office/drawing/2014/main" xmlns="" xmlns:a14="http://schemas.microsoft.com/office/drawing/2010/main" id="{00000000-0008-0000-1000-00000B000000}"/>
                </a:ext>
              </a:extLst>
            </xdr:cNvPr>
            <xdr:cNvSpPr txBox="1"/>
          </xdr:nvSpPr>
          <xdr:spPr>
            <a:xfrm>
              <a:off x="1099591" y="26688009"/>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𝒖_𝒅</a:t>
              </a:r>
              <a:endParaRPr lang="es-CO" sz="1100" b="1"/>
            </a:p>
          </xdr:txBody>
        </xdr:sp>
      </mc:Fallback>
    </mc:AlternateContent>
    <xdr:clientData/>
  </xdr:oneCellAnchor>
  <xdr:oneCellAnchor>
    <xdr:from>
      <xdr:col>5</xdr:col>
      <xdr:colOff>393571</xdr:colOff>
      <xdr:row>69</xdr:row>
      <xdr:rowOff>265119</xdr:rowOff>
    </xdr:from>
    <xdr:ext cx="529697" cy="172227"/>
    <mc:AlternateContent xmlns:mc="http://schemas.openxmlformats.org/markup-compatibility/2006" xmlns:a14="http://schemas.microsoft.com/office/drawing/2010/main">
      <mc:Choice Requires="a14">
        <xdr:sp macro="" textlink="">
          <xdr:nvSpPr>
            <xdr:cNvPr id="12" name="CuadroTexto 11">
              <a:extLst>
                <a:ext uri="{FF2B5EF4-FFF2-40B4-BE49-F238E27FC236}">
                  <a16:creationId xmlns:a16="http://schemas.microsoft.com/office/drawing/2014/main" id="{00000000-0008-0000-2100-00000C000000}"/>
                </a:ext>
              </a:extLst>
            </xdr:cNvPr>
            <xdr:cNvSpPr txBox="1"/>
          </xdr:nvSpPr>
          <xdr:spPr>
            <a:xfrm>
              <a:off x="5251321" y="28220994"/>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𝒄</m:t>
                        </m:r>
                      </m:sub>
                    </m:sSub>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12" name="CuadroTexto 11">
              <a:extLst>
                <a:ext uri="{FF2B5EF4-FFF2-40B4-BE49-F238E27FC236}">
                  <a16:creationId xmlns:a16="http://schemas.microsoft.com/office/drawing/2014/main" xmlns="" xmlns:a14="http://schemas.microsoft.com/office/drawing/2010/main" id="{00000000-0008-0000-1000-00000C000000}"/>
                </a:ext>
              </a:extLst>
            </xdr:cNvPr>
            <xdr:cNvSpPr txBox="1"/>
          </xdr:nvSpPr>
          <xdr:spPr>
            <a:xfrm>
              <a:off x="5251321" y="28220994"/>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𝒖_𝒄 (</a:t>
              </a:r>
              <a:r>
                <a:rPr lang="es-CO" sz="1100" b="1" i="0">
                  <a:latin typeface="Cambria Math" panose="02040503050406030204" pitchFamily="18" charset="0"/>
                  <a:ea typeface="Cambria Math" panose="02040503050406030204" pitchFamily="18" charset="0"/>
                </a:rPr>
                <a:t>𝒎_𝒄𝒕)</a:t>
              </a:r>
              <a:endParaRPr lang="es-CO" sz="1100" b="1"/>
            </a:p>
          </xdr:txBody>
        </xdr:sp>
      </mc:Fallback>
    </mc:AlternateContent>
    <xdr:clientData/>
  </xdr:oneCellAnchor>
  <xdr:oneCellAnchor>
    <xdr:from>
      <xdr:col>5</xdr:col>
      <xdr:colOff>243965</xdr:colOff>
      <xdr:row>70</xdr:row>
      <xdr:rowOff>130277</xdr:rowOff>
    </xdr:from>
    <xdr:ext cx="780598" cy="172227"/>
    <mc:AlternateContent xmlns:mc="http://schemas.openxmlformats.org/markup-compatibility/2006" xmlns:a14="http://schemas.microsoft.com/office/drawing/2010/main">
      <mc:Choice Requires="a14">
        <xdr:sp macro="" textlink="">
          <xdr:nvSpPr>
            <xdr:cNvPr id="13" name="CuadroTexto 12">
              <a:extLst>
                <a:ext uri="{FF2B5EF4-FFF2-40B4-BE49-F238E27FC236}">
                  <a16:creationId xmlns:a16="http://schemas.microsoft.com/office/drawing/2014/main" id="{00000000-0008-0000-2100-00000D000000}"/>
                </a:ext>
              </a:extLst>
            </xdr:cNvPr>
            <xdr:cNvSpPr txBox="1"/>
          </xdr:nvSpPr>
          <xdr:spPr>
            <a:xfrm>
              <a:off x="5101715" y="2874337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100" b="1" i="1">
                      <a:latin typeface="Cambria Math" panose="02040503050406030204" pitchFamily="18" charset="0"/>
                    </a:rPr>
                    <m:t>𝑼</m:t>
                  </m:r>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a14:m>
              <a:r>
                <a:rPr lang="es-CO" sz="1100" b="1"/>
                <a:t> (k=2)</a:t>
              </a:r>
            </a:p>
          </xdr:txBody>
        </xdr:sp>
      </mc:Choice>
      <mc:Fallback xmlns="">
        <xdr:sp macro="" textlink="">
          <xdr:nvSpPr>
            <xdr:cNvPr id="13" name="CuadroTexto 12">
              <a:extLst>
                <a:ext uri="{FF2B5EF4-FFF2-40B4-BE49-F238E27FC236}">
                  <a16:creationId xmlns:a16="http://schemas.microsoft.com/office/drawing/2014/main" xmlns="" xmlns:a14="http://schemas.microsoft.com/office/drawing/2010/main" id="{00000000-0008-0000-1000-00000D000000}"/>
                </a:ext>
              </a:extLst>
            </xdr:cNvPr>
            <xdr:cNvSpPr txBox="1"/>
          </xdr:nvSpPr>
          <xdr:spPr>
            <a:xfrm>
              <a:off x="5101715" y="2874337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100" b="1" i="0">
                  <a:latin typeface="Cambria Math" panose="02040503050406030204" pitchFamily="18" charset="0"/>
                </a:rPr>
                <a:t>𝑼(</a:t>
              </a:r>
              <a:r>
                <a:rPr lang="es-CO" sz="1100" b="1" i="0">
                  <a:latin typeface="Cambria Math" panose="02040503050406030204" pitchFamily="18" charset="0"/>
                  <a:ea typeface="Cambria Math" panose="02040503050406030204" pitchFamily="18" charset="0"/>
                </a:rPr>
                <a:t>𝒎_𝒄𝒕)</a:t>
              </a:r>
              <a:r>
                <a:rPr lang="es-CO" sz="1100" b="1"/>
                <a:t> (k=2)</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14" name="CuadroTexto 13">
              <a:extLst>
                <a:ext uri="{FF2B5EF4-FFF2-40B4-BE49-F238E27FC236}">
                  <a16:creationId xmlns:a16="http://schemas.microsoft.com/office/drawing/2014/main" id="{00000000-0008-0000-2100-00000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14" name="CuadroTexto 13">
              <a:extLst>
                <a:ext uri="{FF2B5EF4-FFF2-40B4-BE49-F238E27FC236}">
                  <a16:creationId xmlns:a16="http://schemas.microsoft.com/office/drawing/2014/main" xmlns="" xmlns:a14="http://schemas.microsoft.com/office/drawing/2010/main" id="{00000000-0008-0000-1000-00000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8</xdr:col>
      <xdr:colOff>541269</xdr:colOff>
      <xdr:row>52</xdr:row>
      <xdr:rowOff>78683</xdr:rowOff>
    </xdr:from>
    <xdr:ext cx="304571" cy="172227"/>
    <mc:AlternateContent xmlns:mc="http://schemas.openxmlformats.org/markup-compatibility/2006" xmlns:a14="http://schemas.microsoft.com/office/drawing/2010/main">
      <mc:Choice Requires="a14">
        <xdr:sp macro="" textlink="">
          <xdr:nvSpPr>
            <xdr:cNvPr id="15" name="CuadroTexto 14">
              <a:extLst>
                <a:ext uri="{FF2B5EF4-FFF2-40B4-BE49-F238E27FC236}">
                  <a16:creationId xmlns:a16="http://schemas.microsoft.com/office/drawing/2014/main" id="{00000000-0008-0000-2100-00000F000000}"/>
                </a:ext>
              </a:extLst>
            </xdr:cNvPr>
            <xdr:cNvSpPr txBox="1"/>
          </xdr:nvSpPr>
          <xdr:spPr>
            <a:xfrm>
              <a:off x="9313794" y="18623858"/>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oMath>
                </m:oMathPara>
              </a14:m>
              <a:endParaRPr lang="es-CO" sz="1100" b="1"/>
            </a:p>
          </xdr:txBody>
        </xdr:sp>
      </mc:Choice>
      <mc:Fallback xmlns="">
        <xdr:sp macro="" textlink="">
          <xdr:nvSpPr>
            <xdr:cNvPr id="15" name="CuadroTexto 14">
              <a:extLst>
                <a:ext uri="{FF2B5EF4-FFF2-40B4-BE49-F238E27FC236}">
                  <a16:creationId xmlns:a16="http://schemas.microsoft.com/office/drawing/2014/main" xmlns="" xmlns:a14="http://schemas.microsoft.com/office/drawing/2010/main" id="{00000000-0008-0000-1000-00000F000000}"/>
                </a:ext>
              </a:extLst>
            </xdr:cNvPr>
            <xdr:cNvSpPr txBox="1"/>
          </xdr:nvSpPr>
          <xdr:spPr>
            <a:xfrm>
              <a:off x="9313794" y="18623858"/>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4</xdr:col>
      <xdr:colOff>155713</xdr:colOff>
      <xdr:row>39</xdr:row>
      <xdr:rowOff>106017</xdr:rowOff>
    </xdr:from>
    <xdr:ext cx="65" cy="172227"/>
    <xdr:sp macro="" textlink="">
      <xdr:nvSpPr>
        <xdr:cNvPr id="16" name="CuadroTexto 15">
          <a:extLst>
            <a:ext uri="{FF2B5EF4-FFF2-40B4-BE49-F238E27FC236}">
              <a16:creationId xmlns:a16="http://schemas.microsoft.com/office/drawing/2014/main" id="{00000000-0008-0000-2100-000010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17" name="CuadroTexto 16">
              <a:extLst>
                <a:ext uri="{FF2B5EF4-FFF2-40B4-BE49-F238E27FC236}">
                  <a16:creationId xmlns:a16="http://schemas.microsoft.com/office/drawing/2014/main" id="{00000000-0008-0000-2100-000011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7" name="CuadroTexto 16">
              <a:extLst>
                <a:ext uri="{FF2B5EF4-FFF2-40B4-BE49-F238E27FC236}">
                  <a16:creationId xmlns:a16="http://schemas.microsoft.com/office/drawing/2014/main" xmlns="" xmlns:a14="http://schemas.microsoft.com/office/drawing/2010/main" id="{00000000-0008-0000-1000-000011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18" name="CuadroTexto 17">
              <a:extLst>
                <a:ext uri="{FF2B5EF4-FFF2-40B4-BE49-F238E27FC236}">
                  <a16:creationId xmlns:a16="http://schemas.microsoft.com/office/drawing/2014/main" id="{00000000-0008-0000-2100-000012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18" name="CuadroTexto 17">
              <a:extLst>
                <a:ext uri="{FF2B5EF4-FFF2-40B4-BE49-F238E27FC236}">
                  <a16:creationId xmlns:a16="http://schemas.microsoft.com/office/drawing/2014/main" xmlns="" xmlns:a14="http://schemas.microsoft.com/office/drawing/2010/main" id="{00000000-0008-0000-1000-000012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19" name="CuadroTexto 18">
              <a:extLst>
                <a:ext uri="{FF2B5EF4-FFF2-40B4-BE49-F238E27FC236}">
                  <a16:creationId xmlns:a16="http://schemas.microsoft.com/office/drawing/2014/main" id="{00000000-0008-0000-2100-000013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9" name="CuadroTexto 18">
              <a:extLst>
                <a:ext uri="{FF2B5EF4-FFF2-40B4-BE49-F238E27FC236}">
                  <a16:creationId xmlns:a16="http://schemas.microsoft.com/office/drawing/2014/main" xmlns="" xmlns:a14="http://schemas.microsoft.com/office/drawing/2010/main" id="{00000000-0008-0000-1000-000013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0" name="CuadroTexto 19">
              <a:extLst>
                <a:ext uri="{FF2B5EF4-FFF2-40B4-BE49-F238E27FC236}">
                  <a16:creationId xmlns:a16="http://schemas.microsoft.com/office/drawing/2014/main" id="{00000000-0008-0000-2100-000014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0" name="CuadroTexto 19">
              <a:extLst>
                <a:ext uri="{FF2B5EF4-FFF2-40B4-BE49-F238E27FC236}">
                  <a16:creationId xmlns:a16="http://schemas.microsoft.com/office/drawing/2014/main" xmlns="" xmlns:a14="http://schemas.microsoft.com/office/drawing/2010/main" id="{00000000-0008-0000-1000-000014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1" name="CuadroTexto 20">
          <a:extLst>
            <a:ext uri="{FF2B5EF4-FFF2-40B4-BE49-F238E27FC236}">
              <a16:creationId xmlns:a16="http://schemas.microsoft.com/office/drawing/2014/main" id="{00000000-0008-0000-2100-000015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3</xdr:col>
      <xdr:colOff>236456</xdr:colOff>
      <xdr:row>73</xdr:row>
      <xdr:rowOff>141002</xdr:rowOff>
    </xdr:from>
    <xdr:ext cx="730521" cy="219163"/>
    <mc:AlternateContent xmlns:mc="http://schemas.openxmlformats.org/markup-compatibility/2006" xmlns:a14="http://schemas.microsoft.com/office/drawing/2010/main">
      <mc:Choice Requires="a14">
        <xdr:sp macro="" textlink="">
          <xdr:nvSpPr>
            <xdr:cNvPr id="22" name="CuadroTexto 21">
              <a:extLst>
                <a:ext uri="{FF2B5EF4-FFF2-40B4-BE49-F238E27FC236}">
                  <a16:creationId xmlns:a16="http://schemas.microsoft.com/office/drawing/2014/main" id="{00000000-0008-0000-2100-000016000000}"/>
                </a:ext>
              </a:extLst>
            </xdr:cNvPr>
            <xdr:cNvSpPr txBox="1"/>
          </xdr:nvSpPr>
          <xdr:spPr>
            <a:xfrm>
              <a:off x="2922506" y="30059027"/>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m:t>
                  </m:r>
                  <m:sSub>
                    <m:sSubPr>
                      <m:ctrlPr>
                        <a:rPr lang="es-CO" sz="1400" b="1" i="1">
                          <a:latin typeface="Cambria Math" panose="02040503050406030204" pitchFamily="18" charset="0"/>
                          <a:ea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𝒎</m:t>
                      </m:r>
                    </m:e>
                    <m:sub>
                      <m:r>
                        <a:rPr lang="es-CO" sz="1400" b="1" i="1">
                          <a:latin typeface="Cambria Math" panose="02040503050406030204" pitchFamily="18" charset="0"/>
                          <a:ea typeface="Cambria Math" panose="02040503050406030204" pitchFamily="18" charset="0"/>
                        </a:rPr>
                        <m:t>𝒄</m:t>
                      </m:r>
                    </m:sub>
                  </m:sSub>
                </m:oMath>
              </a14:m>
              <a:r>
                <a:rPr lang="es-CO" sz="1400" b="1" i="1"/>
                <a:t> (mg</a:t>
              </a:r>
              <a:r>
                <a:rPr lang="es-CO" sz="1200" b="1" i="0"/>
                <a:t>)</a:t>
              </a:r>
            </a:p>
          </xdr:txBody>
        </xdr:sp>
      </mc:Choice>
      <mc:Fallback xmlns="">
        <xdr:sp macro="" textlink="">
          <xdr:nvSpPr>
            <xdr:cNvPr id="22" name="CuadroTexto 21">
              <a:extLst>
                <a:ext uri="{FF2B5EF4-FFF2-40B4-BE49-F238E27FC236}">
                  <a16:creationId xmlns:a16="http://schemas.microsoft.com/office/drawing/2014/main" xmlns="" xmlns:a14="http://schemas.microsoft.com/office/drawing/2010/main" id="{00000000-0008-0000-1000-000016000000}"/>
                </a:ext>
              </a:extLst>
            </xdr:cNvPr>
            <xdr:cNvSpPr txBox="1"/>
          </xdr:nvSpPr>
          <xdr:spPr>
            <a:xfrm>
              <a:off x="2922506" y="30059027"/>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400" b="1" i="0">
                  <a:latin typeface="Cambria Math" panose="02040503050406030204" pitchFamily="18" charset="0"/>
                  <a:ea typeface="Cambria Math" panose="02040503050406030204" pitchFamily="18" charset="0"/>
                </a:rPr>
                <a:t>∆𝒎_𝒄</a:t>
              </a:r>
              <a:r>
                <a:rPr lang="es-CO" sz="1400" b="1" i="1"/>
                <a:t> (mg</a:t>
              </a:r>
              <a:r>
                <a:rPr lang="es-CO" sz="1200" b="1" i="0"/>
                <a:t>)</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23" name="CuadroTexto 22">
              <a:extLst>
                <a:ext uri="{FF2B5EF4-FFF2-40B4-BE49-F238E27FC236}">
                  <a16:creationId xmlns:a16="http://schemas.microsoft.com/office/drawing/2014/main" id="{00000000-0008-0000-2100-000017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23" name="CuadroTexto 22">
              <a:extLst>
                <a:ext uri="{FF2B5EF4-FFF2-40B4-BE49-F238E27FC236}">
                  <a16:creationId xmlns:a16="http://schemas.microsoft.com/office/drawing/2014/main" xmlns="" xmlns:a14="http://schemas.microsoft.com/office/drawing/2010/main" id="{00000000-0008-0000-1000-000023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24" name="CuadroTexto 23">
          <a:extLst>
            <a:ext uri="{FF2B5EF4-FFF2-40B4-BE49-F238E27FC236}">
              <a16:creationId xmlns:a16="http://schemas.microsoft.com/office/drawing/2014/main" id="{00000000-0008-0000-2100-000018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25" name="CuadroTexto 24">
              <a:extLst>
                <a:ext uri="{FF2B5EF4-FFF2-40B4-BE49-F238E27FC236}">
                  <a16:creationId xmlns:a16="http://schemas.microsoft.com/office/drawing/2014/main" id="{00000000-0008-0000-2100-000019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5" name="CuadroTexto 24">
              <a:extLst>
                <a:ext uri="{FF2B5EF4-FFF2-40B4-BE49-F238E27FC236}">
                  <a16:creationId xmlns:a16="http://schemas.microsoft.com/office/drawing/2014/main" xmlns="" xmlns:a14="http://schemas.microsoft.com/office/drawing/2010/main" id="{00000000-0008-0000-1000-000026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26" name="CuadroTexto 25">
              <a:extLst>
                <a:ext uri="{FF2B5EF4-FFF2-40B4-BE49-F238E27FC236}">
                  <a16:creationId xmlns:a16="http://schemas.microsoft.com/office/drawing/2014/main" id="{00000000-0008-0000-2100-00001A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6" name="CuadroTexto 25">
              <a:extLst>
                <a:ext uri="{FF2B5EF4-FFF2-40B4-BE49-F238E27FC236}">
                  <a16:creationId xmlns:a16="http://schemas.microsoft.com/office/drawing/2014/main" xmlns="" xmlns:a14="http://schemas.microsoft.com/office/drawing/2010/main" id="{00000000-0008-0000-1000-000027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27" name="CuadroTexto 26">
              <a:extLst>
                <a:ext uri="{FF2B5EF4-FFF2-40B4-BE49-F238E27FC236}">
                  <a16:creationId xmlns:a16="http://schemas.microsoft.com/office/drawing/2014/main" id="{00000000-0008-0000-2100-00001B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7" name="CuadroTexto 26">
              <a:extLst>
                <a:ext uri="{FF2B5EF4-FFF2-40B4-BE49-F238E27FC236}">
                  <a16:creationId xmlns:a16="http://schemas.microsoft.com/office/drawing/2014/main" xmlns="" xmlns:a14="http://schemas.microsoft.com/office/drawing/2010/main" id="{00000000-0008-0000-1000-000028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8" name="CuadroTexto 27">
              <a:extLst>
                <a:ext uri="{FF2B5EF4-FFF2-40B4-BE49-F238E27FC236}">
                  <a16:creationId xmlns:a16="http://schemas.microsoft.com/office/drawing/2014/main" id="{00000000-0008-0000-2100-00001C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8" name="CuadroTexto 27">
              <a:extLst>
                <a:ext uri="{FF2B5EF4-FFF2-40B4-BE49-F238E27FC236}">
                  <a16:creationId xmlns:a16="http://schemas.microsoft.com/office/drawing/2014/main" xmlns="" xmlns:a14="http://schemas.microsoft.com/office/drawing/2010/main" id="{00000000-0008-0000-1000-000029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9" name="CuadroTexto 28">
          <a:extLst>
            <a:ext uri="{FF2B5EF4-FFF2-40B4-BE49-F238E27FC236}">
              <a16:creationId xmlns:a16="http://schemas.microsoft.com/office/drawing/2014/main" id="{00000000-0008-0000-2100-00001D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30" name="CuadroTexto 29">
              <a:extLst>
                <a:ext uri="{FF2B5EF4-FFF2-40B4-BE49-F238E27FC236}">
                  <a16:creationId xmlns:a16="http://schemas.microsoft.com/office/drawing/2014/main" id="{00000000-0008-0000-2100-00001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30" name="CuadroTexto 29">
              <a:extLst>
                <a:ext uri="{FF2B5EF4-FFF2-40B4-BE49-F238E27FC236}">
                  <a16:creationId xmlns:a16="http://schemas.microsoft.com/office/drawing/2014/main" xmlns="" xmlns:a14="http://schemas.microsoft.com/office/drawing/2010/main" id="{00000000-0008-0000-1000-000038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31" name="CuadroTexto 30">
          <a:extLst>
            <a:ext uri="{FF2B5EF4-FFF2-40B4-BE49-F238E27FC236}">
              <a16:creationId xmlns:a16="http://schemas.microsoft.com/office/drawing/2014/main" id="{00000000-0008-0000-2100-00001F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32" name="CuadroTexto 31">
              <a:extLst>
                <a:ext uri="{FF2B5EF4-FFF2-40B4-BE49-F238E27FC236}">
                  <a16:creationId xmlns:a16="http://schemas.microsoft.com/office/drawing/2014/main" id="{00000000-0008-0000-2100-000020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2" name="CuadroTexto 31">
              <a:extLst>
                <a:ext uri="{FF2B5EF4-FFF2-40B4-BE49-F238E27FC236}">
                  <a16:creationId xmlns:a16="http://schemas.microsoft.com/office/drawing/2014/main" xmlns="" xmlns:a14="http://schemas.microsoft.com/office/drawing/2010/main" id="{00000000-0008-0000-1000-00003B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33" name="CuadroTexto 32">
              <a:extLst>
                <a:ext uri="{FF2B5EF4-FFF2-40B4-BE49-F238E27FC236}">
                  <a16:creationId xmlns:a16="http://schemas.microsoft.com/office/drawing/2014/main" id="{00000000-0008-0000-2100-000021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3" name="CuadroTexto 32">
              <a:extLst>
                <a:ext uri="{FF2B5EF4-FFF2-40B4-BE49-F238E27FC236}">
                  <a16:creationId xmlns:a16="http://schemas.microsoft.com/office/drawing/2014/main" xmlns="" xmlns:a14="http://schemas.microsoft.com/office/drawing/2010/main" id="{00000000-0008-0000-1000-00003C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34" name="CuadroTexto 33">
              <a:extLst>
                <a:ext uri="{FF2B5EF4-FFF2-40B4-BE49-F238E27FC236}">
                  <a16:creationId xmlns:a16="http://schemas.microsoft.com/office/drawing/2014/main" id="{00000000-0008-0000-2100-000022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4" name="CuadroTexto 33">
              <a:extLst>
                <a:ext uri="{FF2B5EF4-FFF2-40B4-BE49-F238E27FC236}">
                  <a16:creationId xmlns:a16="http://schemas.microsoft.com/office/drawing/2014/main" xmlns="" xmlns:a14="http://schemas.microsoft.com/office/drawing/2010/main" id="{00000000-0008-0000-1000-00003D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35" name="CuadroTexto 34">
              <a:extLst>
                <a:ext uri="{FF2B5EF4-FFF2-40B4-BE49-F238E27FC236}">
                  <a16:creationId xmlns:a16="http://schemas.microsoft.com/office/drawing/2014/main" id="{00000000-0008-0000-2100-000023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5" name="CuadroTexto 34">
              <a:extLst>
                <a:ext uri="{FF2B5EF4-FFF2-40B4-BE49-F238E27FC236}">
                  <a16:creationId xmlns:a16="http://schemas.microsoft.com/office/drawing/2014/main" xmlns="" xmlns:a14="http://schemas.microsoft.com/office/drawing/2010/main" id="{00000000-0008-0000-1000-00003E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36" name="CuadroTexto 35">
          <a:extLst>
            <a:ext uri="{FF2B5EF4-FFF2-40B4-BE49-F238E27FC236}">
              <a16:creationId xmlns:a16="http://schemas.microsoft.com/office/drawing/2014/main" id="{00000000-0008-0000-2100-000024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11</xdr:col>
      <xdr:colOff>628650</xdr:colOff>
      <xdr:row>61</xdr:row>
      <xdr:rowOff>0</xdr:rowOff>
    </xdr:from>
    <xdr:ext cx="65" cy="172227"/>
    <xdr:sp macro="" textlink="">
      <xdr:nvSpPr>
        <xdr:cNvPr id="38" name="CuadroTexto 37">
          <a:extLst>
            <a:ext uri="{FF2B5EF4-FFF2-40B4-BE49-F238E27FC236}">
              <a16:creationId xmlns:a16="http://schemas.microsoft.com/office/drawing/2014/main" id="{00000000-0008-0000-2100-000026000000}"/>
            </a:ext>
          </a:extLst>
        </xdr:cNvPr>
        <xdr:cNvSpPr txBox="1"/>
      </xdr:nvSpPr>
      <xdr:spPr>
        <a:xfrm>
          <a:off x="12001500" y="2272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5</xdr:col>
      <xdr:colOff>539750</xdr:colOff>
      <xdr:row>73</xdr:row>
      <xdr:rowOff>158749</xdr:rowOff>
    </xdr:from>
    <xdr:ext cx="984250" cy="210507"/>
    <mc:AlternateContent xmlns:mc="http://schemas.openxmlformats.org/markup-compatibility/2006" xmlns:a14="http://schemas.microsoft.com/office/drawing/2010/main">
      <mc:Choice Requires="a14">
        <xdr:sp macro="" textlink="">
          <xdr:nvSpPr>
            <xdr:cNvPr id="39" name="CuadroTexto 38">
              <a:extLst>
                <a:ext uri="{FF2B5EF4-FFF2-40B4-BE49-F238E27FC236}">
                  <a16:creationId xmlns:a16="http://schemas.microsoft.com/office/drawing/2014/main" id="{00000000-0008-0000-2100-000027000000}"/>
                </a:ext>
              </a:extLst>
            </xdr:cNvPr>
            <xdr:cNvSpPr txBox="1"/>
          </xdr:nvSpPr>
          <xdr:spPr>
            <a:xfrm>
              <a:off x="5397500" y="30076774"/>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𝒆</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39" name="CuadroTexto 38">
              <a:extLst>
                <a:ext uri="{FF2B5EF4-FFF2-40B4-BE49-F238E27FC236}">
                  <a16:creationId xmlns:a16="http://schemas.microsoft.com/office/drawing/2014/main" xmlns="" xmlns:a14="http://schemas.microsoft.com/office/drawing/2010/main" id="{00000000-0008-0000-1000-000016000000}"/>
                </a:ext>
              </a:extLst>
            </xdr:cNvPr>
            <xdr:cNvSpPr txBox="1"/>
          </xdr:nvSpPr>
          <xdr:spPr>
            <a:xfrm>
              <a:off x="5397500" y="30076774"/>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𝒆 𝒄𝒕</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4</xdr:col>
      <xdr:colOff>52917</xdr:colOff>
      <xdr:row>73</xdr:row>
      <xdr:rowOff>148167</xdr:rowOff>
    </xdr:from>
    <xdr:ext cx="984250" cy="210507"/>
    <mc:AlternateContent xmlns:mc="http://schemas.openxmlformats.org/markup-compatibility/2006" xmlns:a14="http://schemas.microsoft.com/office/drawing/2010/main">
      <mc:Choice Requires="a14">
        <xdr:sp macro="" textlink="">
          <xdr:nvSpPr>
            <xdr:cNvPr id="40" name="CuadroTexto 39">
              <a:extLst>
                <a:ext uri="{FF2B5EF4-FFF2-40B4-BE49-F238E27FC236}">
                  <a16:creationId xmlns:a16="http://schemas.microsoft.com/office/drawing/2014/main" id="{00000000-0008-0000-2100-000028000000}"/>
                </a:ext>
              </a:extLst>
            </xdr:cNvPr>
            <xdr:cNvSpPr txBox="1"/>
          </xdr:nvSpPr>
          <xdr:spPr>
            <a:xfrm>
              <a:off x="3872442" y="30066192"/>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0" name="CuadroTexto 39">
              <a:extLst>
                <a:ext uri="{FF2B5EF4-FFF2-40B4-BE49-F238E27FC236}">
                  <a16:creationId xmlns:a16="http://schemas.microsoft.com/office/drawing/2014/main" xmlns="" xmlns:a14="http://schemas.microsoft.com/office/drawing/2010/main" id="{00000000-0008-0000-1000-000016000000}"/>
                </a:ext>
              </a:extLst>
            </xdr:cNvPr>
            <xdr:cNvSpPr txBox="1"/>
          </xdr:nvSpPr>
          <xdr:spPr>
            <a:xfrm>
              <a:off x="3872442" y="30066192"/>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𝒄𝒕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1</xdr:col>
      <xdr:colOff>23812</xdr:colOff>
      <xdr:row>73</xdr:row>
      <xdr:rowOff>95250</xdr:rowOff>
    </xdr:from>
    <xdr:ext cx="724958" cy="210507"/>
    <mc:AlternateContent xmlns:mc="http://schemas.openxmlformats.org/markup-compatibility/2006" xmlns:a14="http://schemas.microsoft.com/office/drawing/2010/main">
      <mc:Choice Requires="a14">
        <xdr:sp macro="" textlink="">
          <xdr:nvSpPr>
            <xdr:cNvPr id="42" name="CuadroTexto 41">
              <a:extLst>
                <a:ext uri="{FF2B5EF4-FFF2-40B4-BE49-F238E27FC236}">
                  <a16:creationId xmlns:a16="http://schemas.microsoft.com/office/drawing/2014/main" id="{00000000-0008-0000-2100-00002A000000}"/>
                </a:ext>
              </a:extLst>
            </xdr:cNvPr>
            <xdr:cNvSpPr txBox="1"/>
          </xdr:nvSpPr>
          <xdr:spPr>
            <a:xfrm>
              <a:off x="1000125" y="30206156"/>
              <a:ext cx="724958"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𝑵𝒓</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2" name="CuadroTexto 41">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1000125" y="30206156"/>
              <a:ext cx="724958"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𝑵𝒓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8</xdr:col>
      <xdr:colOff>624417</xdr:colOff>
      <xdr:row>73</xdr:row>
      <xdr:rowOff>285751</xdr:rowOff>
    </xdr:from>
    <xdr:ext cx="1524000" cy="210507"/>
    <mc:AlternateContent xmlns:mc="http://schemas.openxmlformats.org/markup-compatibility/2006" xmlns:a14="http://schemas.microsoft.com/office/drawing/2010/main">
      <mc:Choice Requires="a14">
        <xdr:sp macro="" textlink="">
          <xdr:nvSpPr>
            <xdr:cNvPr id="43" name="CuadroTexto 42">
              <a:extLst>
                <a:ext uri="{FF2B5EF4-FFF2-40B4-BE49-F238E27FC236}">
                  <a16:creationId xmlns:a16="http://schemas.microsoft.com/office/drawing/2014/main" id="{00000000-0008-0000-2100-00002B000000}"/>
                </a:ext>
              </a:extLst>
            </xdr:cNvPr>
            <xdr:cNvSpPr txBox="1"/>
          </xdr:nvSpPr>
          <xdr:spPr>
            <a:xfrm>
              <a:off x="9530292" y="30396657"/>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𝑼</m:t>
                  </m:r>
                  <m:r>
                    <a:rPr lang="es-CO" sz="1400" b="1" i="1">
                      <a:latin typeface="Cambria Math" panose="02040503050406030204" pitchFamily="18" charset="0"/>
                      <a:ea typeface="Cambria Math" panose="02040503050406030204" pitchFamily="18" charset="0"/>
                    </a:rPr>
                    <m:t> </m:t>
                  </m:r>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 </m:t>
                  </m:r>
                  <m:r>
                    <a:rPr lang="es-CO" sz="1400" b="1" i="1">
                      <a:latin typeface="Cambria Math" panose="02040503050406030204" pitchFamily="18" charset="0"/>
                      <a:ea typeface="Cambria Math" panose="02040503050406030204" pitchFamily="18" charset="0"/>
                    </a:rPr>
                    <m:t>𝒌</m:t>
                  </m:r>
                  <m:r>
                    <a:rPr lang="es-CO" sz="1400" b="1" i="1">
                      <a:latin typeface="Cambria Math" panose="02040503050406030204" pitchFamily="18" charset="0"/>
                      <a:ea typeface="Cambria Math" panose="02040503050406030204" pitchFamily="18" charset="0"/>
                    </a:rPr>
                    <m:t>=</m:t>
                  </m:r>
                  <m:r>
                    <a:rPr lang="es-CO" sz="1400" b="1" i="1">
                      <a:latin typeface="Cambria Math" panose="02040503050406030204" pitchFamily="18" charset="0"/>
                      <a:ea typeface="Cambria Math" panose="02040503050406030204" pitchFamily="18" charset="0"/>
                    </a:rPr>
                    <m:t>𝟐</m:t>
                  </m:r>
                </m:oMath>
              </a14:m>
              <a:r>
                <a:rPr lang="es-CO" sz="1400" b="1" i="1">
                  <a:latin typeface="Arial" panose="020B0604020202020204" pitchFamily="34" charset="0"/>
                  <a:cs typeface="Arial" panose="020B0604020202020204" pitchFamily="34" charset="0"/>
                </a:rPr>
                <a:t>)</a:t>
              </a:r>
            </a:p>
          </xdr:txBody>
        </xdr:sp>
      </mc:Choice>
      <mc:Fallback xmlns="">
        <xdr:sp macro="" textlink="">
          <xdr:nvSpPr>
            <xdr:cNvPr id="43" name="CuadroTexto 42">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9530292" y="30396657"/>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0">
                  <a:latin typeface="Cambria Math" panose="02040503050406030204" pitchFamily="18" charset="0"/>
                  <a:ea typeface="Cambria Math" panose="02040503050406030204" pitchFamily="18" charset="0"/>
                </a:rPr>
                <a:t>𝑼 </a:t>
              </a:r>
              <a:r>
                <a:rPr lang="es-CO" sz="1400" b="1" i="0">
                  <a:latin typeface="Cambria Math"/>
                  <a:ea typeface="Cambria Math" panose="02040503050406030204" pitchFamily="18" charset="0"/>
                </a:rPr>
                <a:t>(</a:t>
              </a:r>
              <a:r>
                <a:rPr lang="es-CO" sz="1400" b="1" i="0">
                  <a:latin typeface="Cambria Math" panose="02040503050406030204" pitchFamily="18" charset="0"/>
                  <a:ea typeface="Cambria Math" panose="02040503050406030204" pitchFamily="18" charset="0"/>
                </a:rPr>
                <a:t> 𝒎 𝒄𝒕 </a:t>
              </a:r>
              <a:r>
                <a:rPr lang="es-CO" sz="1400" b="1" i="0">
                  <a:latin typeface="Cambria Math"/>
                  <a:ea typeface="Cambria Math" panose="02040503050406030204" pitchFamily="18" charset="0"/>
                </a:rPr>
                <a:t>)</a:t>
              </a:r>
              <a:r>
                <a:rPr lang="es-CO" sz="1400" b="1" i="0">
                  <a:latin typeface="Cambria Math" panose="02040503050406030204" pitchFamily="18" charset="0"/>
                  <a:ea typeface="Cambria Math" panose="02040503050406030204" pitchFamily="18" charset="0"/>
                </a:rPr>
                <a:t>  ( 𝒌=𝟐</a:t>
              </a:r>
              <a:r>
                <a:rPr lang="es-CO" sz="1400" b="1" i="1">
                  <a:latin typeface="Arial" panose="020B0604020202020204" pitchFamily="34" charset="0"/>
                  <a:cs typeface="Arial" panose="020B0604020202020204" pitchFamily="34" charset="0"/>
                </a:rPr>
                <a:t>)</a:t>
              </a:r>
            </a:p>
          </xdr:txBody>
        </xdr:sp>
      </mc:Fallback>
    </mc:AlternateContent>
    <xdr:clientData/>
  </xdr:oneCellAnchor>
  <xdr:oneCellAnchor>
    <xdr:from>
      <xdr:col>9</xdr:col>
      <xdr:colOff>603252</xdr:colOff>
      <xdr:row>74</xdr:row>
      <xdr:rowOff>84667</xdr:rowOff>
    </xdr:from>
    <xdr:ext cx="465666" cy="219163"/>
    <xdr:sp macro="" textlink="">
      <xdr:nvSpPr>
        <xdr:cNvPr id="44" name="CuadroTexto 43">
          <a:extLst>
            <a:ext uri="{FF2B5EF4-FFF2-40B4-BE49-F238E27FC236}">
              <a16:creationId xmlns:a16="http://schemas.microsoft.com/office/drawing/2014/main" id="{00000000-0008-0000-2100-00002C000000}"/>
            </a:ext>
          </a:extLst>
        </xdr:cNvPr>
        <xdr:cNvSpPr txBox="1"/>
      </xdr:nvSpPr>
      <xdr:spPr>
        <a:xfrm>
          <a:off x="10299702" y="30517042"/>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9</xdr:col>
      <xdr:colOff>571499</xdr:colOff>
      <xdr:row>75</xdr:row>
      <xdr:rowOff>116416</xdr:rowOff>
    </xdr:from>
    <xdr:ext cx="359835" cy="219163"/>
    <xdr:sp macro="" textlink="">
      <xdr:nvSpPr>
        <xdr:cNvPr id="45" name="CuadroTexto 44">
          <a:extLst>
            <a:ext uri="{FF2B5EF4-FFF2-40B4-BE49-F238E27FC236}">
              <a16:creationId xmlns:a16="http://schemas.microsoft.com/office/drawing/2014/main" id="{00000000-0008-0000-2100-00002D000000}"/>
            </a:ext>
          </a:extLst>
        </xdr:cNvPr>
        <xdr:cNvSpPr txBox="1"/>
      </xdr:nvSpPr>
      <xdr:spPr>
        <a:xfrm>
          <a:off x="10267949" y="30986941"/>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6</xdr:col>
      <xdr:colOff>275167</xdr:colOff>
      <xdr:row>74</xdr:row>
      <xdr:rowOff>148166</xdr:rowOff>
    </xdr:from>
    <xdr:ext cx="465666" cy="219163"/>
    <xdr:sp macro="" textlink="">
      <xdr:nvSpPr>
        <xdr:cNvPr id="46" name="CuadroTexto 45">
          <a:extLst>
            <a:ext uri="{FF2B5EF4-FFF2-40B4-BE49-F238E27FC236}">
              <a16:creationId xmlns:a16="http://schemas.microsoft.com/office/drawing/2014/main" id="{00000000-0008-0000-2100-00002E000000}"/>
            </a:ext>
          </a:extLst>
        </xdr:cNvPr>
        <xdr:cNvSpPr txBox="1"/>
      </xdr:nvSpPr>
      <xdr:spPr>
        <a:xfrm>
          <a:off x="6371167" y="30580541"/>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6</xdr:col>
      <xdr:colOff>328083</xdr:colOff>
      <xdr:row>75</xdr:row>
      <xdr:rowOff>84667</xdr:rowOff>
    </xdr:from>
    <xdr:ext cx="359835" cy="219163"/>
    <xdr:sp macro="" textlink="">
      <xdr:nvSpPr>
        <xdr:cNvPr id="47" name="CuadroTexto 46">
          <a:extLst>
            <a:ext uri="{FF2B5EF4-FFF2-40B4-BE49-F238E27FC236}">
              <a16:creationId xmlns:a16="http://schemas.microsoft.com/office/drawing/2014/main" id="{00000000-0008-0000-2100-00002F000000}"/>
            </a:ext>
          </a:extLst>
        </xdr:cNvPr>
        <xdr:cNvSpPr txBox="1"/>
      </xdr:nvSpPr>
      <xdr:spPr>
        <a:xfrm>
          <a:off x="6424083" y="30955192"/>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3</xdr:col>
      <xdr:colOff>560916</xdr:colOff>
      <xdr:row>72</xdr:row>
      <xdr:rowOff>74084</xdr:rowOff>
    </xdr:from>
    <xdr:ext cx="1524000" cy="210507"/>
    <mc:AlternateContent xmlns:mc="http://schemas.openxmlformats.org/markup-compatibility/2006" xmlns:a14="http://schemas.microsoft.com/office/drawing/2010/main">
      <mc:Choice Requires="a14">
        <xdr:sp macro="" textlink="">
          <xdr:nvSpPr>
            <xdr:cNvPr id="48" name="CuadroTexto 47">
              <a:extLst>
                <a:ext uri="{FF2B5EF4-FFF2-40B4-BE49-F238E27FC236}">
                  <a16:creationId xmlns:a16="http://schemas.microsoft.com/office/drawing/2014/main" id="{00000000-0008-0000-2100-000030000000}"/>
                </a:ext>
              </a:extLst>
            </xdr:cNvPr>
            <xdr:cNvSpPr txBox="1"/>
          </xdr:nvSpPr>
          <xdr:spPr>
            <a:xfrm>
              <a:off x="3246966" y="29553959"/>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m:t>
                    </m:r>
                  </m:oMath>
                </m:oMathPara>
              </a14:m>
              <a:endParaRPr lang="es-CO" sz="1400" b="1" i="1">
                <a:latin typeface="Arial" panose="020B0604020202020204" pitchFamily="34" charset="0"/>
                <a:cs typeface="Arial" panose="020B0604020202020204" pitchFamily="34" charset="0"/>
              </a:endParaRPr>
            </a:p>
          </xdr:txBody>
        </xdr:sp>
      </mc:Choice>
      <mc:Fallback xmlns="">
        <xdr:sp macro="" textlink="">
          <xdr:nvSpPr>
            <xdr:cNvPr id="48" name="CuadroTexto 47">
              <a:extLst>
                <a:ext uri="{FF2B5EF4-FFF2-40B4-BE49-F238E27FC236}">
                  <a16:creationId xmlns:a16="http://schemas.microsoft.com/office/drawing/2014/main" xmlns="" xmlns:a14="http://schemas.microsoft.com/office/drawing/2010/main" id="{00000000-0008-0000-1000-000016000000}"/>
                </a:ext>
              </a:extLst>
            </xdr:cNvPr>
            <xdr:cNvSpPr txBox="1"/>
          </xdr:nvSpPr>
          <xdr:spPr>
            <a:xfrm>
              <a:off x="3246966" y="29553959"/>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 𝒎 𝒄𝒕 )   </a:t>
              </a:r>
              <a:endParaRPr lang="es-CO" sz="1400" b="1" i="1">
                <a:latin typeface="Arial" panose="020B0604020202020204" pitchFamily="34" charset="0"/>
                <a:cs typeface="Arial" panose="020B0604020202020204" pitchFamily="34" charset="0"/>
              </a:endParaRPr>
            </a:p>
          </xdr:txBody>
        </xdr:sp>
      </mc:Fallback>
    </mc:AlternateContent>
    <xdr:clientData/>
  </xdr:oneCellAnchor>
  <xdr:oneCellAnchor>
    <xdr:from>
      <xdr:col>7</xdr:col>
      <xdr:colOff>411956</xdr:colOff>
      <xdr:row>71</xdr:row>
      <xdr:rowOff>406003</xdr:rowOff>
    </xdr:from>
    <xdr:ext cx="65" cy="172227"/>
    <xdr:sp macro="" textlink="">
      <xdr:nvSpPr>
        <xdr:cNvPr id="49" name="CuadroTexto 48">
          <a:extLst>
            <a:ext uri="{FF2B5EF4-FFF2-40B4-BE49-F238E27FC236}">
              <a16:creationId xmlns:a16="http://schemas.microsoft.com/office/drawing/2014/main" id="{00000000-0008-0000-2100-000031000000}"/>
            </a:ext>
          </a:extLst>
        </xdr:cNvPr>
        <xdr:cNvSpPr txBox="1"/>
      </xdr:nvSpPr>
      <xdr:spPr>
        <a:xfrm>
          <a:off x="7555706" y="29457253"/>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51" name="CuadroTexto 50">
              <a:extLst>
                <a:ext uri="{FF2B5EF4-FFF2-40B4-BE49-F238E27FC236}">
                  <a16:creationId xmlns:a16="http://schemas.microsoft.com/office/drawing/2014/main" id="{00000000-0008-0000-2100-000033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51" name="CuadroTexto 50">
              <a:extLst>
                <a:ext uri="{FF2B5EF4-FFF2-40B4-BE49-F238E27FC236}">
                  <a16:creationId xmlns:a16="http://schemas.microsoft.com/office/drawing/2014/main" id="{DBF2DECE-B26C-46D0-B033-F9492965500A}"/>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52" name="CuadroTexto 51">
              <a:extLst>
                <a:ext uri="{FF2B5EF4-FFF2-40B4-BE49-F238E27FC236}">
                  <a16:creationId xmlns:a16="http://schemas.microsoft.com/office/drawing/2014/main" id="{00000000-0008-0000-2100-000034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52" name="CuadroTexto 51">
              <a:extLst>
                <a:ext uri="{FF2B5EF4-FFF2-40B4-BE49-F238E27FC236}">
                  <a16:creationId xmlns:a16="http://schemas.microsoft.com/office/drawing/2014/main" id="{BCE1E1CD-5944-49A1-B0A9-1E7D5255E16F}"/>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twoCellAnchor>
    <xdr:from>
      <xdr:col>7</xdr:col>
      <xdr:colOff>881063</xdr:colOff>
      <xdr:row>62</xdr:row>
      <xdr:rowOff>182563</xdr:rowOff>
    </xdr:from>
    <xdr:to>
      <xdr:col>12</xdr:col>
      <xdr:colOff>15875</xdr:colOff>
      <xdr:row>64</xdr:row>
      <xdr:rowOff>452438</xdr:rowOff>
    </xdr:to>
    <xdr:graphicFrame macro="">
      <xdr:nvGraphicFramePr>
        <xdr:cNvPr id="53" name="Gráfico 52">
          <a:extLst>
            <a:ext uri="{FF2B5EF4-FFF2-40B4-BE49-F238E27FC236}">
              <a16:creationId xmlns:a16="http://schemas.microsoft.com/office/drawing/2014/main" id="{00000000-0008-0000-2100-00003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178594</xdr:colOff>
      <xdr:row>0</xdr:row>
      <xdr:rowOff>23813</xdr:rowOff>
    </xdr:from>
    <xdr:to>
      <xdr:col>1</xdr:col>
      <xdr:colOff>574000</xdr:colOff>
      <xdr:row>0</xdr:row>
      <xdr:rowOff>663948</xdr:rowOff>
    </xdr:to>
    <xdr:pic>
      <xdr:nvPicPr>
        <xdr:cNvPr id="37" name="36 Imagen">
          <a:extLst>
            <a:ext uri="{FF2B5EF4-FFF2-40B4-BE49-F238E27FC236}">
              <a16:creationId xmlns:a16="http://schemas.microsoft.com/office/drawing/2014/main" id="{00000000-0008-0000-2100-000025000000}"/>
            </a:ext>
          </a:extLst>
        </xdr:cNvPr>
        <xdr:cNvPicPr>
          <a:picLocks noChangeAspect="1"/>
        </xdr:cNvPicPr>
      </xdr:nvPicPr>
      <xdr:blipFill>
        <a:blip xmlns:r="http://schemas.openxmlformats.org/officeDocument/2006/relationships" r:embed="rId2"/>
        <a:stretch>
          <a:fillRect/>
        </a:stretch>
      </xdr:blipFill>
      <xdr:spPr>
        <a:xfrm>
          <a:off x="178594" y="23813"/>
          <a:ext cx="1371719" cy="640135"/>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oneCellAnchor>
    <xdr:from>
      <xdr:col>1</xdr:col>
      <xdr:colOff>285935</xdr:colOff>
      <xdr:row>42</xdr:row>
      <xdr:rowOff>169517</xdr:rowOff>
    </xdr:from>
    <xdr:ext cx="177356" cy="176202"/>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00000000-0008-0000-2200-000003000000}"/>
                </a:ext>
              </a:extLst>
            </xdr:cNvPr>
            <xdr:cNvSpPr txBox="1"/>
          </xdr:nvSpPr>
          <xdr:spPr>
            <a:xfrm>
              <a:off x="1124135" y="14285567"/>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bg1"/>
                            </a:solidFill>
                            <a:latin typeface="Cambria Math" panose="02040503050406030204" pitchFamily="18" charset="0"/>
                          </a:rPr>
                        </m:ctrlPr>
                      </m:accPr>
                      <m:e>
                        <m:r>
                          <a:rPr lang="es-CO" sz="1100" b="1" i="1">
                            <a:solidFill>
                              <a:schemeClr val="bg1"/>
                            </a:solidFill>
                            <a:latin typeface="Cambria Math" panose="02040503050406030204" pitchFamily="18" charset="0"/>
                            <a:ea typeface="Cambria Math" panose="02040503050406030204" pitchFamily="18" charset="0"/>
                          </a:rPr>
                          <m:t>∆</m:t>
                        </m:r>
                        <m:r>
                          <a:rPr lang="es-CO" sz="1100" b="1" i="1">
                            <a:solidFill>
                              <a:schemeClr val="bg1"/>
                            </a:solidFill>
                            <a:latin typeface="Cambria Math" panose="02040503050406030204" pitchFamily="18" charset="0"/>
                            <a:ea typeface="Cambria Math" panose="02040503050406030204" pitchFamily="18" charset="0"/>
                          </a:rPr>
                          <m:t>𝑰</m:t>
                        </m:r>
                      </m:e>
                    </m:acc>
                  </m:oMath>
                </m:oMathPara>
              </a14:m>
              <a:endParaRPr lang="es-CO" sz="1100" b="1">
                <a:solidFill>
                  <a:schemeClr val="bg1"/>
                </a:solidFill>
              </a:endParaRPr>
            </a:p>
          </xdr:txBody>
        </xdr:sp>
      </mc:Choice>
      <mc:Fallback xmlns="">
        <xdr:sp macro="" textlink="">
          <xdr:nvSpPr>
            <xdr:cNvPr id="3" name="CuadroTexto 2">
              <a:extLst>
                <a:ext uri="{FF2B5EF4-FFF2-40B4-BE49-F238E27FC236}">
                  <a16:creationId xmlns:a16="http://schemas.microsoft.com/office/drawing/2014/main" xmlns="" xmlns:a14="http://schemas.microsoft.com/office/drawing/2010/main" id="{00000000-0008-0000-1000-000003000000}"/>
                </a:ext>
              </a:extLst>
            </xdr:cNvPr>
            <xdr:cNvSpPr txBox="1"/>
          </xdr:nvSpPr>
          <xdr:spPr>
            <a:xfrm>
              <a:off x="1124135" y="14285567"/>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bg1"/>
                  </a:solidFill>
                  <a:latin typeface="Cambria Math" panose="02040503050406030204" pitchFamily="18" charset="0"/>
                </a:rPr>
                <a:t>(</a:t>
              </a:r>
              <a:r>
                <a:rPr lang="es-CO" sz="1100" b="1" i="0">
                  <a:solidFill>
                    <a:schemeClr val="bg1"/>
                  </a:solidFill>
                  <a:latin typeface="Cambria Math" panose="02040503050406030204" pitchFamily="18" charset="0"/>
                  <a:ea typeface="Cambria Math" panose="02040503050406030204" pitchFamily="18" charset="0"/>
                </a:rPr>
                <a:t>∆𝑰) ̅</a:t>
              </a:r>
              <a:endParaRPr lang="es-CO" sz="1100" b="1">
                <a:solidFill>
                  <a:schemeClr val="bg1"/>
                </a:solidFill>
              </a:endParaRPr>
            </a:p>
          </xdr:txBody>
        </xdr:sp>
      </mc:Fallback>
    </mc:AlternateContent>
    <xdr:clientData/>
  </xdr:oneCellAnchor>
  <xdr:oneCellAnchor>
    <xdr:from>
      <xdr:col>1</xdr:col>
      <xdr:colOff>136732</xdr:colOff>
      <xdr:row>58</xdr:row>
      <xdr:rowOff>253032</xdr:rowOff>
    </xdr:from>
    <xdr:ext cx="599716" cy="172227"/>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id="{00000000-0008-0000-2200-000004000000}"/>
                </a:ext>
              </a:extLst>
            </xdr:cNvPr>
            <xdr:cNvSpPr txBox="1"/>
          </xdr:nvSpPr>
          <xdr:spPr>
            <a:xfrm>
              <a:off x="974932" y="20084082"/>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𝒘</m:t>
                        </m:r>
                      </m:sub>
                    </m:sSub>
                    <m:r>
                      <a:rPr lang="es-CO" sz="1100" b="1" i="1">
                        <a:latin typeface="Cambria Math" panose="02040503050406030204" pitchFamily="18" charset="0"/>
                      </a:rPr>
                      <m:t>(</m:t>
                    </m:r>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4" name="CuadroTexto 3">
              <a:extLst>
                <a:ext uri="{FF2B5EF4-FFF2-40B4-BE49-F238E27FC236}">
                  <a16:creationId xmlns:a16="http://schemas.microsoft.com/office/drawing/2014/main" xmlns="" xmlns:a14="http://schemas.microsoft.com/office/drawing/2010/main" id="{00000000-0008-0000-1000-000004000000}"/>
                </a:ext>
              </a:extLst>
            </xdr:cNvPr>
            <xdr:cNvSpPr txBox="1"/>
          </xdr:nvSpPr>
          <xdr:spPr>
            <a:xfrm>
              <a:off x="974932" y="20084082"/>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𝒖_𝒘 (</a:t>
              </a: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1</xdr:col>
      <xdr:colOff>202651</xdr:colOff>
      <xdr:row>61</xdr:row>
      <xdr:rowOff>265287</xdr:rowOff>
    </xdr:from>
    <xdr:ext cx="483915" cy="172227"/>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id="{00000000-0008-0000-2200-000005000000}"/>
                </a:ext>
              </a:extLst>
            </xdr:cNvPr>
            <xdr:cNvSpPr txBox="1"/>
          </xdr:nvSpPr>
          <xdr:spPr>
            <a:xfrm>
              <a:off x="1040851" y="22296612"/>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5" name="CuadroTexto 4">
              <a:extLst>
                <a:ext uri="{FF2B5EF4-FFF2-40B4-BE49-F238E27FC236}">
                  <a16:creationId xmlns:a16="http://schemas.microsoft.com/office/drawing/2014/main" xmlns="" xmlns:a14="http://schemas.microsoft.com/office/drawing/2010/main" id="{00000000-0008-0000-1000-000005000000}"/>
                </a:ext>
              </a:extLst>
            </xdr:cNvPr>
            <xdr:cNvSpPr txBox="1"/>
          </xdr:nvSpPr>
          <xdr:spPr>
            <a:xfrm>
              <a:off x="1040851" y="22296612"/>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𝒖(𝒎_𝒄𝒓)</a:t>
              </a:r>
              <a:endParaRPr lang="es-CO" sz="1100" b="1"/>
            </a:p>
          </xdr:txBody>
        </xdr:sp>
      </mc:Fallback>
    </mc:AlternateContent>
    <xdr:clientData/>
  </xdr:oneCellAnchor>
  <xdr:oneCellAnchor>
    <xdr:from>
      <xdr:col>1</xdr:col>
      <xdr:colOff>34166</xdr:colOff>
      <xdr:row>60</xdr:row>
      <xdr:rowOff>250203</xdr:rowOff>
    </xdr:from>
    <xdr:ext cx="689483" cy="172227"/>
    <mc:AlternateContent xmlns:mc="http://schemas.openxmlformats.org/markup-compatibility/2006" xmlns:a14="http://schemas.microsoft.com/office/drawing/2010/main">
      <mc:Choice Requires="a14">
        <xdr:sp macro="" textlink="">
          <xdr:nvSpPr>
            <xdr:cNvPr id="6" name="CuadroTexto 5">
              <a:extLst>
                <a:ext uri="{FF2B5EF4-FFF2-40B4-BE49-F238E27FC236}">
                  <a16:creationId xmlns:a16="http://schemas.microsoft.com/office/drawing/2014/main" id="{00000000-0008-0000-2200-000006000000}"/>
                </a:ext>
              </a:extLst>
            </xdr:cNvPr>
            <xdr:cNvSpPr txBox="1"/>
          </xdr:nvSpPr>
          <xdr:spPr>
            <a:xfrm>
              <a:off x="872366" y="21548103"/>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𝒊𝒏𝒔𝒕</m:t>
                        </m:r>
                      </m:sub>
                    </m:sSub>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0" i="1">
                        <a:latin typeface="Cambria Math" panose="02040503050406030204" pitchFamily="18" charset="0"/>
                      </a:rPr>
                      <m:t>)</m:t>
                    </m:r>
                  </m:oMath>
                </m:oMathPara>
              </a14:m>
              <a:endParaRPr lang="es-CO" sz="1100"/>
            </a:p>
          </xdr:txBody>
        </xdr:sp>
      </mc:Choice>
      <mc:Fallback xmlns="">
        <xdr:sp macro="" textlink="">
          <xdr:nvSpPr>
            <xdr:cNvPr id="6" name="CuadroTexto 5">
              <a:extLst>
                <a:ext uri="{FF2B5EF4-FFF2-40B4-BE49-F238E27FC236}">
                  <a16:creationId xmlns:a16="http://schemas.microsoft.com/office/drawing/2014/main" xmlns="" xmlns:a14="http://schemas.microsoft.com/office/drawing/2010/main" id="{00000000-0008-0000-1000-000006000000}"/>
                </a:ext>
              </a:extLst>
            </xdr:cNvPr>
            <xdr:cNvSpPr txBox="1"/>
          </xdr:nvSpPr>
          <xdr:spPr>
            <a:xfrm>
              <a:off x="872366" y="21548103"/>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𝒖_𝒊𝒏𝒔𝒕 (𝒎_𝒄𝒓</a:t>
              </a:r>
              <a:r>
                <a:rPr lang="es-CO" sz="1100" b="0" i="0">
                  <a:latin typeface="Cambria Math" panose="02040503050406030204" pitchFamily="18" charset="0"/>
                </a:rPr>
                <a:t>)</a:t>
              </a:r>
              <a:endParaRPr lang="es-CO" sz="1100"/>
            </a:p>
          </xdr:txBody>
        </xdr:sp>
      </mc:Fallback>
    </mc:AlternateContent>
    <xdr:clientData/>
  </xdr:oneCellAnchor>
  <xdr:oneCellAnchor>
    <xdr:from>
      <xdr:col>1</xdr:col>
      <xdr:colOff>183870</xdr:colOff>
      <xdr:row>62</xdr:row>
      <xdr:rowOff>264645</xdr:rowOff>
    </xdr:from>
    <xdr:ext cx="397353" cy="172227"/>
    <mc:AlternateContent xmlns:mc="http://schemas.openxmlformats.org/markup-compatibility/2006" xmlns:a14="http://schemas.microsoft.com/office/drawing/2010/main">
      <mc:Choice Requires="a14">
        <xdr:sp macro="" textlink="">
          <xdr:nvSpPr>
            <xdr:cNvPr id="7" name="CuadroTexto 6">
              <a:extLst>
                <a:ext uri="{FF2B5EF4-FFF2-40B4-BE49-F238E27FC236}">
                  <a16:creationId xmlns:a16="http://schemas.microsoft.com/office/drawing/2014/main" id="{00000000-0008-0000-2200-000007000000}"/>
                </a:ext>
              </a:extLst>
            </xdr:cNvPr>
            <xdr:cNvSpPr txBox="1"/>
          </xdr:nvSpPr>
          <xdr:spPr>
            <a:xfrm>
              <a:off x="1022070" y="23029395"/>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𝒂</m:t>
                        </m:r>
                      </m:sub>
                    </m:sSub>
                    <m:r>
                      <a:rPr lang="es-CO" sz="1100" b="1" i="1">
                        <a:latin typeface="Cambria Math" panose="02040503050406030204" pitchFamily="18" charset="0"/>
                      </a:rPr>
                      <m:t>)</m:t>
                    </m:r>
                  </m:oMath>
                </m:oMathPara>
              </a14:m>
              <a:endParaRPr lang="es-CO" sz="1100" b="1"/>
            </a:p>
          </xdr:txBody>
        </xdr:sp>
      </mc:Choice>
      <mc:Fallback xmlns="">
        <xdr:sp macro="" textlink="">
          <xdr:nvSpPr>
            <xdr:cNvPr id="7" name="CuadroTexto 6">
              <a:extLst>
                <a:ext uri="{FF2B5EF4-FFF2-40B4-BE49-F238E27FC236}">
                  <a16:creationId xmlns:a16="http://schemas.microsoft.com/office/drawing/2014/main" xmlns="" xmlns:a14="http://schemas.microsoft.com/office/drawing/2010/main" id="{00000000-0008-0000-1000-000007000000}"/>
                </a:ext>
              </a:extLst>
            </xdr:cNvPr>
            <xdr:cNvSpPr txBox="1"/>
          </xdr:nvSpPr>
          <xdr:spPr>
            <a:xfrm>
              <a:off x="1022070" y="23029395"/>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𝒂)</a:t>
              </a:r>
              <a:endParaRPr lang="es-CO" sz="1100" b="1"/>
            </a:p>
          </xdr:txBody>
        </xdr:sp>
      </mc:Fallback>
    </mc:AlternateContent>
    <xdr:clientData/>
  </xdr:oneCellAnchor>
  <xdr:oneCellAnchor>
    <xdr:from>
      <xdr:col>1</xdr:col>
      <xdr:colOff>186298</xdr:colOff>
      <xdr:row>63</xdr:row>
      <xdr:rowOff>266606</xdr:rowOff>
    </xdr:from>
    <xdr:ext cx="376642" cy="172227"/>
    <mc:AlternateContent xmlns:mc="http://schemas.openxmlformats.org/markup-compatibility/2006" xmlns:a14="http://schemas.microsoft.com/office/drawing/2010/main">
      <mc:Choice Requires="a14">
        <xdr:sp macro="" textlink="">
          <xdr:nvSpPr>
            <xdr:cNvPr id="8" name="CuadroTexto 7">
              <a:extLst>
                <a:ext uri="{FF2B5EF4-FFF2-40B4-BE49-F238E27FC236}">
                  <a16:creationId xmlns:a16="http://schemas.microsoft.com/office/drawing/2014/main" id="{00000000-0008-0000-2200-000008000000}"/>
                </a:ext>
              </a:extLst>
            </xdr:cNvPr>
            <xdr:cNvSpPr txBox="1"/>
          </xdr:nvSpPr>
          <xdr:spPr>
            <a:xfrm>
              <a:off x="1024498" y="23764781"/>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𝒕</m:t>
                        </m:r>
                      </m:sub>
                    </m:sSub>
                    <m:r>
                      <a:rPr lang="es-CO" sz="1100" b="1" i="1">
                        <a:latin typeface="Cambria Math" panose="02040503050406030204" pitchFamily="18" charset="0"/>
                      </a:rPr>
                      <m:t>)</m:t>
                    </m:r>
                  </m:oMath>
                </m:oMathPara>
              </a14:m>
              <a:endParaRPr lang="es-CO" sz="1100" b="1"/>
            </a:p>
          </xdr:txBody>
        </xdr:sp>
      </mc:Choice>
      <mc:Fallback xmlns="">
        <xdr:sp macro="" textlink="">
          <xdr:nvSpPr>
            <xdr:cNvPr id="8" name="CuadroTexto 7">
              <a:extLst>
                <a:ext uri="{FF2B5EF4-FFF2-40B4-BE49-F238E27FC236}">
                  <a16:creationId xmlns:a16="http://schemas.microsoft.com/office/drawing/2014/main" xmlns="" xmlns:a14="http://schemas.microsoft.com/office/drawing/2010/main" id="{00000000-0008-0000-1000-000008000000}"/>
                </a:ext>
              </a:extLst>
            </xdr:cNvPr>
            <xdr:cNvSpPr txBox="1"/>
          </xdr:nvSpPr>
          <xdr:spPr>
            <a:xfrm>
              <a:off x="1024498" y="23764781"/>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𝒕)</a:t>
              </a:r>
              <a:endParaRPr lang="es-CO" sz="1100" b="1"/>
            </a:p>
          </xdr:txBody>
        </xdr:sp>
      </mc:Fallback>
    </mc:AlternateContent>
    <xdr:clientData/>
  </xdr:oneCellAnchor>
  <xdr:oneCellAnchor>
    <xdr:from>
      <xdr:col>1</xdr:col>
      <xdr:colOff>186298</xdr:colOff>
      <xdr:row>64</xdr:row>
      <xdr:rowOff>222250</xdr:rowOff>
    </xdr:from>
    <xdr:ext cx="388696" cy="172227"/>
    <mc:AlternateContent xmlns:mc="http://schemas.openxmlformats.org/markup-compatibility/2006" xmlns:a14="http://schemas.microsoft.com/office/drawing/2010/main">
      <mc:Choice Requires="a14">
        <xdr:sp macro="" textlink="">
          <xdr:nvSpPr>
            <xdr:cNvPr id="9" name="CuadroTexto 8">
              <a:extLst>
                <a:ext uri="{FF2B5EF4-FFF2-40B4-BE49-F238E27FC236}">
                  <a16:creationId xmlns:a16="http://schemas.microsoft.com/office/drawing/2014/main" id="{00000000-0008-0000-2200-000009000000}"/>
                </a:ext>
              </a:extLst>
            </xdr:cNvPr>
            <xdr:cNvSpPr txBox="1"/>
          </xdr:nvSpPr>
          <xdr:spPr>
            <a:xfrm>
              <a:off x="1024498" y="24453850"/>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9" name="CuadroTexto 8">
              <a:extLst>
                <a:ext uri="{FF2B5EF4-FFF2-40B4-BE49-F238E27FC236}">
                  <a16:creationId xmlns:a16="http://schemas.microsoft.com/office/drawing/2014/main" xmlns="" xmlns:a14="http://schemas.microsoft.com/office/drawing/2010/main" id="{00000000-0008-0000-1000-000009000000}"/>
                </a:ext>
              </a:extLst>
            </xdr:cNvPr>
            <xdr:cNvSpPr txBox="1"/>
          </xdr:nvSpPr>
          <xdr:spPr>
            <a:xfrm>
              <a:off x="1024498" y="24453850"/>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𝒓)</a:t>
              </a:r>
              <a:endParaRPr lang="es-CO" sz="1100" b="1"/>
            </a:p>
          </xdr:txBody>
        </xdr:sp>
      </mc:Fallback>
    </mc:AlternateContent>
    <xdr:clientData/>
  </xdr:oneCellAnchor>
  <xdr:oneCellAnchor>
    <xdr:from>
      <xdr:col>1</xdr:col>
      <xdr:colOff>265579</xdr:colOff>
      <xdr:row>65</xdr:row>
      <xdr:rowOff>288458</xdr:rowOff>
    </xdr:from>
    <xdr:ext cx="191271" cy="172227"/>
    <mc:AlternateContent xmlns:mc="http://schemas.openxmlformats.org/markup-compatibility/2006" xmlns:a14="http://schemas.microsoft.com/office/drawing/2010/main">
      <mc:Choice Requires="a14">
        <xdr:sp macro="" textlink="">
          <xdr:nvSpPr>
            <xdr:cNvPr id="10" name="CuadroTexto 9">
              <a:extLst>
                <a:ext uri="{FF2B5EF4-FFF2-40B4-BE49-F238E27FC236}">
                  <a16:creationId xmlns:a16="http://schemas.microsoft.com/office/drawing/2014/main" id="{00000000-0008-0000-2200-00000A000000}"/>
                </a:ext>
              </a:extLst>
            </xdr:cNvPr>
            <xdr:cNvSpPr txBox="1"/>
          </xdr:nvSpPr>
          <xdr:spPr>
            <a:xfrm>
              <a:off x="1103779" y="25253483"/>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𝒃</m:t>
                        </m:r>
                      </m:sub>
                    </m:sSub>
                  </m:oMath>
                </m:oMathPara>
              </a14:m>
              <a:endParaRPr lang="es-CO" sz="1100" b="1"/>
            </a:p>
          </xdr:txBody>
        </xdr:sp>
      </mc:Choice>
      <mc:Fallback xmlns="">
        <xdr:sp macro="" textlink="">
          <xdr:nvSpPr>
            <xdr:cNvPr id="10" name="CuadroTexto 9">
              <a:extLst>
                <a:ext uri="{FF2B5EF4-FFF2-40B4-BE49-F238E27FC236}">
                  <a16:creationId xmlns:a16="http://schemas.microsoft.com/office/drawing/2014/main" xmlns="" xmlns:a14="http://schemas.microsoft.com/office/drawing/2010/main" id="{00000000-0008-0000-1000-00000A000000}"/>
                </a:ext>
              </a:extLst>
            </xdr:cNvPr>
            <xdr:cNvSpPr txBox="1"/>
          </xdr:nvSpPr>
          <xdr:spPr>
            <a:xfrm>
              <a:off x="1103779" y="25253483"/>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𝒖_𝒃</a:t>
              </a:r>
              <a:endParaRPr lang="es-CO" sz="1100" b="1"/>
            </a:p>
          </xdr:txBody>
        </xdr:sp>
      </mc:Fallback>
    </mc:AlternateContent>
    <xdr:clientData/>
  </xdr:oneCellAnchor>
  <xdr:oneCellAnchor>
    <xdr:from>
      <xdr:col>1</xdr:col>
      <xdr:colOff>261391</xdr:colOff>
      <xdr:row>66</xdr:row>
      <xdr:rowOff>294234</xdr:rowOff>
    </xdr:from>
    <xdr:ext cx="195053" cy="172227"/>
    <mc:AlternateContent xmlns:mc="http://schemas.openxmlformats.org/markup-compatibility/2006" xmlns:a14="http://schemas.microsoft.com/office/drawing/2010/main">
      <mc:Choice Requires="a14">
        <xdr:sp macro="" textlink="">
          <xdr:nvSpPr>
            <xdr:cNvPr id="11" name="CuadroTexto 10">
              <a:extLst>
                <a:ext uri="{FF2B5EF4-FFF2-40B4-BE49-F238E27FC236}">
                  <a16:creationId xmlns:a16="http://schemas.microsoft.com/office/drawing/2014/main" id="{00000000-0008-0000-2200-00000B000000}"/>
                </a:ext>
              </a:extLst>
            </xdr:cNvPr>
            <xdr:cNvSpPr txBox="1"/>
          </xdr:nvSpPr>
          <xdr:spPr>
            <a:xfrm>
              <a:off x="1099591" y="25992684"/>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𝒅</m:t>
                        </m:r>
                      </m:sub>
                    </m:sSub>
                  </m:oMath>
                </m:oMathPara>
              </a14:m>
              <a:endParaRPr lang="es-CO" sz="1100" b="1"/>
            </a:p>
          </xdr:txBody>
        </xdr:sp>
      </mc:Choice>
      <mc:Fallback xmlns="">
        <xdr:sp macro="" textlink="">
          <xdr:nvSpPr>
            <xdr:cNvPr id="11" name="CuadroTexto 10">
              <a:extLst>
                <a:ext uri="{FF2B5EF4-FFF2-40B4-BE49-F238E27FC236}">
                  <a16:creationId xmlns:a16="http://schemas.microsoft.com/office/drawing/2014/main" xmlns="" xmlns:a14="http://schemas.microsoft.com/office/drawing/2010/main" id="{00000000-0008-0000-1000-00000B000000}"/>
                </a:ext>
              </a:extLst>
            </xdr:cNvPr>
            <xdr:cNvSpPr txBox="1"/>
          </xdr:nvSpPr>
          <xdr:spPr>
            <a:xfrm>
              <a:off x="1099591" y="25992684"/>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𝒖_𝒅</a:t>
              </a:r>
              <a:endParaRPr lang="es-CO" sz="1100" b="1"/>
            </a:p>
          </xdr:txBody>
        </xdr:sp>
      </mc:Fallback>
    </mc:AlternateContent>
    <xdr:clientData/>
  </xdr:oneCellAnchor>
  <xdr:oneCellAnchor>
    <xdr:from>
      <xdr:col>5</xdr:col>
      <xdr:colOff>393571</xdr:colOff>
      <xdr:row>69</xdr:row>
      <xdr:rowOff>265119</xdr:rowOff>
    </xdr:from>
    <xdr:ext cx="529697" cy="172227"/>
    <mc:AlternateContent xmlns:mc="http://schemas.openxmlformats.org/markup-compatibility/2006" xmlns:a14="http://schemas.microsoft.com/office/drawing/2010/main">
      <mc:Choice Requires="a14">
        <xdr:sp macro="" textlink="">
          <xdr:nvSpPr>
            <xdr:cNvPr id="12" name="CuadroTexto 11">
              <a:extLst>
                <a:ext uri="{FF2B5EF4-FFF2-40B4-BE49-F238E27FC236}">
                  <a16:creationId xmlns:a16="http://schemas.microsoft.com/office/drawing/2014/main" id="{00000000-0008-0000-2200-00000C000000}"/>
                </a:ext>
              </a:extLst>
            </xdr:cNvPr>
            <xdr:cNvSpPr txBox="1"/>
          </xdr:nvSpPr>
          <xdr:spPr>
            <a:xfrm>
              <a:off x="5251321" y="27525669"/>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𝒄</m:t>
                        </m:r>
                      </m:sub>
                    </m:sSub>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12" name="CuadroTexto 11">
              <a:extLst>
                <a:ext uri="{FF2B5EF4-FFF2-40B4-BE49-F238E27FC236}">
                  <a16:creationId xmlns:a16="http://schemas.microsoft.com/office/drawing/2014/main" xmlns="" xmlns:a14="http://schemas.microsoft.com/office/drawing/2010/main" id="{00000000-0008-0000-1000-00000C000000}"/>
                </a:ext>
              </a:extLst>
            </xdr:cNvPr>
            <xdr:cNvSpPr txBox="1"/>
          </xdr:nvSpPr>
          <xdr:spPr>
            <a:xfrm>
              <a:off x="5251321" y="27525669"/>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𝒖_𝒄 (</a:t>
              </a:r>
              <a:r>
                <a:rPr lang="es-CO" sz="1100" b="1" i="0">
                  <a:latin typeface="Cambria Math" panose="02040503050406030204" pitchFamily="18" charset="0"/>
                  <a:ea typeface="Cambria Math" panose="02040503050406030204" pitchFamily="18" charset="0"/>
                </a:rPr>
                <a:t>𝒎_𝒄𝒕)</a:t>
              </a:r>
              <a:endParaRPr lang="es-CO" sz="1100" b="1"/>
            </a:p>
          </xdr:txBody>
        </xdr:sp>
      </mc:Fallback>
    </mc:AlternateContent>
    <xdr:clientData/>
  </xdr:oneCellAnchor>
  <xdr:oneCellAnchor>
    <xdr:from>
      <xdr:col>5</xdr:col>
      <xdr:colOff>243965</xdr:colOff>
      <xdr:row>70</xdr:row>
      <xdr:rowOff>130277</xdr:rowOff>
    </xdr:from>
    <xdr:ext cx="780598" cy="172227"/>
    <mc:AlternateContent xmlns:mc="http://schemas.openxmlformats.org/markup-compatibility/2006" xmlns:a14="http://schemas.microsoft.com/office/drawing/2010/main">
      <mc:Choice Requires="a14">
        <xdr:sp macro="" textlink="">
          <xdr:nvSpPr>
            <xdr:cNvPr id="13" name="CuadroTexto 12">
              <a:extLst>
                <a:ext uri="{FF2B5EF4-FFF2-40B4-BE49-F238E27FC236}">
                  <a16:creationId xmlns:a16="http://schemas.microsoft.com/office/drawing/2014/main" id="{00000000-0008-0000-2200-00000D000000}"/>
                </a:ext>
              </a:extLst>
            </xdr:cNvPr>
            <xdr:cNvSpPr txBox="1"/>
          </xdr:nvSpPr>
          <xdr:spPr>
            <a:xfrm>
              <a:off x="5101715" y="28048052"/>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100" b="1" i="1">
                      <a:latin typeface="Cambria Math" panose="02040503050406030204" pitchFamily="18" charset="0"/>
                    </a:rPr>
                    <m:t>𝑼</m:t>
                  </m:r>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a14:m>
              <a:r>
                <a:rPr lang="es-CO" sz="1100" b="1"/>
                <a:t> (k=2)</a:t>
              </a:r>
            </a:p>
          </xdr:txBody>
        </xdr:sp>
      </mc:Choice>
      <mc:Fallback xmlns="">
        <xdr:sp macro="" textlink="">
          <xdr:nvSpPr>
            <xdr:cNvPr id="13" name="CuadroTexto 12">
              <a:extLst>
                <a:ext uri="{FF2B5EF4-FFF2-40B4-BE49-F238E27FC236}">
                  <a16:creationId xmlns:a16="http://schemas.microsoft.com/office/drawing/2014/main" xmlns="" xmlns:a14="http://schemas.microsoft.com/office/drawing/2010/main" id="{00000000-0008-0000-1000-00000D000000}"/>
                </a:ext>
              </a:extLst>
            </xdr:cNvPr>
            <xdr:cNvSpPr txBox="1"/>
          </xdr:nvSpPr>
          <xdr:spPr>
            <a:xfrm>
              <a:off x="5101715" y="28048052"/>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100" b="1" i="0">
                  <a:latin typeface="Cambria Math" panose="02040503050406030204" pitchFamily="18" charset="0"/>
                </a:rPr>
                <a:t>𝑼(</a:t>
              </a:r>
              <a:r>
                <a:rPr lang="es-CO" sz="1100" b="1" i="0">
                  <a:latin typeface="Cambria Math" panose="02040503050406030204" pitchFamily="18" charset="0"/>
                  <a:ea typeface="Cambria Math" panose="02040503050406030204" pitchFamily="18" charset="0"/>
                </a:rPr>
                <a:t>𝒎_𝒄𝒕)</a:t>
              </a:r>
              <a:r>
                <a:rPr lang="es-CO" sz="1100" b="1"/>
                <a:t> (k=2)</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14" name="CuadroTexto 13">
              <a:extLst>
                <a:ext uri="{FF2B5EF4-FFF2-40B4-BE49-F238E27FC236}">
                  <a16:creationId xmlns:a16="http://schemas.microsoft.com/office/drawing/2014/main" id="{00000000-0008-0000-2200-00000E000000}"/>
                </a:ext>
              </a:extLst>
            </xdr:cNvPr>
            <xdr:cNvSpPr txBox="1"/>
          </xdr:nvSpPr>
          <xdr:spPr>
            <a:xfrm>
              <a:off x="1911627" y="1799065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14" name="CuadroTexto 13">
              <a:extLst>
                <a:ext uri="{FF2B5EF4-FFF2-40B4-BE49-F238E27FC236}">
                  <a16:creationId xmlns:a16="http://schemas.microsoft.com/office/drawing/2014/main" xmlns="" xmlns:a14="http://schemas.microsoft.com/office/drawing/2010/main" id="{00000000-0008-0000-1000-00000E000000}"/>
                </a:ext>
              </a:extLst>
            </xdr:cNvPr>
            <xdr:cNvSpPr txBox="1"/>
          </xdr:nvSpPr>
          <xdr:spPr>
            <a:xfrm>
              <a:off x="1911627" y="1799065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8</xdr:col>
      <xdr:colOff>541269</xdr:colOff>
      <xdr:row>52</xdr:row>
      <xdr:rowOff>78683</xdr:rowOff>
    </xdr:from>
    <xdr:ext cx="304571" cy="172227"/>
    <mc:AlternateContent xmlns:mc="http://schemas.openxmlformats.org/markup-compatibility/2006" xmlns:a14="http://schemas.microsoft.com/office/drawing/2010/main">
      <mc:Choice Requires="a14">
        <xdr:sp macro="" textlink="">
          <xdr:nvSpPr>
            <xdr:cNvPr id="15" name="CuadroTexto 14">
              <a:extLst>
                <a:ext uri="{FF2B5EF4-FFF2-40B4-BE49-F238E27FC236}">
                  <a16:creationId xmlns:a16="http://schemas.microsoft.com/office/drawing/2014/main" id="{00000000-0008-0000-2200-00000F000000}"/>
                </a:ext>
              </a:extLst>
            </xdr:cNvPr>
            <xdr:cNvSpPr txBox="1"/>
          </xdr:nvSpPr>
          <xdr:spPr>
            <a:xfrm>
              <a:off x="9313794" y="17928533"/>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oMath>
                </m:oMathPara>
              </a14:m>
              <a:endParaRPr lang="es-CO" sz="1100" b="1"/>
            </a:p>
          </xdr:txBody>
        </xdr:sp>
      </mc:Choice>
      <mc:Fallback xmlns="">
        <xdr:sp macro="" textlink="">
          <xdr:nvSpPr>
            <xdr:cNvPr id="15" name="CuadroTexto 14">
              <a:extLst>
                <a:ext uri="{FF2B5EF4-FFF2-40B4-BE49-F238E27FC236}">
                  <a16:creationId xmlns:a16="http://schemas.microsoft.com/office/drawing/2014/main" xmlns="" xmlns:a14="http://schemas.microsoft.com/office/drawing/2010/main" id="{00000000-0008-0000-1000-00000F000000}"/>
                </a:ext>
              </a:extLst>
            </xdr:cNvPr>
            <xdr:cNvSpPr txBox="1"/>
          </xdr:nvSpPr>
          <xdr:spPr>
            <a:xfrm>
              <a:off x="9313794" y="17928533"/>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4</xdr:col>
      <xdr:colOff>155713</xdr:colOff>
      <xdr:row>39</xdr:row>
      <xdr:rowOff>106017</xdr:rowOff>
    </xdr:from>
    <xdr:ext cx="65" cy="172227"/>
    <xdr:sp macro="" textlink="">
      <xdr:nvSpPr>
        <xdr:cNvPr id="16" name="CuadroTexto 15">
          <a:extLst>
            <a:ext uri="{FF2B5EF4-FFF2-40B4-BE49-F238E27FC236}">
              <a16:creationId xmlns:a16="http://schemas.microsoft.com/office/drawing/2014/main" id="{00000000-0008-0000-2200-000010000000}"/>
            </a:ext>
          </a:extLst>
        </xdr:cNvPr>
        <xdr:cNvSpPr txBox="1"/>
      </xdr:nvSpPr>
      <xdr:spPr>
        <a:xfrm>
          <a:off x="3975238" y="1302191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17" name="CuadroTexto 16">
              <a:extLst>
                <a:ext uri="{FF2B5EF4-FFF2-40B4-BE49-F238E27FC236}">
                  <a16:creationId xmlns:a16="http://schemas.microsoft.com/office/drawing/2014/main" id="{00000000-0008-0000-2200-000011000000}"/>
                </a:ext>
              </a:extLst>
            </xdr:cNvPr>
            <xdr:cNvSpPr txBox="1"/>
          </xdr:nvSpPr>
          <xdr:spPr>
            <a:xfrm>
              <a:off x="1169504" y="130484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7" name="CuadroTexto 16">
              <a:extLst>
                <a:ext uri="{FF2B5EF4-FFF2-40B4-BE49-F238E27FC236}">
                  <a16:creationId xmlns:a16="http://schemas.microsoft.com/office/drawing/2014/main" xmlns="" xmlns:a14="http://schemas.microsoft.com/office/drawing/2010/main" id="{00000000-0008-0000-1000-000011000000}"/>
                </a:ext>
              </a:extLst>
            </xdr:cNvPr>
            <xdr:cNvSpPr txBox="1"/>
          </xdr:nvSpPr>
          <xdr:spPr>
            <a:xfrm>
              <a:off x="1169504" y="130484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18" name="CuadroTexto 17">
              <a:extLst>
                <a:ext uri="{FF2B5EF4-FFF2-40B4-BE49-F238E27FC236}">
                  <a16:creationId xmlns:a16="http://schemas.microsoft.com/office/drawing/2014/main" id="{00000000-0008-0000-2200-000012000000}"/>
                </a:ext>
              </a:extLst>
            </xdr:cNvPr>
            <xdr:cNvSpPr txBox="1"/>
          </xdr:nvSpPr>
          <xdr:spPr>
            <a:xfrm>
              <a:off x="1144657" y="134567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18" name="CuadroTexto 17">
              <a:extLst>
                <a:ext uri="{FF2B5EF4-FFF2-40B4-BE49-F238E27FC236}">
                  <a16:creationId xmlns:a16="http://schemas.microsoft.com/office/drawing/2014/main" xmlns="" xmlns:a14="http://schemas.microsoft.com/office/drawing/2010/main" id="{00000000-0008-0000-1000-000012000000}"/>
                </a:ext>
              </a:extLst>
            </xdr:cNvPr>
            <xdr:cNvSpPr txBox="1"/>
          </xdr:nvSpPr>
          <xdr:spPr>
            <a:xfrm>
              <a:off x="1144657" y="134567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19" name="CuadroTexto 18">
              <a:extLst>
                <a:ext uri="{FF2B5EF4-FFF2-40B4-BE49-F238E27FC236}">
                  <a16:creationId xmlns:a16="http://schemas.microsoft.com/office/drawing/2014/main" id="{00000000-0008-0000-2200-000013000000}"/>
                </a:ext>
              </a:extLst>
            </xdr:cNvPr>
            <xdr:cNvSpPr txBox="1"/>
          </xdr:nvSpPr>
          <xdr:spPr>
            <a:xfrm>
              <a:off x="1244048" y="138568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9" name="CuadroTexto 18">
              <a:extLst>
                <a:ext uri="{FF2B5EF4-FFF2-40B4-BE49-F238E27FC236}">
                  <a16:creationId xmlns:a16="http://schemas.microsoft.com/office/drawing/2014/main" xmlns="" xmlns:a14="http://schemas.microsoft.com/office/drawing/2010/main" id="{00000000-0008-0000-1000-000013000000}"/>
                </a:ext>
              </a:extLst>
            </xdr:cNvPr>
            <xdr:cNvSpPr txBox="1"/>
          </xdr:nvSpPr>
          <xdr:spPr>
            <a:xfrm>
              <a:off x="1244048" y="138568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0" name="CuadroTexto 19">
              <a:extLst>
                <a:ext uri="{FF2B5EF4-FFF2-40B4-BE49-F238E27FC236}">
                  <a16:creationId xmlns:a16="http://schemas.microsoft.com/office/drawing/2014/main" id="{00000000-0008-0000-2200-000014000000}"/>
                </a:ext>
              </a:extLst>
            </xdr:cNvPr>
            <xdr:cNvSpPr txBox="1"/>
          </xdr:nvSpPr>
          <xdr:spPr>
            <a:xfrm>
              <a:off x="1036982" y="138485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0" name="CuadroTexto 19">
              <a:extLst>
                <a:ext uri="{FF2B5EF4-FFF2-40B4-BE49-F238E27FC236}">
                  <a16:creationId xmlns:a16="http://schemas.microsoft.com/office/drawing/2014/main" xmlns="" xmlns:a14="http://schemas.microsoft.com/office/drawing/2010/main" id="{00000000-0008-0000-1000-000014000000}"/>
                </a:ext>
              </a:extLst>
            </xdr:cNvPr>
            <xdr:cNvSpPr txBox="1"/>
          </xdr:nvSpPr>
          <xdr:spPr>
            <a:xfrm>
              <a:off x="1036982" y="138485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1" name="CuadroTexto 20">
          <a:extLst>
            <a:ext uri="{FF2B5EF4-FFF2-40B4-BE49-F238E27FC236}">
              <a16:creationId xmlns:a16="http://schemas.microsoft.com/office/drawing/2014/main" id="{00000000-0008-0000-2200-000015000000}"/>
            </a:ext>
          </a:extLst>
        </xdr:cNvPr>
        <xdr:cNvSpPr txBox="1"/>
      </xdr:nvSpPr>
      <xdr:spPr>
        <a:xfrm>
          <a:off x="1186072" y="13848521"/>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3</xdr:col>
      <xdr:colOff>236456</xdr:colOff>
      <xdr:row>73</xdr:row>
      <xdr:rowOff>141002</xdr:rowOff>
    </xdr:from>
    <xdr:ext cx="730521" cy="219163"/>
    <mc:AlternateContent xmlns:mc="http://schemas.openxmlformats.org/markup-compatibility/2006" xmlns:a14="http://schemas.microsoft.com/office/drawing/2010/main">
      <mc:Choice Requires="a14">
        <xdr:sp macro="" textlink="">
          <xdr:nvSpPr>
            <xdr:cNvPr id="22" name="CuadroTexto 21">
              <a:extLst>
                <a:ext uri="{FF2B5EF4-FFF2-40B4-BE49-F238E27FC236}">
                  <a16:creationId xmlns:a16="http://schemas.microsoft.com/office/drawing/2014/main" id="{00000000-0008-0000-2200-000016000000}"/>
                </a:ext>
              </a:extLst>
            </xdr:cNvPr>
            <xdr:cNvSpPr txBox="1"/>
          </xdr:nvSpPr>
          <xdr:spPr>
            <a:xfrm>
              <a:off x="2922506" y="29363702"/>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m:t>
                  </m:r>
                  <m:sSub>
                    <m:sSubPr>
                      <m:ctrlPr>
                        <a:rPr lang="es-CO" sz="1400" b="1" i="1">
                          <a:latin typeface="Cambria Math" panose="02040503050406030204" pitchFamily="18" charset="0"/>
                          <a:ea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𝒎</m:t>
                      </m:r>
                    </m:e>
                    <m:sub>
                      <m:r>
                        <a:rPr lang="es-CO" sz="1400" b="1" i="1">
                          <a:latin typeface="Cambria Math" panose="02040503050406030204" pitchFamily="18" charset="0"/>
                          <a:ea typeface="Cambria Math" panose="02040503050406030204" pitchFamily="18" charset="0"/>
                        </a:rPr>
                        <m:t>𝒄</m:t>
                      </m:r>
                    </m:sub>
                  </m:sSub>
                </m:oMath>
              </a14:m>
              <a:r>
                <a:rPr lang="es-CO" sz="1400" b="1" i="1"/>
                <a:t> (mg</a:t>
              </a:r>
              <a:r>
                <a:rPr lang="es-CO" sz="1200" b="1" i="0"/>
                <a:t>)</a:t>
              </a:r>
            </a:p>
          </xdr:txBody>
        </xdr:sp>
      </mc:Choice>
      <mc:Fallback xmlns="">
        <xdr:sp macro="" textlink="">
          <xdr:nvSpPr>
            <xdr:cNvPr id="22" name="CuadroTexto 21">
              <a:extLst>
                <a:ext uri="{FF2B5EF4-FFF2-40B4-BE49-F238E27FC236}">
                  <a16:creationId xmlns:a16="http://schemas.microsoft.com/office/drawing/2014/main" xmlns="" xmlns:a14="http://schemas.microsoft.com/office/drawing/2010/main" id="{00000000-0008-0000-1000-000016000000}"/>
                </a:ext>
              </a:extLst>
            </xdr:cNvPr>
            <xdr:cNvSpPr txBox="1"/>
          </xdr:nvSpPr>
          <xdr:spPr>
            <a:xfrm>
              <a:off x="2922506" y="29363702"/>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400" b="1" i="0">
                  <a:latin typeface="Cambria Math" panose="02040503050406030204" pitchFamily="18" charset="0"/>
                  <a:ea typeface="Cambria Math" panose="02040503050406030204" pitchFamily="18" charset="0"/>
                </a:rPr>
                <a:t>∆𝒎_𝒄</a:t>
              </a:r>
              <a:r>
                <a:rPr lang="es-CO" sz="1400" b="1" i="1"/>
                <a:t> (mg</a:t>
              </a:r>
              <a:r>
                <a:rPr lang="es-CO" sz="1200" b="1" i="0"/>
                <a:t>)</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23" name="CuadroTexto 22">
              <a:extLst>
                <a:ext uri="{FF2B5EF4-FFF2-40B4-BE49-F238E27FC236}">
                  <a16:creationId xmlns:a16="http://schemas.microsoft.com/office/drawing/2014/main" id="{00000000-0008-0000-2200-000017000000}"/>
                </a:ext>
              </a:extLst>
            </xdr:cNvPr>
            <xdr:cNvSpPr txBox="1"/>
          </xdr:nvSpPr>
          <xdr:spPr>
            <a:xfrm>
              <a:off x="1911627" y="1799065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23" name="CuadroTexto 22">
              <a:extLst>
                <a:ext uri="{FF2B5EF4-FFF2-40B4-BE49-F238E27FC236}">
                  <a16:creationId xmlns:a16="http://schemas.microsoft.com/office/drawing/2014/main" xmlns="" xmlns:a14="http://schemas.microsoft.com/office/drawing/2010/main" id="{00000000-0008-0000-1000-000023000000}"/>
                </a:ext>
              </a:extLst>
            </xdr:cNvPr>
            <xdr:cNvSpPr txBox="1"/>
          </xdr:nvSpPr>
          <xdr:spPr>
            <a:xfrm>
              <a:off x="1911627" y="1799065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24" name="CuadroTexto 23">
          <a:extLst>
            <a:ext uri="{FF2B5EF4-FFF2-40B4-BE49-F238E27FC236}">
              <a16:creationId xmlns:a16="http://schemas.microsoft.com/office/drawing/2014/main" id="{00000000-0008-0000-2200-000018000000}"/>
            </a:ext>
          </a:extLst>
        </xdr:cNvPr>
        <xdr:cNvSpPr txBox="1"/>
      </xdr:nvSpPr>
      <xdr:spPr>
        <a:xfrm>
          <a:off x="3975238" y="1302191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25" name="CuadroTexto 24">
              <a:extLst>
                <a:ext uri="{FF2B5EF4-FFF2-40B4-BE49-F238E27FC236}">
                  <a16:creationId xmlns:a16="http://schemas.microsoft.com/office/drawing/2014/main" id="{00000000-0008-0000-2200-000019000000}"/>
                </a:ext>
              </a:extLst>
            </xdr:cNvPr>
            <xdr:cNvSpPr txBox="1"/>
          </xdr:nvSpPr>
          <xdr:spPr>
            <a:xfrm>
              <a:off x="1169504" y="130484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5" name="CuadroTexto 24">
              <a:extLst>
                <a:ext uri="{FF2B5EF4-FFF2-40B4-BE49-F238E27FC236}">
                  <a16:creationId xmlns:a16="http://schemas.microsoft.com/office/drawing/2014/main" xmlns="" xmlns:a14="http://schemas.microsoft.com/office/drawing/2010/main" id="{00000000-0008-0000-1000-000026000000}"/>
                </a:ext>
              </a:extLst>
            </xdr:cNvPr>
            <xdr:cNvSpPr txBox="1"/>
          </xdr:nvSpPr>
          <xdr:spPr>
            <a:xfrm>
              <a:off x="1169504" y="130484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26" name="CuadroTexto 25">
              <a:extLst>
                <a:ext uri="{FF2B5EF4-FFF2-40B4-BE49-F238E27FC236}">
                  <a16:creationId xmlns:a16="http://schemas.microsoft.com/office/drawing/2014/main" id="{00000000-0008-0000-2200-00001A000000}"/>
                </a:ext>
              </a:extLst>
            </xdr:cNvPr>
            <xdr:cNvSpPr txBox="1"/>
          </xdr:nvSpPr>
          <xdr:spPr>
            <a:xfrm>
              <a:off x="1144657" y="134567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6" name="CuadroTexto 25">
              <a:extLst>
                <a:ext uri="{FF2B5EF4-FFF2-40B4-BE49-F238E27FC236}">
                  <a16:creationId xmlns:a16="http://schemas.microsoft.com/office/drawing/2014/main" xmlns="" xmlns:a14="http://schemas.microsoft.com/office/drawing/2010/main" id="{00000000-0008-0000-1000-000027000000}"/>
                </a:ext>
              </a:extLst>
            </xdr:cNvPr>
            <xdr:cNvSpPr txBox="1"/>
          </xdr:nvSpPr>
          <xdr:spPr>
            <a:xfrm>
              <a:off x="1144657" y="134567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27" name="CuadroTexto 26">
              <a:extLst>
                <a:ext uri="{FF2B5EF4-FFF2-40B4-BE49-F238E27FC236}">
                  <a16:creationId xmlns:a16="http://schemas.microsoft.com/office/drawing/2014/main" id="{00000000-0008-0000-2200-00001B000000}"/>
                </a:ext>
              </a:extLst>
            </xdr:cNvPr>
            <xdr:cNvSpPr txBox="1"/>
          </xdr:nvSpPr>
          <xdr:spPr>
            <a:xfrm>
              <a:off x="1244048" y="138568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7" name="CuadroTexto 26">
              <a:extLst>
                <a:ext uri="{FF2B5EF4-FFF2-40B4-BE49-F238E27FC236}">
                  <a16:creationId xmlns:a16="http://schemas.microsoft.com/office/drawing/2014/main" xmlns="" xmlns:a14="http://schemas.microsoft.com/office/drawing/2010/main" id="{00000000-0008-0000-1000-000028000000}"/>
                </a:ext>
              </a:extLst>
            </xdr:cNvPr>
            <xdr:cNvSpPr txBox="1"/>
          </xdr:nvSpPr>
          <xdr:spPr>
            <a:xfrm>
              <a:off x="1244048" y="138568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8" name="CuadroTexto 27">
              <a:extLst>
                <a:ext uri="{FF2B5EF4-FFF2-40B4-BE49-F238E27FC236}">
                  <a16:creationId xmlns:a16="http://schemas.microsoft.com/office/drawing/2014/main" id="{00000000-0008-0000-2200-00001C000000}"/>
                </a:ext>
              </a:extLst>
            </xdr:cNvPr>
            <xdr:cNvSpPr txBox="1"/>
          </xdr:nvSpPr>
          <xdr:spPr>
            <a:xfrm>
              <a:off x="1036982" y="138485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8" name="CuadroTexto 27">
              <a:extLst>
                <a:ext uri="{FF2B5EF4-FFF2-40B4-BE49-F238E27FC236}">
                  <a16:creationId xmlns:a16="http://schemas.microsoft.com/office/drawing/2014/main" xmlns="" xmlns:a14="http://schemas.microsoft.com/office/drawing/2010/main" id="{00000000-0008-0000-1000-000029000000}"/>
                </a:ext>
              </a:extLst>
            </xdr:cNvPr>
            <xdr:cNvSpPr txBox="1"/>
          </xdr:nvSpPr>
          <xdr:spPr>
            <a:xfrm>
              <a:off x="1036982" y="138485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9" name="CuadroTexto 28">
          <a:extLst>
            <a:ext uri="{FF2B5EF4-FFF2-40B4-BE49-F238E27FC236}">
              <a16:creationId xmlns:a16="http://schemas.microsoft.com/office/drawing/2014/main" id="{00000000-0008-0000-2200-00001D000000}"/>
            </a:ext>
          </a:extLst>
        </xdr:cNvPr>
        <xdr:cNvSpPr txBox="1"/>
      </xdr:nvSpPr>
      <xdr:spPr>
        <a:xfrm>
          <a:off x="1186072" y="13848521"/>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30" name="CuadroTexto 29">
              <a:extLst>
                <a:ext uri="{FF2B5EF4-FFF2-40B4-BE49-F238E27FC236}">
                  <a16:creationId xmlns:a16="http://schemas.microsoft.com/office/drawing/2014/main" id="{00000000-0008-0000-2200-00001E000000}"/>
                </a:ext>
              </a:extLst>
            </xdr:cNvPr>
            <xdr:cNvSpPr txBox="1"/>
          </xdr:nvSpPr>
          <xdr:spPr>
            <a:xfrm>
              <a:off x="1911627" y="1799065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30" name="CuadroTexto 29">
              <a:extLst>
                <a:ext uri="{FF2B5EF4-FFF2-40B4-BE49-F238E27FC236}">
                  <a16:creationId xmlns:a16="http://schemas.microsoft.com/office/drawing/2014/main" xmlns="" xmlns:a14="http://schemas.microsoft.com/office/drawing/2010/main" id="{00000000-0008-0000-1000-000038000000}"/>
                </a:ext>
              </a:extLst>
            </xdr:cNvPr>
            <xdr:cNvSpPr txBox="1"/>
          </xdr:nvSpPr>
          <xdr:spPr>
            <a:xfrm>
              <a:off x="1911627" y="1799065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31" name="CuadroTexto 30">
          <a:extLst>
            <a:ext uri="{FF2B5EF4-FFF2-40B4-BE49-F238E27FC236}">
              <a16:creationId xmlns:a16="http://schemas.microsoft.com/office/drawing/2014/main" id="{00000000-0008-0000-2200-00001F000000}"/>
            </a:ext>
          </a:extLst>
        </xdr:cNvPr>
        <xdr:cNvSpPr txBox="1"/>
      </xdr:nvSpPr>
      <xdr:spPr>
        <a:xfrm>
          <a:off x="3975238" y="1302191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32" name="CuadroTexto 31">
              <a:extLst>
                <a:ext uri="{FF2B5EF4-FFF2-40B4-BE49-F238E27FC236}">
                  <a16:creationId xmlns:a16="http://schemas.microsoft.com/office/drawing/2014/main" id="{00000000-0008-0000-2200-000020000000}"/>
                </a:ext>
              </a:extLst>
            </xdr:cNvPr>
            <xdr:cNvSpPr txBox="1"/>
          </xdr:nvSpPr>
          <xdr:spPr>
            <a:xfrm>
              <a:off x="1169504" y="130484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2" name="CuadroTexto 31">
              <a:extLst>
                <a:ext uri="{FF2B5EF4-FFF2-40B4-BE49-F238E27FC236}">
                  <a16:creationId xmlns:a16="http://schemas.microsoft.com/office/drawing/2014/main" xmlns="" xmlns:a14="http://schemas.microsoft.com/office/drawing/2010/main" id="{00000000-0008-0000-1000-00003B000000}"/>
                </a:ext>
              </a:extLst>
            </xdr:cNvPr>
            <xdr:cNvSpPr txBox="1"/>
          </xdr:nvSpPr>
          <xdr:spPr>
            <a:xfrm>
              <a:off x="1169504" y="130484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33" name="CuadroTexto 32">
              <a:extLst>
                <a:ext uri="{FF2B5EF4-FFF2-40B4-BE49-F238E27FC236}">
                  <a16:creationId xmlns:a16="http://schemas.microsoft.com/office/drawing/2014/main" id="{00000000-0008-0000-2200-000021000000}"/>
                </a:ext>
              </a:extLst>
            </xdr:cNvPr>
            <xdr:cNvSpPr txBox="1"/>
          </xdr:nvSpPr>
          <xdr:spPr>
            <a:xfrm>
              <a:off x="1144657" y="134567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3" name="CuadroTexto 32">
              <a:extLst>
                <a:ext uri="{FF2B5EF4-FFF2-40B4-BE49-F238E27FC236}">
                  <a16:creationId xmlns:a16="http://schemas.microsoft.com/office/drawing/2014/main" xmlns="" xmlns:a14="http://schemas.microsoft.com/office/drawing/2010/main" id="{00000000-0008-0000-1000-00003C000000}"/>
                </a:ext>
              </a:extLst>
            </xdr:cNvPr>
            <xdr:cNvSpPr txBox="1"/>
          </xdr:nvSpPr>
          <xdr:spPr>
            <a:xfrm>
              <a:off x="1144657" y="134567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34" name="CuadroTexto 33">
              <a:extLst>
                <a:ext uri="{FF2B5EF4-FFF2-40B4-BE49-F238E27FC236}">
                  <a16:creationId xmlns:a16="http://schemas.microsoft.com/office/drawing/2014/main" id="{00000000-0008-0000-2200-000022000000}"/>
                </a:ext>
              </a:extLst>
            </xdr:cNvPr>
            <xdr:cNvSpPr txBox="1"/>
          </xdr:nvSpPr>
          <xdr:spPr>
            <a:xfrm>
              <a:off x="1244048" y="138568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4" name="CuadroTexto 33">
              <a:extLst>
                <a:ext uri="{FF2B5EF4-FFF2-40B4-BE49-F238E27FC236}">
                  <a16:creationId xmlns:a16="http://schemas.microsoft.com/office/drawing/2014/main" xmlns="" xmlns:a14="http://schemas.microsoft.com/office/drawing/2010/main" id="{00000000-0008-0000-1000-00003D000000}"/>
                </a:ext>
              </a:extLst>
            </xdr:cNvPr>
            <xdr:cNvSpPr txBox="1"/>
          </xdr:nvSpPr>
          <xdr:spPr>
            <a:xfrm>
              <a:off x="1244048" y="138568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35" name="CuadroTexto 34">
              <a:extLst>
                <a:ext uri="{FF2B5EF4-FFF2-40B4-BE49-F238E27FC236}">
                  <a16:creationId xmlns:a16="http://schemas.microsoft.com/office/drawing/2014/main" id="{00000000-0008-0000-2200-000023000000}"/>
                </a:ext>
              </a:extLst>
            </xdr:cNvPr>
            <xdr:cNvSpPr txBox="1"/>
          </xdr:nvSpPr>
          <xdr:spPr>
            <a:xfrm>
              <a:off x="1036982" y="138485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5" name="CuadroTexto 34">
              <a:extLst>
                <a:ext uri="{FF2B5EF4-FFF2-40B4-BE49-F238E27FC236}">
                  <a16:creationId xmlns:a16="http://schemas.microsoft.com/office/drawing/2014/main" xmlns="" xmlns:a14="http://schemas.microsoft.com/office/drawing/2010/main" id="{00000000-0008-0000-1000-00003E000000}"/>
                </a:ext>
              </a:extLst>
            </xdr:cNvPr>
            <xdr:cNvSpPr txBox="1"/>
          </xdr:nvSpPr>
          <xdr:spPr>
            <a:xfrm>
              <a:off x="1036982" y="138485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36" name="CuadroTexto 35">
          <a:extLst>
            <a:ext uri="{FF2B5EF4-FFF2-40B4-BE49-F238E27FC236}">
              <a16:creationId xmlns:a16="http://schemas.microsoft.com/office/drawing/2014/main" id="{00000000-0008-0000-2200-000024000000}"/>
            </a:ext>
          </a:extLst>
        </xdr:cNvPr>
        <xdr:cNvSpPr txBox="1"/>
      </xdr:nvSpPr>
      <xdr:spPr>
        <a:xfrm>
          <a:off x="1186072" y="13848521"/>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11</xdr:col>
      <xdr:colOff>628650</xdr:colOff>
      <xdr:row>61</xdr:row>
      <xdr:rowOff>0</xdr:rowOff>
    </xdr:from>
    <xdr:ext cx="65" cy="172227"/>
    <xdr:sp macro="" textlink="">
      <xdr:nvSpPr>
        <xdr:cNvPr id="38" name="CuadroTexto 37">
          <a:extLst>
            <a:ext uri="{FF2B5EF4-FFF2-40B4-BE49-F238E27FC236}">
              <a16:creationId xmlns:a16="http://schemas.microsoft.com/office/drawing/2014/main" id="{00000000-0008-0000-2200-000026000000}"/>
            </a:ext>
          </a:extLst>
        </xdr:cNvPr>
        <xdr:cNvSpPr txBox="1"/>
      </xdr:nvSpPr>
      <xdr:spPr>
        <a:xfrm>
          <a:off x="12001500" y="22031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5</xdr:col>
      <xdr:colOff>539750</xdr:colOff>
      <xdr:row>73</xdr:row>
      <xdr:rowOff>158749</xdr:rowOff>
    </xdr:from>
    <xdr:ext cx="984250" cy="210507"/>
    <mc:AlternateContent xmlns:mc="http://schemas.openxmlformats.org/markup-compatibility/2006" xmlns:a14="http://schemas.microsoft.com/office/drawing/2010/main">
      <mc:Choice Requires="a14">
        <xdr:sp macro="" textlink="">
          <xdr:nvSpPr>
            <xdr:cNvPr id="39" name="CuadroTexto 38">
              <a:extLst>
                <a:ext uri="{FF2B5EF4-FFF2-40B4-BE49-F238E27FC236}">
                  <a16:creationId xmlns:a16="http://schemas.microsoft.com/office/drawing/2014/main" id="{00000000-0008-0000-2200-000027000000}"/>
                </a:ext>
              </a:extLst>
            </xdr:cNvPr>
            <xdr:cNvSpPr txBox="1"/>
          </xdr:nvSpPr>
          <xdr:spPr>
            <a:xfrm>
              <a:off x="5397500" y="29381449"/>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𝒆</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39" name="CuadroTexto 38">
              <a:extLst>
                <a:ext uri="{FF2B5EF4-FFF2-40B4-BE49-F238E27FC236}">
                  <a16:creationId xmlns:a16="http://schemas.microsoft.com/office/drawing/2014/main" xmlns="" xmlns:a14="http://schemas.microsoft.com/office/drawing/2010/main" id="{00000000-0008-0000-1000-000016000000}"/>
                </a:ext>
              </a:extLst>
            </xdr:cNvPr>
            <xdr:cNvSpPr txBox="1"/>
          </xdr:nvSpPr>
          <xdr:spPr>
            <a:xfrm>
              <a:off x="5397500" y="29381449"/>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𝒆 𝒄𝒕</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4</xdr:col>
      <xdr:colOff>52917</xdr:colOff>
      <xdr:row>73</xdr:row>
      <xdr:rowOff>148167</xdr:rowOff>
    </xdr:from>
    <xdr:ext cx="984250" cy="210507"/>
    <mc:AlternateContent xmlns:mc="http://schemas.openxmlformats.org/markup-compatibility/2006" xmlns:a14="http://schemas.microsoft.com/office/drawing/2010/main">
      <mc:Choice Requires="a14">
        <xdr:sp macro="" textlink="">
          <xdr:nvSpPr>
            <xdr:cNvPr id="40" name="CuadroTexto 39">
              <a:extLst>
                <a:ext uri="{FF2B5EF4-FFF2-40B4-BE49-F238E27FC236}">
                  <a16:creationId xmlns:a16="http://schemas.microsoft.com/office/drawing/2014/main" id="{00000000-0008-0000-2200-000028000000}"/>
                </a:ext>
              </a:extLst>
            </xdr:cNvPr>
            <xdr:cNvSpPr txBox="1"/>
          </xdr:nvSpPr>
          <xdr:spPr>
            <a:xfrm>
              <a:off x="3872442" y="29370867"/>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0" name="CuadroTexto 39">
              <a:extLst>
                <a:ext uri="{FF2B5EF4-FFF2-40B4-BE49-F238E27FC236}">
                  <a16:creationId xmlns:a16="http://schemas.microsoft.com/office/drawing/2014/main" xmlns="" xmlns:a14="http://schemas.microsoft.com/office/drawing/2010/main" id="{00000000-0008-0000-1000-000016000000}"/>
                </a:ext>
              </a:extLst>
            </xdr:cNvPr>
            <xdr:cNvSpPr txBox="1"/>
          </xdr:nvSpPr>
          <xdr:spPr>
            <a:xfrm>
              <a:off x="3872442" y="29370867"/>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𝒄𝒕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1</xdr:col>
      <xdr:colOff>59530</xdr:colOff>
      <xdr:row>73</xdr:row>
      <xdr:rowOff>95250</xdr:rowOff>
    </xdr:from>
    <xdr:ext cx="678657" cy="210507"/>
    <mc:AlternateContent xmlns:mc="http://schemas.openxmlformats.org/markup-compatibility/2006" xmlns:a14="http://schemas.microsoft.com/office/drawing/2010/main">
      <mc:Choice Requires="a14">
        <xdr:sp macro="" textlink="">
          <xdr:nvSpPr>
            <xdr:cNvPr id="42" name="CuadroTexto 41">
              <a:extLst>
                <a:ext uri="{FF2B5EF4-FFF2-40B4-BE49-F238E27FC236}">
                  <a16:creationId xmlns:a16="http://schemas.microsoft.com/office/drawing/2014/main" id="{00000000-0008-0000-2200-00002A000000}"/>
                </a:ext>
              </a:extLst>
            </xdr:cNvPr>
            <xdr:cNvSpPr txBox="1"/>
          </xdr:nvSpPr>
          <xdr:spPr>
            <a:xfrm>
              <a:off x="940593" y="30206156"/>
              <a:ext cx="678657"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𝑵𝒓</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2" name="CuadroTexto 41">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940593" y="30206156"/>
              <a:ext cx="678657"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𝑵𝒓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8</xdr:col>
      <xdr:colOff>624417</xdr:colOff>
      <xdr:row>73</xdr:row>
      <xdr:rowOff>285751</xdr:rowOff>
    </xdr:from>
    <xdr:ext cx="1524000" cy="210507"/>
    <mc:AlternateContent xmlns:mc="http://schemas.openxmlformats.org/markup-compatibility/2006" xmlns:a14="http://schemas.microsoft.com/office/drawing/2010/main">
      <mc:Choice Requires="a14">
        <xdr:sp macro="" textlink="">
          <xdr:nvSpPr>
            <xdr:cNvPr id="43" name="CuadroTexto 42">
              <a:extLst>
                <a:ext uri="{FF2B5EF4-FFF2-40B4-BE49-F238E27FC236}">
                  <a16:creationId xmlns:a16="http://schemas.microsoft.com/office/drawing/2014/main" id="{00000000-0008-0000-2200-00002B000000}"/>
                </a:ext>
              </a:extLst>
            </xdr:cNvPr>
            <xdr:cNvSpPr txBox="1"/>
          </xdr:nvSpPr>
          <xdr:spPr>
            <a:xfrm>
              <a:off x="9396942" y="29508451"/>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𝑼</m:t>
                  </m:r>
                  <m:r>
                    <a:rPr lang="es-CO" sz="1400" b="1" i="1">
                      <a:latin typeface="Cambria Math" panose="02040503050406030204" pitchFamily="18" charset="0"/>
                      <a:ea typeface="Cambria Math" panose="02040503050406030204" pitchFamily="18" charset="0"/>
                    </a:rPr>
                    <m:t> </m:t>
                  </m:r>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 </m:t>
                  </m:r>
                  <m:r>
                    <a:rPr lang="es-CO" sz="1400" b="1" i="1">
                      <a:latin typeface="Cambria Math" panose="02040503050406030204" pitchFamily="18" charset="0"/>
                      <a:ea typeface="Cambria Math" panose="02040503050406030204" pitchFamily="18" charset="0"/>
                    </a:rPr>
                    <m:t>𝒌</m:t>
                  </m:r>
                  <m:r>
                    <a:rPr lang="es-CO" sz="1400" b="1" i="1">
                      <a:latin typeface="Cambria Math" panose="02040503050406030204" pitchFamily="18" charset="0"/>
                      <a:ea typeface="Cambria Math" panose="02040503050406030204" pitchFamily="18" charset="0"/>
                    </a:rPr>
                    <m:t>=</m:t>
                  </m:r>
                  <m:r>
                    <a:rPr lang="es-CO" sz="1400" b="1" i="1">
                      <a:latin typeface="Cambria Math" panose="02040503050406030204" pitchFamily="18" charset="0"/>
                      <a:ea typeface="Cambria Math" panose="02040503050406030204" pitchFamily="18" charset="0"/>
                    </a:rPr>
                    <m:t>𝟐</m:t>
                  </m:r>
                </m:oMath>
              </a14:m>
              <a:r>
                <a:rPr lang="es-CO" sz="1400" b="1" i="1">
                  <a:latin typeface="Arial" panose="020B0604020202020204" pitchFamily="34" charset="0"/>
                  <a:cs typeface="Arial" panose="020B0604020202020204" pitchFamily="34" charset="0"/>
                </a:rPr>
                <a:t>)</a:t>
              </a:r>
            </a:p>
          </xdr:txBody>
        </xdr:sp>
      </mc:Choice>
      <mc:Fallback xmlns="">
        <xdr:sp macro="" textlink="">
          <xdr:nvSpPr>
            <xdr:cNvPr id="43" name="CuadroTexto 42">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9396942" y="29508451"/>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0">
                  <a:latin typeface="Cambria Math" panose="02040503050406030204" pitchFamily="18" charset="0"/>
                  <a:ea typeface="Cambria Math" panose="02040503050406030204" pitchFamily="18" charset="0"/>
                </a:rPr>
                <a:t>𝑼 </a:t>
              </a:r>
              <a:r>
                <a:rPr lang="es-CO" sz="1400" b="1" i="0">
                  <a:latin typeface="Cambria Math"/>
                  <a:ea typeface="Cambria Math" panose="02040503050406030204" pitchFamily="18" charset="0"/>
                </a:rPr>
                <a:t>(</a:t>
              </a:r>
              <a:r>
                <a:rPr lang="es-CO" sz="1400" b="1" i="0">
                  <a:latin typeface="Cambria Math" panose="02040503050406030204" pitchFamily="18" charset="0"/>
                  <a:ea typeface="Cambria Math" panose="02040503050406030204" pitchFamily="18" charset="0"/>
                </a:rPr>
                <a:t> 𝒎 𝒄𝒕 </a:t>
              </a:r>
              <a:r>
                <a:rPr lang="es-CO" sz="1400" b="1" i="0">
                  <a:latin typeface="Cambria Math"/>
                  <a:ea typeface="Cambria Math" panose="02040503050406030204" pitchFamily="18" charset="0"/>
                </a:rPr>
                <a:t>)</a:t>
              </a:r>
              <a:r>
                <a:rPr lang="es-CO" sz="1400" b="1" i="0">
                  <a:latin typeface="Cambria Math" panose="02040503050406030204" pitchFamily="18" charset="0"/>
                  <a:ea typeface="Cambria Math" panose="02040503050406030204" pitchFamily="18" charset="0"/>
                </a:rPr>
                <a:t>  ( 𝒌=𝟐</a:t>
              </a:r>
              <a:r>
                <a:rPr lang="es-CO" sz="1400" b="1" i="1">
                  <a:latin typeface="Arial" panose="020B0604020202020204" pitchFamily="34" charset="0"/>
                  <a:cs typeface="Arial" panose="020B0604020202020204" pitchFamily="34" charset="0"/>
                </a:rPr>
                <a:t>)</a:t>
              </a:r>
            </a:p>
          </xdr:txBody>
        </xdr:sp>
      </mc:Fallback>
    </mc:AlternateContent>
    <xdr:clientData/>
  </xdr:oneCellAnchor>
  <xdr:oneCellAnchor>
    <xdr:from>
      <xdr:col>9</xdr:col>
      <xdr:colOff>603252</xdr:colOff>
      <xdr:row>74</xdr:row>
      <xdr:rowOff>84667</xdr:rowOff>
    </xdr:from>
    <xdr:ext cx="465666" cy="219163"/>
    <xdr:sp macro="" textlink="">
      <xdr:nvSpPr>
        <xdr:cNvPr id="44" name="CuadroTexto 43">
          <a:extLst>
            <a:ext uri="{FF2B5EF4-FFF2-40B4-BE49-F238E27FC236}">
              <a16:creationId xmlns:a16="http://schemas.microsoft.com/office/drawing/2014/main" id="{00000000-0008-0000-2200-00002C000000}"/>
            </a:ext>
          </a:extLst>
        </xdr:cNvPr>
        <xdr:cNvSpPr txBox="1"/>
      </xdr:nvSpPr>
      <xdr:spPr>
        <a:xfrm>
          <a:off x="10299702" y="29821717"/>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9</xdr:col>
      <xdr:colOff>571499</xdr:colOff>
      <xdr:row>75</xdr:row>
      <xdr:rowOff>116416</xdr:rowOff>
    </xdr:from>
    <xdr:ext cx="359835" cy="219163"/>
    <xdr:sp macro="" textlink="">
      <xdr:nvSpPr>
        <xdr:cNvPr id="45" name="CuadroTexto 44">
          <a:extLst>
            <a:ext uri="{FF2B5EF4-FFF2-40B4-BE49-F238E27FC236}">
              <a16:creationId xmlns:a16="http://schemas.microsoft.com/office/drawing/2014/main" id="{00000000-0008-0000-2200-00002D000000}"/>
            </a:ext>
          </a:extLst>
        </xdr:cNvPr>
        <xdr:cNvSpPr txBox="1"/>
      </xdr:nvSpPr>
      <xdr:spPr>
        <a:xfrm>
          <a:off x="10267949" y="30291616"/>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6</xdr:col>
      <xdr:colOff>275167</xdr:colOff>
      <xdr:row>74</xdr:row>
      <xdr:rowOff>148166</xdr:rowOff>
    </xdr:from>
    <xdr:ext cx="465666" cy="219163"/>
    <xdr:sp macro="" textlink="">
      <xdr:nvSpPr>
        <xdr:cNvPr id="46" name="CuadroTexto 45">
          <a:extLst>
            <a:ext uri="{FF2B5EF4-FFF2-40B4-BE49-F238E27FC236}">
              <a16:creationId xmlns:a16="http://schemas.microsoft.com/office/drawing/2014/main" id="{00000000-0008-0000-2200-00002E000000}"/>
            </a:ext>
          </a:extLst>
        </xdr:cNvPr>
        <xdr:cNvSpPr txBox="1"/>
      </xdr:nvSpPr>
      <xdr:spPr>
        <a:xfrm>
          <a:off x="6371167" y="29885216"/>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6</xdr:col>
      <xdr:colOff>328083</xdr:colOff>
      <xdr:row>75</xdr:row>
      <xdr:rowOff>84667</xdr:rowOff>
    </xdr:from>
    <xdr:ext cx="359835" cy="219163"/>
    <xdr:sp macro="" textlink="">
      <xdr:nvSpPr>
        <xdr:cNvPr id="47" name="CuadroTexto 46">
          <a:extLst>
            <a:ext uri="{FF2B5EF4-FFF2-40B4-BE49-F238E27FC236}">
              <a16:creationId xmlns:a16="http://schemas.microsoft.com/office/drawing/2014/main" id="{00000000-0008-0000-2200-00002F000000}"/>
            </a:ext>
          </a:extLst>
        </xdr:cNvPr>
        <xdr:cNvSpPr txBox="1"/>
      </xdr:nvSpPr>
      <xdr:spPr>
        <a:xfrm>
          <a:off x="6424083" y="30259867"/>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3</xdr:col>
      <xdr:colOff>560916</xdr:colOff>
      <xdr:row>72</xdr:row>
      <xdr:rowOff>74084</xdr:rowOff>
    </xdr:from>
    <xdr:ext cx="1524000" cy="210507"/>
    <mc:AlternateContent xmlns:mc="http://schemas.openxmlformats.org/markup-compatibility/2006" xmlns:a14="http://schemas.microsoft.com/office/drawing/2010/main">
      <mc:Choice Requires="a14">
        <xdr:sp macro="" textlink="">
          <xdr:nvSpPr>
            <xdr:cNvPr id="48" name="CuadroTexto 47">
              <a:extLst>
                <a:ext uri="{FF2B5EF4-FFF2-40B4-BE49-F238E27FC236}">
                  <a16:creationId xmlns:a16="http://schemas.microsoft.com/office/drawing/2014/main" id="{00000000-0008-0000-2200-000030000000}"/>
                </a:ext>
              </a:extLst>
            </xdr:cNvPr>
            <xdr:cNvSpPr txBox="1"/>
          </xdr:nvSpPr>
          <xdr:spPr>
            <a:xfrm>
              <a:off x="3246966" y="28858634"/>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m:t>
                    </m:r>
                  </m:oMath>
                </m:oMathPara>
              </a14:m>
              <a:endParaRPr lang="es-CO" sz="1400" b="1" i="1">
                <a:latin typeface="Arial" panose="020B0604020202020204" pitchFamily="34" charset="0"/>
                <a:cs typeface="Arial" panose="020B0604020202020204" pitchFamily="34" charset="0"/>
              </a:endParaRPr>
            </a:p>
          </xdr:txBody>
        </xdr:sp>
      </mc:Choice>
      <mc:Fallback xmlns="">
        <xdr:sp macro="" textlink="">
          <xdr:nvSpPr>
            <xdr:cNvPr id="48" name="CuadroTexto 47">
              <a:extLst>
                <a:ext uri="{FF2B5EF4-FFF2-40B4-BE49-F238E27FC236}">
                  <a16:creationId xmlns:a16="http://schemas.microsoft.com/office/drawing/2014/main" xmlns="" xmlns:a14="http://schemas.microsoft.com/office/drawing/2010/main" id="{00000000-0008-0000-1000-000016000000}"/>
                </a:ext>
              </a:extLst>
            </xdr:cNvPr>
            <xdr:cNvSpPr txBox="1"/>
          </xdr:nvSpPr>
          <xdr:spPr>
            <a:xfrm>
              <a:off x="3246966" y="28858634"/>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 𝒎 𝒄𝒕 )   </a:t>
              </a:r>
              <a:endParaRPr lang="es-CO" sz="1400" b="1" i="1">
                <a:latin typeface="Arial" panose="020B0604020202020204" pitchFamily="34" charset="0"/>
                <a:cs typeface="Arial" panose="020B0604020202020204" pitchFamily="34" charset="0"/>
              </a:endParaRPr>
            </a:p>
          </xdr:txBody>
        </xdr:sp>
      </mc:Fallback>
    </mc:AlternateContent>
    <xdr:clientData/>
  </xdr:oneCellAnchor>
  <xdr:oneCellAnchor>
    <xdr:from>
      <xdr:col>7</xdr:col>
      <xdr:colOff>411956</xdr:colOff>
      <xdr:row>71</xdr:row>
      <xdr:rowOff>406003</xdr:rowOff>
    </xdr:from>
    <xdr:ext cx="65" cy="172227"/>
    <xdr:sp macro="" textlink="">
      <xdr:nvSpPr>
        <xdr:cNvPr id="49" name="CuadroTexto 48">
          <a:extLst>
            <a:ext uri="{FF2B5EF4-FFF2-40B4-BE49-F238E27FC236}">
              <a16:creationId xmlns:a16="http://schemas.microsoft.com/office/drawing/2014/main" id="{00000000-0008-0000-2200-000031000000}"/>
            </a:ext>
          </a:extLst>
        </xdr:cNvPr>
        <xdr:cNvSpPr txBox="1"/>
      </xdr:nvSpPr>
      <xdr:spPr>
        <a:xfrm>
          <a:off x="7555706" y="28761928"/>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158750</xdr:colOff>
      <xdr:row>67</xdr:row>
      <xdr:rowOff>285750</xdr:rowOff>
    </xdr:from>
    <xdr:ext cx="420688" cy="333375"/>
    <mc:AlternateContent xmlns:mc="http://schemas.openxmlformats.org/markup-compatibility/2006" xmlns:a14="http://schemas.microsoft.com/office/drawing/2010/main">
      <mc:Choice Requires="a14">
        <xdr:sp macro="" textlink="">
          <xdr:nvSpPr>
            <xdr:cNvPr id="51" name="CuadroTexto 50">
              <a:extLst>
                <a:ext uri="{FF2B5EF4-FFF2-40B4-BE49-F238E27FC236}">
                  <a16:creationId xmlns:a16="http://schemas.microsoft.com/office/drawing/2014/main" id="{00000000-0008-0000-2200-000033000000}"/>
                </a:ext>
              </a:extLst>
            </xdr:cNvPr>
            <xdr:cNvSpPr txBox="1"/>
          </xdr:nvSpPr>
          <xdr:spPr>
            <a:xfrm>
              <a:off x="1190625" y="27305000"/>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51" name="CuadroTexto 50">
              <a:extLst>
                <a:ext uri="{FF2B5EF4-FFF2-40B4-BE49-F238E27FC236}">
                  <a16:creationId xmlns:a16="http://schemas.microsoft.com/office/drawing/2014/main" id="{344441BD-50E3-4C4E-9F2B-F121DD83AECC}"/>
                </a:ext>
              </a:extLst>
            </xdr:cNvPr>
            <xdr:cNvSpPr txBox="1"/>
          </xdr:nvSpPr>
          <xdr:spPr>
            <a:xfrm>
              <a:off x="1190625" y="27305000"/>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twoCellAnchor>
    <xdr:from>
      <xdr:col>7</xdr:col>
      <xdr:colOff>920750</xdr:colOff>
      <xdr:row>62</xdr:row>
      <xdr:rowOff>222250</xdr:rowOff>
    </xdr:from>
    <xdr:to>
      <xdr:col>12</xdr:col>
      <xdr:colOff>55562</xdr:colOff>
      <xdr:row>64</xdr:row>
      <xdr:rowOff>492125</xdr:rowOff>
    </xdr:to>
    <xdr:graphicFrame macro="">
      <xdr:nvGraphicFramePr>
        <xdr:cNvPr id="52" name="Gráfico 51">
          <a:extLst>
            <a:ext uri="{FF2B5EF4-FFF2-40B4-BE49-F238E27FC236}">
              <a16:creationId xmlns:a16="http://schemas.microsoft.com/office/drawing/2014/main" id="{00000000-0008-0000-2200-00003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404813</xdr:colOff>
      <xdr:row>0</xdr:row>
      <xdr:rowOff>59531</xdr:rowOff>
    </xdr:from>
    <xdr:to>
      <xdr:col>1</xdr:col>
      <xdr:colOff>800219</xdr:colOff>
      <xdr:row>0</xdr:row>
      <xdr:rowOff>699666</xdr:rowOff>
    </xdr:to>
    <xdr:pic>
      <xdr:nvPicPr>
        <xdr:cNvPr id="2" name="1 Imagen">
          <a:extLst>
            <a:ext uri="{FF2B5EF4-FFF2-40B4-BE49-F238E27FC236}">
              <a16:creationId xmlns:a16="http://schemas.microsoft.com/office/drawing/2014/main" id="{00000000-0008-0000-2200-000002000000}"/>
            </a:ext>
          </a:extLst>
        </xdr:cNvPr>
        <xdr:cNvPicPr>
          <a:picLocks noChangeAspect="1"/>
        </xdr:cNvPicPr>
      </xdr:nvPicPr>
      <xdr:blipFill>
        <a:blip xmlns:r="http://schemas.openxmlformats.org/officeDocument/2006/relationships" r:embed="rId2"/>
        <a:stretch>
          <a:fillRect/>
        </a:stretch>
      </xdr:blipFill>
      <xdr:spPr>
        <a:xfrm>
          <a:off x="404813" y="59531"/>
          <a:ext cx="1371719" cy="640135"/>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1</xdr:col>
      <xdr:colOff>285750</xdr:colOff>
      <xdr:row>0</xdr:row>
      <xdr:rowOff>143565</xdr:rowOff>
    </xdr:from>
    <xdr:to>
      <xdr:col>2</xdr:col>
      <xdr:colOff>1333500</xdr:colOff>
      <xdr:row>0</xdr:row>
      <xdr:rowOff>1404938</xdr:rowOff>
    </xdr:to>
    <xdr:pic>
      <xdr:nvPicPr>
        <xdr:cNvPr id="4" name="3 Imagen">
          <a:extLst>
            <a:ext uri="{FF2B5EF4-FFF2-40B4-BE49-F238E27FC236}">
              <a16:creationId xmlns:a16="http://schemas.microsoft.com/office/drawing/2014/main" id="{00000000-0008-0000-2300-000004000000}"/>
            </a:ext>
          </a:extLst>
        </xdr:cNvPr>
        <xdr:cNvPicPr>
          <a:picLocks noChangeAspect="1"/>
        </xdr:cNvPicPr>
      </xdr:nvPicPr>
      <xdr:blipFill>
        <a:blip xmlns:r="http://schemas.openxmlformats.org/officeDocument/2006/relationships" r:embed="rId1"/>
        <a:stretch>
          <a:fillRect/>
        </a:stretch>
      </xdr:blipFill>
      <xdr:spPr>
        <a:xfrm>
          <a:off x="1936750" y="143565"/>
          <a:ext cx="2698750" cy="1261373"/>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oneCellAnchor>
    <xdr:from>
      <xdr:col>3</xdr:col>
      <xdr:colOff>416719</xdr:colOff>
      <xdr:row>85</xdr:row>
      <xdr:rowOff>161925</xdr:rowOff>
    </xdr:from>
    <xdr:ext cx="3692934" cy="210507"/>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00000000-0008-0000-2400-000002000000}"/>
                </a:ext>
              </a:extLst>
            </xdr:cNvPr>
            <xdr:cNvSpPr txBox="1"/>
          </xdr:nvSpPr>
          <xdr:spPr>
            <a:xfrm>
              <a:off x="2595563" y="34749581"/>
              <a:ext cx="3692934" cy="210507"/>
            </a:xfrm>
            <a:prstGeom prst="rect">
              <a:avLst/>
            </a:prstGeom>
            <a:solidFill>
              <a:sysClr val="window" lastClr="FFFFFF"/>
            </a:solidFill>
            <a:ln>
              <a:noFill/>
            </a:ln>
          </xdr:spPr>
          <xdr:style>
            <a:lnRef idx="2">
              <a:schemeClr val="dk1"/>
            </a:lnRef>
            <a:fillRef idx="1">
              <a:schemeClr val="lt1"/>
            </a:fillRef>
            <a:effectRef idx="0">
              <a:schemeClr val="dk1"/>
            </a:effectRef>
            <a:fontRef idx="minor">
              <a:schemeClr val="dk1"/>
            </a:fontRef>
          </xdr:style>
          <xdr:txBody>
            <a:bodyPr vertOverflow="clip" horzOverflow="clip" wrap="none" lIns="0" tIns="0" rIns="0" bIns="0" rtlCol="0" anchor="t">
              <a:spAutoFit/>
            </a:bodyPr>
            <a:lstStyle/>
            <a:p>
              <a14:m>
                <m:oMath xmlns:m="http://schemas.openxmlformats.org/officeDocument/2006/math">
                  <m:r>
                    <a:rPr lang="es-CO" sz="1400" b="0" i="1">
                      <a:solidFill>
                        <a:schemeClr val="bg1"/>
                      </a:solidFill>
                      <a:latin typeface="Cambria Math" panose="02040503050406030204" pitchFamily="18" charset="0"/>
                      <a:ea typeface="Cambria Math" panose="02040503050406030204" pitchFamily="18" charset="0"/>
                    </a:rPr>
                    <m:t>𝑅𝑒𝑔𝑙𝑎</m:t>
                  </m:r>
                  <m:r>
                    <a:rPr lang="es-CO" sz="1400" b="0" i="1">
                      <a:solidFill>
                        <a:schemeClr val="bg1"/>
                      </a:solidFill>
                      <a:latin typeface="Cambria Math" panose="02040503050406030204" pitchFamily="18" charset="0"/>
                      <a:ea typeface="Cambria Math" panose="02040503050406030204" pitchFamily="18" charset="0"/>
                    </a:rPr>
                    <m:t> </m:t>
                  </m:r>
                  <m:r>
                    <a:rPr lang="es-CO" sz="1400" b="0" i="1">
                      <a:solidFill>
                        <a:schemeClr val="bg1"/>
                      </a:solidFill>
                      <a:latin typeface="Cambria Math" panose="02040503050406030204" pitchFamily="18" charset="0"/>
                      <a:ea typeface="Cambria Math" panose="02040503050406030204" pitchFamily="18" charset="0"/>
                    </a:rPr>
                    <m:t>𝑑𝑒</m:t>
                  </m:r>
                  <m:r>
                    <a:rPr lang="es-CO" sz="1400" b="0" i="1">
                      <a:solidFill>
                        <a:schemeClr val="bg1"/>
                      </a:solidFill>
                      <a:latin typeface="Cambria Math" panose="02040503050406030204" pitchFamily="18" charset="0"/>
                      <a:ea typeface="Cambria Math" panose="02040503050406030204" pitchFamily="18" charset="0"/>
                    </a:rPr>
                    <m:t> </m:t>
                  </m:r>
                  <m:r>
                    <a:rPr lang="es-CO" sz="1400" b="0" i="1">
                      <a:solidFill>
                        <a:schemeClr val="bg1"/>
                      </a:solidFill>
                      <a:latin typeface="Cambria Math" panose="02040503050406030204" pitchFamily="18" charset="0"/>
                      <a:ea typeface="Cambria Math" panose="02040503050406030204" pitchFamily="18" charset="0"/>
                    </a:rPr>
                    <m:t>𝑑𝑒𝑐𝑖𝑠𝑖</m:t>
                  </m:r>
                  <m:r>
                    <a:rPr lang="es-CO" sz="1400" b="0" i="1">
                      <a:solidFill>
                        <a:schemeClr val="bg1"/>
                      </a:solidFill>
                      <a:latin typeface="Cambria Math" panose="02040503050406030204" pitchFamily="18" charset="0"/>
                      <a:ea typeface="Cambria Math" panose="02040503050406030204" pitchFamily="18" charset="0"/>
                    </a:rPr>
                    <m:t>ó</m:t>
                  </m:r>
                  <m:r>
                    <a:rPr lang="es-CO" sz="1400" b="0" i="1">
                      <a:solidFill>
                        <a:schemeClr val="bg1"/>
                      </a:solidFill>
                      <a:latin typeface="Cambria Math" panose="02040503050406030204" pitchFamily="18" charset="0"/>
                      <a:ea typeface="Cambria Math" panose="02040503050406030204" pitchFamily="18" charset="0"/>
                    </a:rPr>
                    <m:t>𝑛</m:t>
                  </m:r>
                  <m:r>
                    <a:rPr lang="es-CO" sz="1400" b="0" i="1">
                      <a:solidFill>
                        <a:schemeClr val="bg1"/>
                      </a:solidFill>
                      <a:latin typeface="Cambria Math" panose="02040503050406030204" pitchFamily="18" charset="0"/>
                      <a:ea typeface="Cambria Math" panose="02040503050406030204" pitchFamily="18" charset="0"/>
                    </a:rPr>
                    <m:t>=|</m:t>
                  </m:r>
                  <m:r>
                    <a:rPr lang="es-CO" sz="1400" b="0" i="1">
                      <a:solidFill>
                        <a:schemeClr val="bg1"/>
                      </a:solidFill>
                      <a:latin typeface="Cambria Math" panose="02040503050406030204" pitchFamily="18" charset="0"/>
                      <a:ea typeface="Cambria Math" panose="02040503050406030204" pitchFamily="18" charset="0"/>
                    </a:rPr>
                    <m:t>𝐸</m:t>
                  </m:r>
                  <m:r>
                    <a:rPr lang="es-CO" sz="1400" b="0" i="1">
                      <a:solidFill>
                        <a:schemeClr val="bg1"/>
                      </a:solidFill>
                      <a:latin typeface="Cambria Math" panose="02040503050406030204" pitchFamily="18" charset="0"/>
                      <a:ea typeface="Cambria Math" panose="02040503050406030204" pitchFamily="18" charset="0"/>
                    </a:rPr>
                    <m:t>|+</m:t>
                  </m:r>
                  <m:r>
                    <a:rPr lang="es-CO" sz="1400" b="0" i="1">
                      <a:solidFill>
                        <a:schemeClr val="bg1"/>
                      </a:solidFill>
                      <a:latin typeface="Cambria Math" panose="02040503050406030204" pitchFamily="18" charset="0"/>
                      <a:ea typeface="Cambria Math" panose="02040503050406030204" pitchFamily="18" charset="0"/>
                    </a:rPr>
                    <m:t>𝑈</m:t>
                  </m:r>
                  <m:r>
                    <a:rPr lang="es-CO" sz="1400" b="0" i="1">
                      <a:solidFill>
                        <a:schemeClr val="bg1"/>
                      </a:solidFill>
                      <a:latin typeface="Cambria Math" panose="02040503050406030204" pitchFamily="18" charset="0"/>
                      <a:ea typeface="Cambria Math" panose="02040503050406030204" pitchFamily="18" charset="0"/>
                    </a:rPr>
                    <m:t>≤</m:t>
                  </m:r>
                  <m:r>
                    <a:rPr lang="es-CO" sz="1400" b="0" i="1">
                      <a:solidFill>
                        <a:schemeClr val="bg1"/>
                      </a:solidFill>
                      <a:latin typeface="Cambria Math" panose="02040503050406030204" pitchFamily="18" charset="0"/>
                      <a:ea typeface="Cambria Math" panose="02040503050406030204" pitchFamily="18" charset="0"/>
                    </a:rPr>
                    <m:t>𝐸𝑀𝑃</m:t>
                  </m:r>
                </m:oMath>
              </a14:m>
              <a:r>
                <a:rPr lang="es-CO" sz="1400">
                  <a:solidFill>
                    <a:schemeClr val="bg1"/>
                  </a:solidFill>
                  <a:latin typeface="Arial" panose="020B0604020202020204" pitchFamily="34" charset="0"/>
                  <a:cs typeface="Arial" panose="020B0604020202020204" pitchFamily="34" charset="0"/>
                </a:rPr>
                <a:t> </a:t>
              </a:r>
              <a:r>
                <a:rPr lang="es-CO" sz="1400" b="0">
                  <a:solidFill>
                    <a:schemeClr val="bg1"/>
                  </a:solidFill>
                  <a:latin typeface="Arial" panose="020B0604020202020204" pitchFamily="34" charset="0"/>
                  <a:cs typeface="Arial" panose="020B0604020202020204" pitchFamily="34" charset="0"/>
                </a:rPr>
                <a:t>= </a:t>
              </a:r>
              <a:r>
                <a:rPr lang="es-CO" sz="1200" b="0" i="0">
                  <a:solidFill>
                    <a:schemeClr val="bg1"/>
                  </a:solidFill>
                  <a:latin typeface="Arial" panose="020B0604020202020204" pitchFamily="34" charset="0"/>
                  <a:cs typeface="Arial" panose="020B0604020202020204" pitchFamily="34" charset="0"/>
                </a:rPr>
                <a:t>CUMPLE</a:t>
              </a:r>
            </a:p>
          </xdr:txBody>
        </xdr:sp>
      </mc:Choice>
      <mc:Fallback xmlns="">
        <xdr:sp macro="" textlink="">
          <xdr:nvSpPr>
            <xdr:cNvPr id="2" name="CuadroTexto 1">
              <a:extLst>
                <a:ext uri="{FF2B5EF4-FFF2-40B4-BE49-F238E27FC236}">
                  <a16:creationId xmlns="" xmlns:a16="http://schemas.microsoft.com/office/drawing/2014/main" xmlns:a14="http://schemas.microsoft.com/office/drawing/2010/main" id="{00000000-0008-0000-1300-000002000000}"/>
                </a:ext>
              </a:extLst>
            </xdr:cNvPr>
            <xdr:cNvSpPr txBox="1"/>
          </xdr:nvSpPr>
          <xdr:spPr>
            <a:xfrm>
              <a:off x="2595563" y="34749581"/>
              <a:ext cx="3692934" cy="210507"/>
            </a:xfrm>
            <a:prstGeom prst="rect">
              <a:avLst/>
            </a:prstGeom>
            <a:solidFill>
              <a:sysClr val="window" lastClr="FFFFFF"/>
            </a:solidFill>
            <a:ln>
              <a:noFill/>
            </a:ln>
          </xdr:spPr>
          <xdr:style>
            <a:lnRef idx="2">
              <a:schemeClr val="dk1"/>
            </a:lnRef>
            <a:fillRef idx="1">
              <a:schemeClr val="lt1"/>
            </a:fillRef>
            <a:effectRef idx="0">
              <a:schemeClr val="dk1"/>
            </a:effectRef>
            <a:fontRef idx="minor">
              <a:schemeClr val="dk1"/>
            </a:fontRef>
          </xdr:style>
          <xdr:txBody>
            <a:bodyPr vertOverflow="clip" horzOverflow="clip" wrap="none" lIns="0" tIns="0" rIns="0" bIns="0" rtlCol="0" anchor="t">
              <a:spAutoFit/>
            </a:bodyPr>
            <a:lstStyle/>
            <a:p>
              <a:r>
                <a:rPr lang="es-CO" sz="1400" b="0" i="0">
                  <a:solidFill>
                    <a:schemeClr val="bg1"/>
                  </a:solidFill>
                  <a:latin typeface="Cambria Math" panose="02040503050406030204" pitchFamily="18" charset="0"/>
                  <a:ea typeface="Cambria Math" panose="02040503050406030204" pitchFamily="18" charset="0"/>
                </a:rPr>
                <a:t>𝑅𝑒𝑔𝑙𝑎 𝑑𝑒 𝑑𝑒𝑐𝑖𝑠𝑖ó𝑛=|𝐸|+𝑈≤𝐸𝑀𝑃</a:t>
              </a:r>
              <a:r>
                <a:rPr lang="es-CO" sz="1400">
                  <a:solidFill>
                    <a:schemeClr val="bg1"/>
                  </a:solidFill>
                  <a:latin typeface="Arial" panose="020B0604020202020204" pitchFamily="34" charset="0"/>
                  <a:cs typeface="Arial" panose="020B0604020202020204" pitchFamily="34" charset="0"/>
                </a:rPr>
                <a:t> </a:t>
              </a:r>
              <a:r>
                <a:rPr lang="es-CO" sz="1400" b="0">
                  <a:solidFill>
                    <a:schemeClr val="bg1"/>
                  </a:solidFill>
                  <a:latin typeface="Arial" panose="020B0604020202020204" pitchFamily="34" charset="0"/>
                  <a:cs typeface="Arial" panose="020B0604020202020204" pitchFamily="34" charset="0"/>
                </a:rPr>
                <a:t>= </a:t>
              </a:r>
              <a:r>
                <a:rPr lang="es-CO" sz="1200" b="0" i="0">
                  <a:solidFill>
                    <a:schemeClr val="bg1"/>
                  </a:solidFill>
                  <a:latin typeface="Arial" panose="020B0604020202020204" pitchFamily="34" charset="0"/>
                  <a:cs typeface="Arial" panose="020B0604020202020204" pitchFamily="34" charset="0"/>
                </a:rPr>
                <a:t>CUMPLE</a:t>
              </a:r>
            </a:p>
          </xdr:txBody>
        </xdr:sp>
      </mc:Fallback>
    </mc:AlternateContent>
    <xdr:clientData/>
  </xdr:oneCellAnchor>
</xdr:wsDr>
</file>

<file path=xl/drawings/drawing38.xml><?xml version="1.0" encoding="utf-8"?>
<xdr:wsDr xmlns:xdr="http://schemas.openxmlformats.org/drawingml/2006/spreadsheetDrawing" xmlns:a="http://schemas.openxmlformats.org/drawingml/2006/main">
  <xdr:twoCellAnchor>
    <xdr:from>
      <xdr:col>0</xdr:col>
      <xdr:colOff>243065</xdr:colOff>
      <xdr:row>27</xdr:row>
      <xdr:rowOff>104070</xdr:rowOff>
    </xdr:from>
    <xdr:to>
      <xdr:col>3</xdr:col>
      <xdr:colOff>507346</xdr:colOff>
      <xdr:row>33</xdr:row>
      <xdr:rowOff>86070</xdr:rowOff>
    </xdr:to>
    <xdr:graphicFrame macro="">
      <xdr:nvGraphicFramePr>
        <xdr:cNvPr id="2" name="Gráfico 1">
          <a:extLst>
            <a:ext uri="{FF2B5EF4-FFF2-40B4-BE49-F238E27FC236}">
              <a16:creationId xmlns:a16="http://schemas.microsoft.com/office/drawing/2014/main" id="{00000000-0008-0000-2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915452</xdr:colOff>
      <xdr:row>27</xdr:row>
      <xdr:rowOff>112184</xdr:rowOff>
    </xdr:from>
    <xdr:to>
      <xdr:col>7</xdr:col>
      <xdr:colOff>453452</xdr:colOff>
      <xdr:row>33</xdr:row>
      <xdr:rowOff>94184</xdr:rowOff>
    </xdr:to>
    <xdr:graphicFrame macro="">
      <xdr:nvGraphicFramePr>
        <xdr:cNvPr id="3" name="Gráfico 2">
          <a:extLst>
            <a:ext uri="{FF2B5EF4-FFF2-40B4-BE49-F238E27FC236}">
              <a16:creationId xmlns:a16="http://schemas.microsoft.com/office/drawing/2014/main" id="{00000000-0008-0000-2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695327</xdr:colOff>
      <xdr:row>27</xdr:row>
      <xdr:rowOff>114830</xdr:rowOff>
    </xdr:from>
    <xdr:to>
      <xdr:col>16</xdr:col>
      <xdr:colOff>126170</xdr:colOff>
      <xdr:row>33</xdr:row>
      <xdr:rowOff>96830</xdr:rowOff>
    </xdr:to>
    <xdr:graphicFrame macro="">
      <xdr:nvGraphicFramePr>
        <xdr:cNvPr id="4" name="Gráfico 3">
          <a:extLst>
            <a:ext uri="{FF2B5EF4-FFF2-40B4-BE49-F238E27FC236}">
              <a16:creationId xmlns:a16="http://schemas.microsoft.com/office/drawing/2014/main" id="{00000000-0008-0000-25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17</xdr:col>
      <xdr:colOff>1057</xdr:colOff>
      <xdr:row>27</xdr:row>
      <xdr:rowOff>110067</xdr:rowOff>
    </xdr:from>
    <xdr:to>
      <xdr:col>21</xdr:col>
      <xdr:colOff>253432</xdr:colOff>
      <xdr:row>33</xdr:row>
      <xdr:rowOff>92067</xdr:rowOff>
    </xdr:to>
    <xdr:graphicFrame macro="">
      <xdr:nvGraphicFramePr>
        <xdr:cNvPr id="5" name="Gráfico 4">
          <a:extLst>
            <a:ext uri="{FF2B5EF4-FFF2-40B4-BE49-F238E27FC236}">
              <a16:creationId xmlns:a16="http://schemas.microsoft.com/office/drawing/2014/main" id="{00000000-0008-0000-25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205848</xdr:colOff>
      <xdr:row>34</xdr:row>
      <xdr:rowOff>306123</xdr:rowOff>
    </xdr:from>
    <xdr:to>
      <xdr:col>3</xdr:col>
      <xdr:colOff>470129</xdr:colOff>
      <xdr:row>40</xdr:row>
      <xdr:rowOff>288123</xdr:rowOff>
    </xdr:to>
    <xdr:graphicFrame macro="">
      <xdr:nvGraphicFramePr>
        <xdr:cNvPr id="6" name="Gráfico 5">
          <a:extLst>
            <a:ext uri="{FF2B5EF4-FFF2-40B4-BE49-F238E27FC236}">
              <a16:creationId xmlns:a16="http://schemas.microsoft.com/office/drawing/2014/main" id="{00000000-0008-0000-25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52122</xdr:colOff>
      <xdr:row>34</xdr:row>
      <xdr:rowOff>320675</xdr:rowOff>
    </xdr:from>
    <xdr:to>
      <xdr:col>11</xdr:col>
      <xdr:colOff>745028</xdr:colOff>
      <xdr:row>40</xdr:row>
      <xdr:rowOff>302675</xdr:rowOff>
    </xdr:to>
    <xdr:graphicFrame macro="">
      <xdr:nvGraphicFramePr>
        <xdr:cNvPr id="7" name="Gráfico 6">
          <a:extLst>
            <a:ext uri="{FF2B5EF4-FFF2-40B4-BE49-F238E27FC236}">
              <a16:creationId xmlns:a16="http://schemas.microsoft.com/office/drawing/2014/main" id="{00000000-0008-0000-25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746918</xdr:colOff>
      <xdr:row>34</xdr:row>
      <xdr:rowOff>347133</xdr:rowOff>
    </xdr:from>
    <xdr:to>
      <xdr:col>16</xdr:col>
      <xdr:colOff>177761</xdr:colOff>
      <xdr:row>40</xdr:row>
      <xdr:rowOff>329133</xdr:rowOff>
    </xdr:to>
    <xdr:graphicFrame macro="">
      <xdr:nvGraphicFramePr>
        <xdr:cNvPr id="8" name="Gráfico 7">
          <a:extLst>
            <a:ext uri="{FF2B5EF4-FFF2-40B4-BE49-F238E27FC236}">
              <a16:creationId xmlns:a16="http://schemas.microsoft.com/office/drawing/2014/main" id="{00000000-0008-0000-25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17</xdr:col>
      <xdr:colOff>53975</xdr:colOff>
      <xdr:row>34</xdr:row>
      <xdr:rowOff>296864</xdr:rowOff>
    </xdr:from>
    <xdr:to>
      <xdr:col>21</xdr:col>
      <xdr:colOff>306350</xdr:colOff>
      <xdr:row>40</xdr:row>
      <xdr:rowOff>278864</xdr:rowOff>
    </xdr:to>
    <xdr:graphicFrame macro="">
      <xdr:nvGraphicFramePr>
        <xdr:cNvPr id="9" name="Gráfico 8">
          <a:extLst>
            <a:ext uri="{FF2B5EF4-FFF2-40B4-BE49-F238E27FC236}">
              <a16:creationId xmlns:a16="http://schemas.microsoft.com/office/drawing/2014/main" id="{00000000-0008-0000-25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xdr:col>
      <xdr:colOff>987159</xdr:colOff>
      <xdr:row>42</xdr:row>
      <xdr:rowOff>166688</xdr:rowOff>
    </xdr:from>
    <xdr:to>
      <xdr:col>7</xdr:col>
      <xdr:colOff>525159</xdr:colOff>
      <xdr:row>48</xdr:row>
      <xdr:rowOff>148688</xdr:rowOff>
    </xdr:to>
    <xdr:graphicFrame macro="">
      <xdr:nvGraphicFramePr>
        <xdr:cNvPr id="10" name="Gráfico 9">
          <a:extLst>
            <a:ext uri="{FF2B5EF4-FFF2-40B4-BE49-F238E27FC236}">
              <a16:creationId xmlns:a16="http://schemas.microsoft.com/office/drawing/2014/main" id="{00000000-0008-0000-25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128322</xdr:colOff>
      <xdr:row>42</xdr:row>
      <xdr:rowOff>150018</xdr:rowOff>
    </xdr:from>
    <xdr:to>
      <xdr:col>11</xdr:col>
      <xdr:colOff>821228</xdr:colOff>
      <xdr:row>48</xdr:row>
      <xdr:rowOff>132018</xdr:rowOff>
    </xdr:to>
    <xdr:graphicFrame macro="">
      <xdr:nvGraphicFramePr>
        <xdr:cNvPr id="11" name="Gráfico 10">
          <a:extLst>
            <a:ext uri="{FF2B5EF4-FFF2-40B4-BE49-F238E27FC236}">
              <a16:creationId xmlns:a16="http://schemas.microsoft.com/office/drawing/2014/main" id="{00000000-0008-0000-25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17</xdr:col>
      <xdr:colOff>115898</xdr:colOff>
      <xdr:row>42</xdr:row>
      <xdr:rowOff>138112</xdr:rowOff>
    </xdr:from>
    <xdr:to>
      <xdr:col>21</xdr:col>
      <xdr:colOff>368273</xdr:colOff>
      <xdr:row>48</xdr:row>
      <xdr:rowOff>120112</xdr:rowOff>
    </xdr:to>
    <xdr:graphicFrame macro="">
      <xdr:nvGraphicFramePr>
        <xdr:cNvPr id="12" name="Gráfico 11">
          <a:extLst>
            <a:ext uri="{FF2B5EF4-FFF2-40B4-BE49-F238E27FC236}">
              <a16:creationId xmlns:a16="http://schemas.microsoft.com/office/drawing/2014/main" id="{00000000-0008-0000-25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205317</xdr:colOff>
      <xdr:row>50</xdr:row>
      <xdr:rowOff>28574</xdr:rowOff>
    </xdr:from>
    <xdr:to>
      <xdr:col>3</xdr:col>
      <xdr:colOff>469598</xdr:colOff>
      <xdr:row>56</xdr:row>
      <xdr:rowOff>10574</xdr:rowOff>
    </xdr:to>
    <xdr:graphicFrame macro="">
      <xdr:nvGraphicFramePr>
        <xdr:cNvPr id="13" name="Gráfico 12">
          <a:extLst>
            <a:ext uri="{FF2B5EF4-FFF2-40B4-BE49-F238E27FC236}">
              <a16:creationId xmlns:a16="http://schemas.microsoft.com/office/drawing/2014/main" id="{00000000-0008-0000-25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3</xdr:col>
      <xdr:colOff>1045631</xdr:colOff>
      <xdr:row>50</xdr:row>
      <xdr:rowOff>30956</xdr:rowOff>
    </xdr:from>
    <xdr:to>
      <xdr:col>7</xdr:col>
      <xdr:colOff>583631</xdr:colOff>
      <xdr:row>56</xdr:row>
      <xdr:rowOff>12956</xdr:rowOff>
    </xdr:to>
    <xdr:graphicFrame macro="">
      <xdr:nvGraphicFramePr>
        <xdr:cNvPr id="14" name="Gráfico 13">
          <a:extLst>
            <a:ext uri="{FF2B5EF4-FFF2-40B4-BE49-F238E27FC236}">
              <a16:creationId xmlns:a16="http://schemas.microsoft.com/office/drawing/2014/main" id="{00000000-0008-0000-25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17</xdr:col>
      <xdr:colOff>135466</xdr:colOff>
      <xdr:row>50</xdr:row>
      <xdr:rowOff>49211</xdr:rowOff>
    </xdr:from>
    <xdr:to>
      <xdr:col>21</xdr:col>
      <xdr:colOff>387841</xdr:colOff>
      <xdr:row>56</xdr:row>
      <xdr:rowOff>31211</xdr:rowOff>
    </xdr:to>
    <xdr:graphicFrame macro="">
      <xdr:nvGraphicFramePr>
        <xdr:cNvPr id="15" name="Gráfico 14">
          <a:extLst>
            <a:ext uri="{FF2B5EF4-FFF2-40B4-BE49-F238E27FC236}">
              <a16:creationId xmlns:a16="http://schemas.microsoft.com/office/drawing/2014/main" id="{00000000-0008-0000-25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8</xdr:col>
      <xdr:colOff>529</xdr:colOff>
      <xdr:row>27</xdr:row>
      <xdr:rowOff>164041</xdr:rowOff>
    </xdr:from>
    <xdr:to>
      <xdr:col>11</xdr:col>
      <xdr:colOff>693435</xdr:colOff>
      <xdr:row>33</xdr:row>
      <xdr:rowOff>146041</xdr:rowOff>
    </xdr:to>
    <xdr:graphicFrame macro="">
      <xdr:nvGraphicFramePr>
        <xdr:cNvPr id="18" name="Gráfico 17">
          <a:extLst>
            <a:ext uri="{FF2B5EF4-FFF2-40B4-BE49-F238E27FC236}">
              <a16:creationId xmlns:a16="http://schemas.microsoft.com/office/drawing/2014/main" id="{00000000-0008-0000-25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3</xdr:col>
      <xdr:colOff>964669</xdr:colOff>
      <xdr:row>34</xdr:row>
      <xdr:rowOff>297392</xdr:rowOff>
    </xdr:from>
    <xdr:to>
      <xdr:col>7</xdr:col>
      <xdr:colOff>502669</xdr:colOff>
      <xdr:row>40</xdr:row>
      <xdr:rowOff>279392</xdr:rowOff>
    </xdr:to>
    <xdr:graphicFrame macro="">
      <xdr:nvGraphicFramePr>
        <xdr:cNvPr id="19" name="Gráfico 18">
          <a:extLst>
            <a:ext uri="{FF2B5EF4-FFF2-40B4-BE49-F238E27FC236}">
              <a16:creationId xmlns:a16="http://schemas.microsoft.com/office/drawing/2014/main" id="{00000000-0008-0000-25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206639</xdr:colOff>
      <xdr:row>42</xdr:row>
      <xdr:rowOff>112977</xdr:rowOff>
    </xdr:from>
    <xdr:to>
      <xdr:col>3</xdr:col>
      <xdr:colOff>470920</xdr:colOff>
      <xdr:row>48</xdr:row>
      <xdr:rowOff>94977</xdr:rowOff>
    </xdr:to>
    <xdr:graphicFrame macro="">
      <xdr:nvGraphicFramePr>
        <xdr:cNvPr id="20" name="Gráfico 19">
          <a:extLst>
            <a:ext uri="{FF2B5EF4-FFF2-40B4-BE49-F238E27FC236}">
              <a16:creationId xmlns:a16="http://schemas.microsoft.com/office/drawing/2014/main" id="{00000000-0008-0000-25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12</xdr:col>
      <xdr:colOff>787930</xdr:colOff>
      <xdr:row>42</xdr:row>
      <xdr:rowOff>145257</xdr:rowOff>
    </xdr:from>
    <xdr:to>
      <xdr:col>16</xdr:col>
      <xdr:colOff>218773</xdr:colOff>
      <xdr:row>48</xdr:row>
      <xdr:rowOff>127257</xdr:rowOff>
    </xdr:to>
    <xdr:graphicFrame macro="">
      <xdr:nvGraphicFramePr>
        <xdr:cNvPr id="21" name="Gráfico 20">
          <a:extLst>
            <a:ext uri="{FF2B5EF4-FFF2-40B4-BE49-F238E27FC236}">
              <a16:creationId xmlns:a16="http://schemas.microsoft.com/office/drawing/2014/main" id="{00000000-0008-0000-25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8</xdr:col>
      <xdr:colOff>107157</xdr:colOff>
      <xdr:row>50</xdr:row>
      <xdr:rowOff>71435</xdr:rowOff>
    </xdr:from>
    <xdr:to>
      <xdr:col>11</xdr:col>
      <xdr:colOff>800063</xdr:colOff>
      <xdr:row>56</xdr:row>
      <xdr:rowOff>53435</xdr:rowOff>
    </xdr:to>
    <xdr:graphicFrame macro="">
      <xdr:nvGraphicFramePr>
        <xdr:cNvPr id="22" name="Gráfico 21">
          <a:extLst>
            <a:ext uri="{FF2B5EF4-FFF2-40B4-BE49-F238E27FC236}">
              <a16:creationId xmlns:a16="http://schemas.microsoft.com/office/drawing/2014/main" id="{00000000-0008-0000-25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12</xdr:col>
      <xdr:colOff>710934</xdr:colOff>
      <xdr:row>50</xdr:row>
      <xdr:rowOff>19315</xdr:rowOff>
    </xdr:from>
    <xdr:to>
      <xdr:col>16</xdr:col>
      <xdr:colOff>141777</xdr:colOff>
      <xdr:row>56</xdr:row>
      <xdr:rowOff>1315</xdr:rowOff>
    </xdr:to>
    <xdr:graphicFrame macro="">
      <xdr:nvGraphicFramePr>
        <xdr:cNvPr id="23" name="Gráfico 22">
          <a:extLst>
            <a:ext uri="{FF2B5EF4-FFF2-40B4-BE49-F238E27FC236}">
              <a16:creationId xmlns:a16="http://schemas.microsoft.com/office/drawing/2014/main" id="{00000000-0008-0000-25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editAs="oneCell">
    <xdr:from>
      <xdr:col>0</xdr:col>
      <xdr:colOff>508000</xdr:colOff>
      <xdr:row>0</xdr:row>
      <xdr:rowOff>47625</xdr:rowOff>
    </xdr:from>
    <xdr:to>
      <xdr:col>2</xdr:col>
      <xdr:colOff>378734</xdr:colOff>
      <xdr:row>2</xdr:row>
      <xdr:rowOff>240242</xdr:rowOff>
    </xdr:to>
    <xdr:pic>
      <xdr:nvPicPr>
        <xdr:cNvPr id="24" name="23 Imagen">
          <a:extLst>
            <a:ext uri="{FF2B5EF4-FFF2-40B4-BE49-F238E27FC236}">
              <a16:creationId xmlns:a16="http://schemas.microsoft.com/office/drawing/2014/main" id="{00000000-0008-0000-2500-000018000000}"/>
            </a:ext>
          </a:extLst>
        </xdr:cNvPr>
        <xdr:cNvPicPr>
          <a:picLocks noChangeAspect="1"/>
        </xdr:cNvPicPr>
      </xdr:nvPicPr>
      <xdr:blipFill>
        <a:blip xmlns:r="http://schemas.openxmlformats.org/officeDocument/2006/relationships" r:embed="rId21"/>
        <a:stretch>
          <a:fillRect/>
        </a:stretch>
      </xdr:blipFill>
      <xdr:spPr>
        <a:xfrm>
          <a:off x="508000" y="47625"/>
          <a:ext cx="2045609" cy="954617"/>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oneCellAnchor>
    <xdr:from>
      <xdr:col>1</xdr:col>
      <xdr:colOff>285935</xdr:colOff>
      <xdr:row>42</xdr:row>
      <xdr:rowOff>169517</xdr:rowOff>
    </xdr:from>
    <xdr:ext cx="177356" cy="176202"/>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00000000-0008-0000-2600-000003000000}"/>
                </a:ext>
              </a:extLst>
            </xdr:cNvPr>
            <xdr:cNvSpPr txBox="1"/>
          </xdr:nvSpPr>
          <xdr:spPr>
            <a:xfrm>
              <a:off x="1124135" y="14980892"/>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bg1"/>
                            </a:solidFill>
                            <a:latin typeface="Cambria Math" panose="02040503050406030204" pitchFamily="18" charset="0"/>
                          </a:rPr>
                        </m:ctrlPr>
                      </m:accPr>
                      <m:e>
                        <m:r>
                          <a:rPr lang="es-CO" sz="1100" b="1" i="1">
                            <a:solidFill>
                              <a:schemeClr val="bg1"/>
                            </a:solidFill>
                            <a:latin typeface="Cambria Math" panose="02040503050406030204" pitchFamily="18" charset="0"/>
                            <a:ea typeface="Cambria Math" panose="02040503050406030204" pitchFamily="18" charset="0"/>
                          </a:rPr>
                          <m:t>∆</m:t>
                        </m:r>
                        <m:r>
                          <a:rPr lang="es-CO" sz="1100" b="1" i="1">
                            <a:solidFill>
                              <a:schemeClr val="bg1"/>
                            </a:solidFill>
                            <a:latin typeface="Cambria Math" panose="02040503050406030204" pitchFamily="18" charset="0"/>
                            <a:ea typeface="Cambria Math" panose="02040503050406030204" pitchFamily="18" charset="0"/>
                          </a:rPr>
                          <m:t>𝑰</m:t>
                        </m:r>
                      </m:e>
                    </m:acc>
                  </m:oMath>
                </m:oMathPara>
              </a14:m>
              <a:endParaRPr lang="es-CO" sz="1100" b="1">
                <a:solidFill>
                  <a:schemeClr val="bg1"/>
                </a:solidFill>
              </a:endParaRPr>
            </a:p>
          </xdr:txBody>
        </xdr:sp>
      </mc:Choice>
      <mc:Fallback xmlns="">
        <xdr:sp macro="" textlink="">
          <xdr:nvSpPr>
            <xdr:cNvPr id="3" name="CuadroTexto 2">
              <a:extLst>
                <a:ext uri="{FF2B5EF4-FFF2-40B4-BE49-F238E27FC236}">
                  <a16:creationId xmlns="" xmlns:a16="http://schemas.microsoft.com/office/drawing/2014/main" xmlns:a14="http://schemas.microsoft.com/office/drawing/2010/main" id="{00000000-0008-0000-1000-000003000000}"/>
                </a:ext>
              </a:extLst>
            </xdr:cNvPr>
            <xdr:cNvSpPr txBox="1"/>
          </xdr:nvSpPr>
          <xdr:spPr>
            <a:xfrm>
              <a:off x="1124135" y="14980892"/>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bg1"/>
                  </a:solidFill>
                  <a:latin typeface="Cambria Math" panose="02040503050406030204" pitchFamily="18" charset="0"/>
                </a:rPr>
                <a:t>(</a:t>
              </a:r>
              <a:r>
                <a:rPr lang="es-CO" sz="1100" b="1" i="0">
                  <a:solidFill>
                    <a:schemeClr val="bg1"/>
                  </a:solidFill>
                  <a:latin typeface="Cambria Math" panose="02040503050406030204" pitchFamily="18" charset="0"/>
                  <a:ea typeface="Cambria Math" panose="02040503050406030204" pitchFamily="18" charset="0"/>
                </a:rPr>
                <a:t>∆𝑰) ̅</a:t>
              </a:r>
              <a:endParaRPr lang="es-CO" sz="1100" b="1">
                <a:solidFill>
                  <a:schemeClr val="bg1"/>
                </a:solidFill>
              </a:endParaRPr>
            </a:p>
          </xdr:txBody>
        </xdr:sp>
      </mc:Fallback>
    </mc:AlternateContent>
    <xdr:clientData/>
  </xdr:oneCellAnchor>
  <xdr:oneCellAnchor>
    <xdr:from>
      <xdr:col>1</xdr:col>
      <xdr:colOff>136732</xdr:colOff>
      <xdr:row>58</xdr:row>
      <xdr:rowOff>253032</xdr:rowOff>
    </xdr:from>
    <xdr:ext cx="599716" cy="172227"/>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id="{00000000-0008-0000-2600-000004000000}"/>
                </a:ext>
              </a:extLst>
            </xdr:cNvPr>
            <xdr:cNvSpPr txBox="1"/>
          </xdr:nvSpPr>
          <xdr:spPr>
            <a:xfrm>
              <a:off x="974932" y="20779407"/>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𝒘</m:t>
                        </m:r>
                      </m:sub>
                    </m:sSub>
                    <m:r>
                      <a:rPr lang="es-CO" sz="1100" b="1" i="1">
                        <a:latin typeface="Cambria Math" panose="02040503050406030204" pitchFamily="18" charset="0"/>
                      </a:rPr>
                      <m:t>(</m:t>
                    </m:r>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4" name="CuadroTexto 3">
              <a:extLst>
                <a:ext uri="{FF2B5EF4-FFF2-40B4-BE49-F238E27FC236}">
                  <a16:creationId xmlns="" xmlns:a16="http://schemas.microsoft.com/office/drawing/2014/main" xmlns:a14="http://schemas.microsoft.com/office/drawing/2010/main" id="{00000000-0008-0000-1000-000004000000}"/>
                </a:ext>
              </a:extLst>
            </xdr:cNvPr>
            <xdr:cNvSpPr txBox="1"/>
          </xdr:nvSpPr>
          <xdr:spPr>
            <a:xfrm>
              <a:off x="974932" y="20779407"/>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𝒖_𝒘 (</a:t>
              </a: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1</xdr:col>
      <xdr:colOff>202651</xdr:colOff>
      <xdr:row>61</xdr:row>
      <xdr:rowOff>265287</xdr:rowOff>
    </xdr:from>
    <xdr:ext cx="483915" cy="172227"/>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id="{00000000-0008-0000-2600-000005000000}"/>
                </a:ext>
              </a:extLst>
            </xdr:cNvPr>
            <xdr:cNvSpPr txBox="1"/>
          </xdr:nvSpPr>
          <xdr:spPr>
            <a:xfrm>
              <a:off x="1040851" y="2299193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5" name="CuadroTexto 4">
              <a:extLst>
                <a:ext uri="{FF2B5EF4-FFF2-40B4-BE49-F238E27FC236}">
                  <a16:creationId xmlns="" xmlns:a16="http://schemas.microsoft.com/office/drawing/2014/main" xmlns:a14="http://schemas.microsoft.com/office/drawing/2010/main" id="{00000000-0008-0000-1000-000005000000}"/>
                </a:ext>
              </a:extLst>
            </xdr:cNvPr>
            <xdr:cNvSpPr txBox="1"/>
          </xdr:nvSpPr>
          <xdr:spPr>
            <a:xfrm>
              <a:off x="1040851" y="2299193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𝒖(𝒎_𝒄𝒓)</a:t>
              </a:r>
              <a:endParaRPr lang="es-CO" sz="1100" b="1"/>
            </a:p>
          </xdr:txBody>
        </xdr:sp>
      </mc:Fallback>
    </mc:AlternateContent>
    <xdr:clientData/>
  </xdr:oneCellAnchor>
  <xdr:oneCellAnchor>
    <xdr:from>
      <xdr:col>1</xdr:col>
      <xdr:colOff>34166</xdr:colOff>
      <xdr:row>60</xdr:row>
      <xdr:rowOff>250203</xdr:rowOff>
    </xdr:from>
    <xdr:ext cx="689483" cy="172227"/>
    <mc:AlternateContent xmlns:mc="http://schemas.openxmlformats.org/markup-compatibility/2006" xmlns:a14="http://schemas.microsoft.com/office/drawing/2010/main">
      <mc:Choice Requires="a14">
        <xdr:sp macro="" textlink="">
          <xdr:nvSpPr>
            <xdr:cNvPr id="6" name="CuadroTexto 5">
              <a:extLst>
                <a:ext uri="{FF2B5EF4-FFF2-40B4-BE49-F238E27FC236}">
                  <a16:creationId xmlns:a16="http://schemas.microsoft.com/office/drawing/2014/main" id="{00000000-0008-0000-2600-000006000000}"/>
                </a:ext>
              </a:extLst>
            </xdr:cNvPr>
            <xdr:cNvSpPr txBox="1"/>
          </xdr:nvSpPr>
          <xdr:spPr>
            <a:xfrm>
              <a:off x="872366" y="22243428"/>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𝒊𝒏𝒔𝒕</m:t>
                        </m:r>
                      </m:sub>
                    </m:sSub>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0" i="1">
                        <a:latin typeface="Cambria Math" panose="02040503050406030204" pitchFamily="18" charset="0"/>
                      </a:rPr>
                      <m:t>)</m:t>
                    </m:r>
                  </m:oMath>
                </m:oMathPara>
              </a14:m>
              <a:endParaRPr lang="es-CO" sz="1100"/>
            </a:p>
          </xdr:txBody>
        </xdr:sp>
      </mc:Choice>
      <mc:Fallback xmlns="">
        <xdr:sp macro="" textlink="">
          <xdr:nvSpPr>
            <xdr:cNvPr id="6" name="CuadroTexto 5">
              <a:extLst>
                <a:ext uri="{FF2B5EF4-FFF2-40B4-BE49-F238E27FC236}">
                  <a16:creationId xmlns="" xmlns:a16="http://schemas.microsoft.com/office/drawing/2014/main" xmlns:a14="http://schemas.microsoft.com/office/drawing/2010/main" id="{00000000-0008-0000-1000-000006000000}"/>
                </a:ext>
              </a:extLst>
            </xdr:cNvPr>
            <xdr:cNvSpPr txBox="1"/>
          </xdr:nvSpPr>
          <xdr:spPr>
            <a:xfrm>
              <a:off x="872366" y="22243428"/>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𝒖_𝒊𝒏𝒔𝒕 (𝒎_𝒄𝒓</a:t>
              </a:r>
              <a:r>
                <a:rPr lang="es-CO" sz="1100" b="0" i="0">
                  <a:latin typeface="Cambria Math" panose="02040503050406030204" pitchFamily="18" charset="0"/>
                </a:rPr>
                <a:t>)</a:t>
              </a:r>
              <a:endParaRPr lang="es-CO" sz="1100"/>
            </a:p>
          </xdr:txBody>
        </xdr:sp>
      </mc:Fallback>
    </mc:AlternateContent>
    <xdr:clientData/>
  </xdr:oneCellAnchor>
  <xdr:oneCellAnchor>
    <xdr:from>
      <xdr:col>1</xdr:col>
      <xdr:colOff>183870</xdr:colOff>
      <xdr:row>62</xdr:row>
      <xdr:rowOff>264645</xdr:rowOff>
    </xdr:from>
    <xdr:ext cx="397353" cy="172227"/>
    <mc:AlternateContent xmlns:mc="http://schemas.openxmlformats.org/markup-compatibility/2006" xmlns:a14="http://schemas.microsoft.com/office/drawing/2010/main">
      <mc:Choice Requires="a14">
        <xdr:sp macro="" textlink="">
          <xdr:nvSpPr>
            <xdr:cNvPr id="7" name="CuadroTexto 6">
              <a:extLst>
                <a:ext uri="{FF2B5EF4-FFF2-40B4-BE49-F238E27FC236}">
                  <a16:creationId xmlns:a16="http://schemas.microsoft.com/office/drawing/2014/main" id="{00000000-0008-0000-2600-000007000000}"/>
                </a:ext>
              </a:extLst>
            </xdr:cNvPr>
            <xdr:cNvSpPr txBox="1"/>
          </xdr:nvSpPr>
          <xdr:spPr>
            <a:xfrm>
              <a:off x="1022070" y="23724720"/>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𝒂</m:t>
                        </m:r>
                      </m:sub>
                    </m:sSub>
                    <m:r>
                      <a:rPr lang="es-CO" sz="1100" b="1" i="1">
                        <a:latin typeface="Cambria Math" panose="02040503050406030204" pitchFamily="18" charset="0"/>
                      </a:rPr>
                      <m:t>)</m:t>
                    </m:r>
                  </m:oMath>
                </m:oMathPara>
              </a14:m>
              <a:endParaRPr lang="es-CO" sz="1100" b="1"/>
            </a:p>
          </xdr:txBody>
        </xdr:sp>
      </mc:Choice>
      <mc:Fallback xmlns="">
        <xdr:sp macro="" textlink="">
          <xdr:nvSpPr>
            <xdr:cNvPr id="7" name="CuadroTexto 6">
              <a:extLst>
                <a:ext uri="{FF2B5EF4-FFF2-40B4-BE49-F238E27FC236}">
                  <a16:creationId xmlns="" xmlns:a16="http://schemas.microsoft.com/office/drawing/2014/main" xmlns:a14="http://schemas.microsoft.com/office/drawing/2010/main" id="{00000000-0008-0000-1000-000007000000}"/>
                </a:ext>
              </a:extLst>
            </xdr:cNvPr>
            <xdr:cNvSpPr txBox="1"/>
          </xdr:nvSpPr>
          <xdr:spPr>
            <a:xfrm>
              <a:off x="1022070" y="23724720"/>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𝒂)</a:t>
              </a:r>
              <a:endParaRPr lang="es-CO" sz="1100" b="1"/>
            </a:p>
          </xdr:txBody>
        </xdr:sp>
      </mc:Fallback>
    </mc:AlternateContent>
    <xdr:clientData/>
  </xdr:oneCellAnchor>
  <xdr:oneCellAnchor>
    <xdr:from>
      <xdr:col>1</xdr:col>
      <xdr:colOff>186298</xdr:colOff>
      <xdr:row>63</xdr:row>
      <xdr:rowOff>266606</xdr:rowOff>
    </xdr:from>
    <xdr:ext cx="376642" cy="172227"/>
    <mc:AlternateContent xmlns:mc="http://schemas.openxmlformats.org/markup-compatibility/2006" xmlns:a14="http://schemas.microsoft.com/office/drawing/2010/main">
      <mc:Choice Requires="a14">
        <xdr:sp macro="" textlink="">
          <xdr:nvSpPr>
            <xdr:cNvPr id="8" name="CuadroTexto 7">
              <a:extLst>
                <a:ext uri="{FF2B5EF4-FFF2-40B4-BE49-F238E27FC236}">
                  <a16:creationId xmlns:a16="http://schemas.microsoft.com/office/drawing/2014/main" id="{00000000-0008-0000-2600-000008000000}"/>
                </a:ext>
              </a:extLst>
            </xdr:cNvPr>
            <xdr:cNvSpPr txBox="1"/>
          </xdr:nvSpPr>
          <xdr:spPr>
            <a:xfrm>
              <a:off x="1024498" y="244601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𝒕</m:t>
                        </m:r>
                      </m:sub>
                    </m:sSub>
                    <m:r>
                      <a:rPr lang="es-CO" sz="1100" b="1" i="1">
                        <a:latin typeface="Cambria Math" panose="02040503050406030204" pitchFamily="18" charset="0"/>
                      </a:rPr>
                      <m:t>)</m:t>
                    </m:r>
                  </m:oMath>
                </m:oMathPara>
              </a14:m>
              <a:endParaRPr lang="es-CO" sz="1100" b="1"/>
            </a:p>
          </xdr:txBody>
        </xdr:sp>
      </mc:Choice>
      <mc:Fallback xmlns="">
        <xdr:sp macro="" textlink="">
          <xdr:nvSpPr>
            <xdr:cNvPr id="8" name="CuadroTexto 7">
              <a:extLst>
                <a:ext uri="{FF2B5EF4-FFF2-40B4-BE49-F238E27FC236}">
                  <a16:creationId xmlns="" xmlns:a16="http://schemas.microsoft.com/office/drawing/2014/main" xmlns:a14="http://schemas.microsoft.com/office/drawing/2010/main" id="{00000000-0008-0000-1000-000008000000}"/>
                </a:ext>
              </a:extLst>
            </xdr:cNvPr>
            <xdr:cNvSpPr txBox="1"/>
          </xdr:nvSpPr>
          <xdr:spPr>
            <a:xfrm>
              <a:off x="1024498" y="244601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𝒕)</a:t>
              </a:r>
              <a:endParaRPr lang="es-CO" sz="1100" b="1"/>
            </a:p>
          </xdr:txBody>
        </xdr:sp>
      </mc:Fallback>
    </mc:AlternateContent>
    <xdr:clientData/>
  </xdr:oneCellAnchor>
  <xdr:oneCellAnchor>
    <xdr:from>
      <xdr:col>1</xdr:col>
      <xdr:colOff>186298</xdr:colOff>
      <xdr:row>64</xdr:row>
      <xdr:rowOff>222250</xdr:rowOff>
    </xdr:from>
    <xdr:ext cx="388696" cy="172227"/>
    <mc:AlternateContent xmlns:mc="http://schemas.openxmlformats.org/markup-compatibility/2006" xmlns:a14="http://schemas.microsoft.com/office/drawing/2010/main">
      <mc:Choice Requires="a14">
        <xdr:sp macro="" textlink="">
          <xdr:nvSpPr>
            <xdr:cNvPr id="9" name="CuadroTexto 8">
              <a:extLst>
                <a:ext uri="{FF2B5EF4-FFF2-40B4-BE49-F238E27FC236}">
                  <a16:creationId xmlns:a16="http://schemas.microsoft.com/office/drawing/2014/main" id="{00000000-0008-0000-2600-000009000000}"/>
                </a:ext>
              </a:extLst>
            </xdr:cNvPr>
            <xdr:cNvSpPr txBox="1"/>
          </xdr:nvSpPr>
          <xdr:spPr>
            <a:xfrm>
              <a:off x="1024498" y="25149175"/>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9" name="CuadroTexto 8">
              <a:extLst>
                <a:ext uri="{FF2B5EF4-FFF2-40B4-BE49-F238E27FC236}">
                  <a16:creationId xmlns="" xmlns:a16="http://schemas.microsoft.com/office/drawing/2014/main" xmlns:a14="http://schemas.microsoft.com/office/drawing/2010/main" id="{00000000-0008-0000-1000-000009000000}"/>
                </a:ext>
              </a:extLst>
            </xdr:cNvPr>
            <xdr:cNvSpPr txBox="1"/>
          </xdr:nvSpPr>
          <xdr:spPr>
            <a:xfrm>
              <a:off x="1024498" y="25149175"/>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𝒓)</a:t>
              </a:r>
              <a:endParaRPr lang="es-CO" sz="1100" b="1"/>
            </a:p>
          </xdr:txBody>
        </xdr:sp>
      </mc:Fallback>
    </mc:AlternateContent>
    <xdr:clientData/>
  </xdr:oneCellAnchor>
  <xdr:oneCellAnchor>
    <xdr:from>
      <xdr:col>1</xdr:col>
      <xdr:colOff>265579</xdr:colOff>
      <xdr:row>65</xdr:row>
      <xdr:rowOff>288458</xdr:rowOff>
    </xdr:from>
    <xdr:ext cx="191271" cy="172227"/>
    <mc:AlternateContent xmlns:mc="http://schemas.openxmlformats.org/markup-compatibility/2006" xmlns:a14="http://schemas.microsoft.com/office/drawing/2010/main">
      <mc:Choice Requires="a14">
        <xdr:sp macro="" textlink="">
          <xdr:nvSpPr>
            <xdr:cNvPr id="10" name="CuadroTexto 9">
              <a:extLst>
                <a:ext uri="{FF2B5EF4-FFF2-40B4-BE49-F238E27FC236}">
                  <a16:creationId xmlns:a16="http://schemas.microsoft.com/office/drawing/2014/main" id="{00000000-0008-0000-2600-00000A000000}"/>
                </a:ext>
              </a:extLst>
            </xdr:cNvPr>
            <xdr:cNvSpPr txBox="1"/>
          </xdr:nvSpPr>
          <xdr:spPr>
            <a:xfrm>
              <a:off x="1103779" y="2594880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𝒃</m:t>
                        </m:r>
                      </m:sub>
                    </m:sSub>
                  </m:oMath>
                </m:oMathPara>
              </a14:m>
              <a:endParaRPr lang="es-CO" sz="1100" b="1"/>
            </a:p>
          </xdr:txBody>
        </xdr:sp>
      </mc:Choice>
      <mc:Fallback xmlns="">
        <xdr:sp macro="" textlink="">
          <xdr:nvSpPr>
            <xdr:cNvPr id="10" name="CuadroTexto 9">
              <a:extLst>
                <a:ext uri="{FF2B5EF4-FFF2-40B4-BE49-F238E27FC236}">
                  <a16:creationId xmlns="" xmlns:a16="http://schemas.microsoft.com/office/drawing/2014/main" xmlns:a14="http://schemas.microsoft.com/office/drawing/2010/main" id="{00000000-0008-0000-1000-00000A000000}"/>
                </a:ext>
              </a:extLst>
            </xdr:cNvPr>
            <xdr:cNvSpPr txBox="1"/>
          </xdr:nvSpPr>
          <xdr:spPr>
            <a:xfrm>
              <a:off x="1103779" y="2594880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𝒖_𝒃</a:t>
              </a:r>
              <a:endParaRPr lang="es-CO" sz="1100" b="1"/>
            </a:p>
          </xdr:txBody>
        </xdr:sp>
      </mc:Fallback>
    </mc:AlternateContent>
    <xdr:clientData/>
  </xdr:oneCellAnchor>
  <xdr:oneCellAnchor>
    <xdr:from>
      <xdr:col>1</xdr:col>
      <xdr:colOff>261391</xdr:colOff>
      <xdr:row>66</xdr:row>
      <xdr:rowOff>294234</xdr:rowOff>
    </xdr:from>
    <xdr:ext cx="195053" cy="172227"/>
    <mc:AlternateContent xmlns:mc="http://schemas.openxmlformats.org/markup-compatibility/2006" xmlns:a14="http://schemas.microsoft.com/office/drawing/2010/main">
      <mc:Choice Requires="a14">
        <xdr:sp macro="" textlink="">
          <xdr:nvSpPr>
            <xdr:cNvPr id="11" name="CuadroTexto 10">
              <a:extLst>
                <a:ext uri="{FF2B5EF4-FFF2-40B4-BE49-F238E27FC236}">
                  <a16:creationId xmlns:a16="http://schemas.microsoft.com/office/drawing/2014/main" id="{00000000-0008-0000-2600-00000B000000}"/>
                </a:ext>
              </a:extLst>
            </xdr:cNvPr>
            <xdr:cNvSpPr txBox="1"/>
          </xdr:nvSpPr>
          <xdr:spPr>
            <a:xfrm>
              <a:off x="1099591" y="26688009"/>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𝒅</m:t>
                        </m:r>
                      </m:sub>
                    </m:sSub>
                  </m:oMath>
                </m:oMathPara>
              </a14:m>
              <a:endParaRPr lang="es-CO" sz="1100" b="1"/>
            </a:p>
          </xdr:txBody>
        </xdr:sp>
      </mc:Choice>
      <mc:Fallback xmlns="">
        <xdr:sp macro="" textlink="">
          <xdr:nvSpPr>
            <xdr:cNvPr id="11" name="CuadroTexto 10">
              <a:extLst>
                <a:ext uri="{FF2B5EF4-FFF2-40B4-BE49-F238E27FC236}">
                  <a16:creationId xmlns="" xmlns:a16="http://schemas.microsoft.com/office/drawing/2014/main" xmlns:a14="http://schemas.microsoft.com/office/drawing/2010/main" id="{00000000-0008-0000-1000-00000B000000}"/>
                </a:ext>
              </a:extLst>
            </xdr:cNvPr>
            <xdr:cNvSpPr txBox="1"/>
          </xdr:nvSpPr>
          <xdr:spPr>
            <a:xfrm>
              <a:off x="1099591" y="26688009"/>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𝒖_𝒅</a:t>
              </a:r>
              <a:endParaRPr lang="es-CO" sz="1100" b="1"/>
            </a:p>
          </xdr:txBody>
        </xdr:sp>
      </mc:Fallback>
    </mc:AlternateContent>
    <xdr:clientData/>
  </xdr:oneCellAnchor>
  <xdr:oneCellAnchor>
    <xdr:from>
      <xdr:col>5</xdr:col>
      <xdr:colOff>393571</xdr:colOff>
      <xdr:row>69</xdr:row>
      <xdr:rowOff>185744</xdr:rowOff>
    </xdr:from>
    <xdr:ext cx="529697" cy="172227"/>
    <mc:AlternateContent xmlns:mc="http://schemas.openxmlformats.org/markup-compatibility/2006" xmlns:a14="http://schemas.microsoft.com/office/drawing/2010/main">
      <mc:Choice Requires="a14">
        <xdr:sp macro="" textlink="">
          <xdr:nvSpPr>
            <xdr:cNvPr id="12" name="CuadroTexto 11">
              <a:extLst>
                <a:ext uri="{FF2B5EF4-FFF2-40B4-BE49-F238E27FC236}">
                  <a16:creationId xmlns:a16="http://schemas.microsoft.com/office/drawing/2014/main" id="{00000000-0008-0000-2600-00000C000000}"/>
                </a:ext>
              </a:extLst>
            </xdr:cNvPr>
            <xdr:cNvSpPr txBox="1"/>
          </xdr:nvSpPr>
          <xdr:spPr>
            <a:xfrm>
              <a:off x="5640259" y="28681369"/>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𝒄</m:t>
                        </m:r>
                      </m:sub>
                    </m:sSub>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12" name="CuadroTexto 11">
              <a:extLst>
                <a:ext uri="{FF2B5EF4-FFF2-40B4-BE49-F238E27FC236}">
                  <a16:creationId xmlns:a16="http://schemas.microsoft.com/office/drawing/2014/main" id="{00000000-0008-0000-1700-00000C000000}"/>
                </a:ext>
              </a:extLst>
            </xdr:cNvPr>
            <xdr:cNvSpPr txBox="1"/>
          </xdr:nvSpPr>
          <xdr:spPr>
            <a:xfrm>
              <a:off x="5640259" y="28681369"/>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𝒖_𝒄 (</a:t>
              </a:r>
              <a:r>
                <a:rPr lang="es-CO" sz="1100" b="1" i="0">
                  <a:latin typeface="Cambria Math" panose="02040503050406030204" pitchFamily="18" charset="0"/>
                  <a:ea typeface="Cambria Math" panose="02040503050406030204" pitchFamily="18" charset="0"/>
                </a:rPr>
                <a:t>𝒎_𝒄𝒕)</a:t>
              </a:r>
              <a:endParaRPr lang="es-CO" sz="1100" b="1"/>
            </a:p>
          </xdr:txBody>
        </xdr:sp>
      </mc:Fallback>
    </mc:AlternateContent>
    <xdr:clientData/>
  </xdr:oneCellAnchor>
  <xdr:oneCellAnchor>
    <xdr:from>
      <xdr:col>5</xdr:col>
      <xdr:colOff>243965</xdr:colOff>
      <xdr:row>70</xdr:row>
      <xdr:rowOff>130277</xdr:rowOff>
    </xdr:from>
    <xdr:ext cx="780598" cy="172227"/>
    <mc:AlternateContent xmlns:mc="http://schemas.openxmlformats.org/markup-compatibility/2006" xmlns:a14="http://schemas.microsoft.com/office/drawing/2010/main">
      <mc:Choice Requires="a14">
        <xdr:sp macro="" textlink="">
          <xdr:nvSpPr>
            <xdr:cNvPr id="13" name="CuadroTexto 12">
              <a:extLst>
                <a:ext uri="{FF2B5EF4-FFF2-40B4-BE49-F238E27FC236}">
                  <a16:creationId xmlns:a16="http://schemas.microsoft.com/office/drawing/2014/main" id="{00000000-0008-0000-2600-00000D000000}"/>
                </a:ext>
              </a:extLst>
            </xdr:cNvPr>
            <xdr:cNvSpPr txBox="1"/>
          </xdr:nvSpPr>
          <xdr:spPr>
            <a:xfrm>
              <a:off x="5101715" y="2874337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100" b="1" i="1">
                      <a:latin typeface="Cambria Math" panose="02040503050406030204" pitchFamily="18" charset="0"/>
                    </a:rPr>
                    <m:t>𝑼</m:t>
                  </m:r>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a14:m>
              <a:r>
                <a:rPr lang="es-CO" sz="1100" b="1"/>
                <a:t> (k=2)</a:t>
              </a:r>
            </a:p>
          </xdr:txBody>
        </xdr:sp>
      </mc:Choice>
      <mc:Fallback xmlns="">
        <xdr:sp macro="" textlink="">
          <xdr:nvSpPr>
            <xdr:cNvPr id="13" name="CuadroTexto 12">
              <a:extLst>
                <a:ext uri="{FF2B5EF4-FFF2-40B4-BE49-F238E27FC236}">
                  <a16:creationId xmlns:a16="http://schemas.microsoft.com/office/drawing/2014/main" id="{00000000-0008-0000-1700-00000D000000}"/>
                </a:ext>
              </a:extLst>
            </xdr:cNvPr>
            <xdr:cNvSpPr txBox="1"/>
          </xdr:nvSpPr>
          <xdr:spPr>
            <a:xfrm>
              <a:off x="5101715" y="2874337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100" b="1" i="0">
                  <a:latin typeface="Cambria Math" panose="02040503050406030204" pitchFamily="18" charset="0"/>
                </a:rPr>
                <a:t>𝑼(</a:t>
              </a:r>
              <a:r>
                <a:rPr lang="es-CO" sz="1100" b="1" i="0">
                  <a:latin typeface="Cambria Math" panose="02040503050406030204" pitchFamily="18" charset="0"/>
                  <a:ea typeface="Cambria Math" panose="02040503050406030204" pitchFamily="18" charset="0"/>
                </a:rPr>
                <a:t>𝒎_𝒄𝒕)</a:t>
              </a:r>
              <a:r>
                <a:rPr lang="es-CO" sz="1100" b="1"/>
                <a:t> (k=2)</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14" name="CuadroTexto 13">
              <a:extLst>
                <a:ext uri="{FF2B5EF4-FFF2-40B4-BE49-F238E27FC236}">
                  <a16:creationId xmlns:a16="http://schemas.microsoft.com/office/drawing/2014/main" id="{00000000-0008-0000-2600-00000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14" name="CuadroTexto 13">
              <a:extLst>
                <a:ext uri="{FF2B5EF4-FFF2-40B4-BE49-F238E27FC236}">
                  <a16:creationId xmlns="" xmlns:a16="http://schemas.microsoft.com/office/drawing/2014/main" xmlns:a14="http://schemas.microsoft.com/office/drawing/2010/main" id="{00000000-0008-0000-1000-00000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8</xdr:col>
      <xdr:colOff>541269</xdr:colOff>
      <xdr:row>52</xdr:row>
      <xdr:rowOff>78683</xdr:rowOff>
    </xdr:from>
    <xdr:ext cx="304571" cy="172227"/>
    <mc:AlternateContent xmlns:mc="http://schemas.openxmlformats.org/markup-compatibility/2006" xmlns:a14="http://schemas.microsoft.com/office/drawing/2010/main">
      <mc:Choice Requires="a14">
        <xdr:sp macro="" textlink="">
          <xdr:nvSpPr>
            <xdr:cNvPr id="15" name="CuadroTexto 14">
              <a:extLst>
                <a:ext uri="{FF2B5EF4-FFF2-40B4-BE49-F238E27FC236}">
                  <a16:creationId xmlns:a16="http://schemas.microsoft.com/office/drawing/2014/main" id="{00000000-0008-0000-2600-00000F000000}"/>
                </a:ext>
              </a:extLst>
            </xdr:cNvPr>
            <xdr:cNvSpPr txBox="1"/>
          </xdr:nvSpPr>
          <xdr:spPr>
            <a:xfrm>
              <a:off x="9313794" y="18623858"/>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oMath>
                </m:oMathPara>
              </a14:m>
              <a:endParaRPr lang="es-CO" sz="1100" b="1"/>
            </a:p>
          </xdr:txBody>
        </xdr:sp>
      </mc:Choice>
      <mc:Fallback xmlns="">
        <xdr:sp macro="" textlink="">
          <xdr:nvSpPr>
            <xdr:cNvPr id="15" name="CuadroTexto 14">
              <a:extLst>
                <a:ext uri="{FF2B5EF4-FFF2-40B4-BE49-F238E27FC236}">
                  <a16:creationId xmlns="" xmlns:a16="http://schemas.microsoft.com/office/drawing/2014/main" xmlns:a14="http://schemas.microsoft.com/office/drawing/2010/main" id="{00000000-0008-0000-1000-00000F000000}"/>
                </a:ext>
              </a:extLst>
            </xdr:cNvPr>
            <xdr:cNvSpPr txBox="1"/>
          </xdr:nvSpPr>
          <xdr:spPr>
            <a:xfrm>
              <a:off x="9313794" y="18623858"/>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4</xdr:col>
      <xdr:colOff>155713</xdr:colOff>
      <xdr:row>39</xdr:row>
      <xdr:rowOff>106017</xdr:rowOff>
    </xdr:from>
    <xdr:ext cx="65" cy="172227"/>
    <xdr:sp macro="" textlink="">
      <xdr:nvSpPr>
        <xdr:cNvPr id="16" name="CuadroTexto 15">
          <a:extLst>
            <a:ext uri="{FF2B5EF4-FFF2-40B4-BE49-F238E27FC236}">
              <a16:creationId xmlns:a16="http://schemas.microsoft.com/office/drawing/2014/main" id="{00000000-0008-0000-2600-000010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17" name="CuadroTexto 16">
              <a:extLst>
                <a:ext uri="{FF2B5EF4-FFF2-40B4-BE49-F238E27FC236}">
                  <a16:creationId xmlns:a16="http://schemas.microsoft.com/office/drawing/2014/main" id="{00000000-0008-0000-2600-000011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7" name="CuadroTexto 16">
              <a:extLst>
                <a:ext uri="{FF2B5EF4-FFF2-40B4-BE49-F238E27FC236}">
                  <a16:creationId xmlns="" xmlns:a16="http://schemas.microsoft.com/office/drawing/2014/main" xmlns:a14="http://schemas.microsoft.com/office/drawing/2010/main" id="{00000000-0008-0000-1000-000011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18" name="CuadroTexto 17">
              <a:extLst>
                <a:ext uri="{FF2B5EF4-FFF2-40B4-BE49-F238E27FC236}">
                  <a16:creationId xmlns:a16="http://schemas.microsoft.com/office/drawing/2014/main" id="{00000000-0008-0000-2600-000012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18" name="CuadroTexto 17">
              <a:extLst>
                <a:ext uri="{FF2B5EF4-FFF2-40B4-BE49-F238E27FC236}">
                  <a16:creationId xmlns="" xmlns:a16="http://schemas.microsoft.com/office/drawing/2014/main" xmlns:a14="http://schemas.microsoft.com/office/drawing/2010/main" id="{00000000-0008-0000-1000-000012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19" name="CuadroTexto 18">
              <a:extLst>
                <a:ext uri="{FF2B5EF4-FFF2-40B4-BE49-F238E27FC236}">
                  <a16:creationId xmlns:a16="http://schemas.microsoft.com/office/drawing/2014/main" id="{00000000-0008-0000-2600-000013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9" name="CuadroTexto 18">
              <a:extLst>
                <a:ext uri="{FF2B5EF4-FFF2-40B4-BE49-F238E27FC236}">
                  <a16:creationId xmlns="" xmlns:a16="http://schemas.microsoft.com/office/drawing/2014/main" xmlns:a14="http://schemas.microsoft.com/office/drawing/2010/main" id="{00000000-0008-0000-1000-000013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0" name="CuadroTexto 19">
              <a:extLst>
                <a:ext uri="{FF2B5EF4-FFF2-40B4-BE49-F238E27FC236}">
                  <a16:creationId xmlns:a16="http://schemas.microsoft.com/office/drawing/2014/main" id="{00000000-0008-0000-2600-000014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0" name="CuadroTexto 19">
              <a:extLst>
                <a:ext uri="{FF2B5EF4-FFF2-40B4-BE49-F238E27FC236}">
                  <a16:creationId xmlns="" xmlns:a16="http://schemas.microsoft.com/office/drawing/2014/main" xmlns:a14="http://schemas.microsoft.com/office/drawing/2010/main" id="{00000000-0008-0000-1000-000014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1" name="CuadroTexto 20">
          <a:extLst>
            <a:ext uri="{FF2B5EF4-FFF2-40B4-BE49-F238E27FC236}">
              <a16:creationId xmlns:a16="http://schemas.microsoft.com/office/drawing/2014/main" id="{00000000-0008-0000-2600-000015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3</xdr:col>
      <xdr:colOff>236456</xdr:colOff>
      <xdr:row>73</xdr:row>
      <xdr:rowOff>141002</xdr:rowOff>
    </xdr:from>
    <xdr:ext cx="730521" cy="219163"/>
    <mc:AlternateContent xmlns:mc="http://schemas.openxmlformats.org/markup-compatibility/2006" xmlns:a14="http://schemas.microsoft.com/office/drawing/2010/main">
      <mc:Choice Requires="a14">
        <xdr:sp macro="" textlink="">
          <xdr:nvSpPr>
            <xdr:cNvPr id="22" name="CuadroTexto 21">
              <a:extLst>
                <a:ext uri="{FF2B5EF4-FFF2-40B4-BE49-F238E27FC236}">
                  <a16:creationId xmlns:a16="http://schemas.microsoft.com/office/drawing/2014/main" id="{00000000-0008-0000-2600-000016000000}"/>
                </a:ext>
              </a:extLst>
            </xdr:cNvPr>
            <xdr:cNvSpPr txBox="1"/>
          </xdr:nvSpPr>
          <xdr:spPr>
            <a:xfrm>
              <a:off x="2922506" y="30059027"/>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m:t>
                  </m:r>
                  <m:sSub>
                    <m:sSubPr>
                      <m:ctrlPr>
                        <a:rPr lang="es-CO" sz="1400" b="1" i="1">
                          <a:latin typeface="Cambria Math" panose="02040503050406030204" pitchFamily="18" charset="0"/>
                          <a:ea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𝒎</m:t>
                      </m:r>
                    </m:e>
                    <m:sub>
                      <m:r>
                        <a:rPr lang="es-CO" sz="1400" b="1" i="1">
                          <a:latin typeface="Cambria Math" panose="02040503050406030204" pitchFamily="18" charset="0"/>
                          <a:ea typeface="Cambria Math" panose="02040503050406030204" pitchFamily="18" charset="0"/>
                        </a:rPr>
                        <m:t>𝒄</m:t>
                      </m:r>
                    </m:sub>
                  </m:sSub>
                </m:oMath>
              </a14:m>
              <a:r>
                <a:rPr lang="es-CO" sz="1400" b="1" i="1"/>
                <a:t> (mg</a:t>
              </a:r>
              <a:r>
                <a:rPr lang="es-CO" sz="1200" b="1" i="0"/>
                <a:t>)</a:t>
              </a:r>
            </a:p>
          </xdr:txBody>
        </xdr:sp>
      </mc:Choice>
      <mc:Fallback xmlns="">
        <xdr:sp macro="" textlink="">
          <xdr:nvSpPr>
            <xdr:cNvPr id="22" name="CuadroTexto 21">
              <a:extLst>
                <a:ext uri="{FF2B5EF4-FFF2-40B4-BE49-F238E27FC236}">
                  <a16:creationId xmlns:a16="http://schemas.microsoft.com/office/drawing/2014/main" id="{00000000-0008-0000-1700-000016000000}"/>
                </a:ext>
              </a:extLst>
            </xdr:cNvPr>
            <xdr:cNvSpPr txBox="1"/>
          </xdr:nvSpPr>
          <xdr:spPr>
            <a:xfrm>
              <a:off x="2922506" y="30059027"/>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400" b="1" i="0">
                  <a:latin typeface="Cambria Math" panose="02040503050406030204" pitchFamily="18" charset="0"/>
                  <a:ea typeface="Cambria Math" panose="02040503050406030204" pitchFamily="18" charset="0"/>
                </a:rPr>
                <a:t>∆𝒎_𝒄</a:t>
              </a:r>
              <a:r>
                <a:rPr lang="es-CO" sz="1400" b="1" i="1"/>
                <a:t> (mg</a:t>
              </a:r>
              <a:r>
                <a:rPr lang="es-CO" sz="1200" b="1" i="0"/>
                <a:t>)</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23" name="CuadroTexto 22">
              <a:extLst>
                <a:ext uri="{FF2B5EF4-FFF2-40B4-BE49-F238E27FC236}">
                  <a16:creationId xmlns:a16="http://schemas.microsoft.com/office/drawing/2014/main" id="{00000000-0008-0000-2600-000017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23" name="CuadroTexto 22">
              <a:extLst>
                <a:ext uri="{FF2B5EF4-FFF2-40B4-BE49-F238E27FC236}">
                  <a16:creationId xmlns="" xmlns:a16="http://schemas.microsoft.com/office/drawing/2014/main" xmlns:a14="http://schemas.microsoft.com/office/drawing/2010/main" id="{00000000-0008-0000-1000-000023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24" name="CuadroTexto 23">
          <a:extLst>
            <a:ext uri="{FF2B5EF4-FFF2-40B4-BE49-F238E27FC236}">
              <a16:creationId xmlns:a16="http://schemas.microsoft.com/office/drawing/2014/main" id="{00000000-0008-0000-2600-000018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25" name="CuadroTexto 24">
              <a:extLst>
                <a:ext uri="{FF2B5EF4-FFF2-40B4-BE49-F238E27FC236}">
                  <a16:creationId xmlns:a16="http://schemas.microsoft.com/office/drawing/2014/main" id="{00000000-0008-0000-2600-000019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5" name="CuadroTexto 24">
              <a:extLst>
                <a:ext uri="{FF2B5EF4-FFF2-40B4-BE49-F238E27FC236}">
                  <a16:creationId xmlns="" xmlns:a16="http://schemas.microsoft.com/office/drawing/2014/main" xmlns:a14="http://schemas.microsoft.com/office/drawing/2010/main" id="{00000000-0008-0000-1000-000026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26" name="CuadroTexto 25">
              <a:extLst>
                <a:ext uri="{FF2B5EF4-FFF2-40B4-BE49-F238E27FC236}">
                  <a16:creationId xmlns:a16="http://schemas.microsoft.com/office/drawing/2014/main" id="{00000000-0008-0000-2600-00001A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6" name="CuadroTexto 25">
              <a:extLst>
                <a:ext uri="{FF2B5EF4-FFF2-40B4-BE49-F238E27FC236}">
                  <a16:creationId xmlns="" xmlns:a16="http://schemas.microsoft.com/office/drawing/2014/main" xmlns:a14="http://schemas.microsoft.com/office/drawing/2010/main" id="{00000000-0008-0000-1000-000027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27" name="CuadroTexto 26">
              <a:extLst>
                <a:ext uri="{FF2B5EF4-FFF2-40B4-BE49-F238E27FC236}">
                  <a16:creationId xmlns:a16="http://schemas.microsoft.com/office/drawing/2014/main" id="{00000000-0008-0000-2600-00001B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7" name="CuadroTexto 26">
              <a:extLst>
                <a:ext uri="{FF2B5EF4-FFF2-40B4-BE49-F238E27FC236}">
                  <a16:creationId xmlns="" xmlns:a16="http://schemas.microsoft.com/office/drawing/2014/main" xmlns:a14="http://schemas.microsoft.com/office/drawing/2010/main" id="{00000000-0008-0000-1000-000028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8" name="CuadroTexto 27">
              <a:extLst>
                <a:ext uri="{FF2B5EF4-FFF2-40B4-BE49-F238E27FC236}">
                  <a16:creationId xmlns:a16="http://schemas.microsoft.com/office/drawing/2014/main" id="{00000000-0008-0000-2600-00001C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8" name="CuadroTexto 27">
              <a:extLst>
                <a:ext uri="{FF2B5EF4-FFF2-40B4-BE49-F238E27FC236}">
                  <a16:creationId xmlns="" xmlns:a16="http://schemas.microsoft.com/office/drawing/2014/main" xmlns:a14="http://schemas.microsoft.com/office/drawing/2010/main" id="{00000000-0008-0000-1000-000029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9" name="CuadroTexto 28">
          <a:extLst>
            <a:ext uri="{FF2B5EF4-FFF2-40B4-BE49-F238E27FC236}">
              <a16:creationId xmlns:a16="http://schemas.microsoft.com/office/drawing/2014/main" id="{00000000-0008-0000-2600-00001D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30" name="CuadroTexto 29">
              <a:extLst>
                <a:ext uri="{FF2B5EF4-FFF2-40B4-BE49-F238E27FC236}">
                  <a16:creationId xmlns:a16="http://schemas.microsoft.com/office/drawing/2014/main" id="{00000000-0008-0000-2600-00001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30" name="CuadroTexto 29">
              <a:extLst>
                <a:ext uri="{FF2B5EF4-FFF2-40B4-BE49-F238E27FC236}">
                  <a16:creationId xmlns="" xmlns:a16="http://schemas.microsoft.com/office/drawing/2014/main" xmlns:a14="http://schemas.microsoft.com/office/drawing/2010/main" id="{00000000-0008-0000-1000-000038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31" name="CuadroTexto 30">
          <a:extLst>
            <a:ext uri="{FF2B5EF4-FFF2-40B4-BE49-F238E27FC236}">
              <a16:creationId xmlns:a16="http://schemas.microsoft.com/office/drawing/2014/main" id="{00000000-0008-0000-2600-00001F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32" name="CuadroTexto 31">
              <a:extLst>
                <a:ext uri="{FF2B5EF4-FFF2-40B4-BE49-F238E27FC236}">
                  <a16:creationId xmlns:a16="http://schemas.microsoft.com/office/drawing/2014/main" id="{00000000-0008-0000-2600-000020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2" name="CuadroTexto 31">
              <a:extLst>
                <a:ext uri="{FF2B5EF4-FFF2-40B4-BE49-F238E27FC236}">
                  <a16:creationId xmlns="" xmlns:a16="http://schemas.microsoft.com/office/drawing/2014/main" xmlns:a14="http://schemas.microsoft.com/office/drawing/2010/main" id="{00000000-0008-0000-1000-00003B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33" name="CuadroTexto 32">
              <a:extLst>
                <a:ext uri="{FF2B5EF4-FFF2-40B4-BE49-F238E27FC236}">
                  <a16:creationId xmlns:a16="http://schemas.microsoft.com/office/drawing/2014/main" id="{00000000-0008-0000-2600-000021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3" name="CuadroTexto 32">
              <a:extLst>
                <a:ext uri="{FF2B5EF4-FFF2-40B4-BE49-F238E27FC236}">
                  <a16:creationId xmlns="" xmlns:a16="http://schemas.microsoft.com/office/drawing/2014/main" xmlns:a14="http://schemas.microsoft.com/office/drawing/2010/main" id="{00000000-0008-0000-1000-00003C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34" name="CuadroTexto 33">
              <a:extLst>
                <a:ext uri="{FF2B5EF4-FFF2-40B4-BE49-F238E27FC236}">
                  <a16:creationId xmlns:a16="http://schemas.microsoft.com/office/drawing/2014/main" id="{00000000-0008-0000-2600-000022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4" name="CuadroTexto 33">
              <a:extLst>
                <a:ext uri="{FF2B5EF4-FFF2-40B4-BE49-F238E27FC236}">
                  <a16:creationId xmlns="" xmlns:a16="http://schemas.microsoft.com/office/drawing/2014/main" xmlns:a14="http://schemas.microsoft.com/office/drawing/2010/main" id="{00000000-0008-0000-1000-00003D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35" name="CuadroTexto 34">
              <a:extLst>
                <a:ext uri="{FF2B5EF4-FFF2-40B4-BE49-F238E27FC236}">
                  <a16:creationId xmlns:a16="http://schemas.microsoft.com/office/drawing/2014/main" id="{00000000-0008-0000-2600-000023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5" name="CuadroTexto 34">
              <a:extLst>
                <a:ext uri="{FF2B5EF4-FFF2-40B4-BE49-F238E27FC236}">
                  <a16:creationId xmlns="" xmlns:a16="http://schemas.microsoft.com/office/drawing/2014/main" xmlns:a14="http://schemas.microsoft.com/office/drawing/2010/main" id="{00000000-0008-0000-1000-00003E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36" name="CuadroTexto 35">
          <a:extLst>
            <a:ext uri="{FF2B5EF4-FFF2-40B4-BE49-F238E27FC236}">
              <a16:creationId xmlns:a16="http://schemas.microsoft.com/office/drawing/2014/main" id="{00000000-0008-0000-2600-000024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11</xdr:col>
      <xdr:colOff>628650</xdr:colOff>
      <xdr:row>61</xdr:row>
      <xdr:rowOff>0</xdr:rowOff>
    </xdr:from>
    <xdr:ext cx="65" cy="172227"/>
    <xdr:sp macro="" textlink="">
      <xdr:nvSpPr>
        <xdr:cNvPr id="38" name="CuadroTexto 37">
          <a:extLst>
            <a:ext uri="{FF2B5EF4-FFF2-40B4-BE49-F238E27FC236}">
              <a16:creationId xmlns:a16="http://schemas.microsoft.com/office/drawing/2014/main" id="{00000000-0008-0000-2600-000026000000}"/>
            </a:ext>
          </a:extLst>
        </xdr:cNvPr>
        <xdr:cNvSpPr txBox="1"/>
      </xdr:nvSpPr>
      <xdr:spPr>
        <a:xfrm>
          <a:off x="12001500" y="2272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5</xdr:col>
      <xdr:colOff>539750</xdr:colOff>
      <xdr:row>73</xdr:row>
      <xdr:rowOff>158749</xdr:rowOff>
    </xdr:from>
    <xdr:ext cx="984250" cy="210507"/>
    <mc:AlternateContent xmlns:mc="http://schemas.openxmlformats.org/markup-compatibility/2006" xmlns:a14="http://schemas.microsoft.com/office/drawing/2010/main">
      <mc:Choice Requires="a14">
        <xdr:sp macro="" textlink="">
          <xdr:nvSpPr>
            <xdr:cNvPr id="39" name="CuadroTexto 38">
              <a:extLst>
                <a:ext uri="{FF2B5EF4-FFF2-40B4-BE49-F238E27FC236}">
                  <a16:creationId xmlns:a16="http://schemas.microsoft.com/office/drawing/2014/main" id="{00000000-0008-0000-2600-000027000000}"/>
                </a:ext>
              </a:extLst>
            </xdr:cNvPr>
            <xdr:cNvSpPr txBox="1"/>
          </xdr:nvSpPr>
          <xdr:spPr>
            <a:xfrm>
              <a:off x="5397500" y="30076774"/>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𝒆</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39" name="CuadroTexto 38">
              <a:extLst>
                <a:ext uri="{FF2B5EF4-FFF2-40B4-BE49-F238E27FC236}">
                  <a16:creationId xmlns:a16="http://schemas.microsoft.com/office/drawing/2014/main" id="{00000000-0008-0000-1700-000027000000}"/>
                </a:ext>
              </a:extLst>
            </xdr:cNvPr>
            <xdr:cNvSpPr txBox="1"/>
          </xdr:nvSpPr>
          <xdr:spPr>
            <a:xfrm>
              <a:off x="5397500" y="30076774"/>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𝒆 𝒄𝒕</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4</xdr:col>
      <xdr:colOff>52917</xdr:colOff>
      <xdr:row>73</xdr:row>
      <xdr:rowOff>148167</xdr:rowOff>
    </xdr:from>
    <xdr:ext cx="984250" cy="210507"/>
    <mc:AlternateContent xmlns:mc="http://schemas.openxmlformats.org/markup-compatibility/2006" xmlns:a14="http://schemas.microsoft.com/office/drawing/2010/main">
      <mc:Choice Requires="a14">
        <xdr:sp macro="" textlink="">
          <xdr:nvSpPr>
            <xdr:cNvPr id="40" name="CuadroTexto 39">
              <a:extLst>
                <a:ext uri="{FF2B5EF4-FFF2-40B4-BE49-F238E27FC236}">
                  <a16:creationId xmlns:a16="http://schemas.microsoft.com/office/drawing/2014/main" id="{00000000-0008-0000-2600-000028000000}"/>
                </a:ext>
              </a:extLst>
            </xdr:cNvPr>
            <xdr:cNvSpPr txBox="1"/>
          </xdr:nvSpPr>
          <xdr:spPr>
            <a:xfrm>
              <a:off x="3872442" y="30066192"/>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0" name="CuadroTexto 39">
              <a:extLst>
                <a:ext uri="{FF2B5EF4-FFF2-40B4-BE49-F238E27FC236}">
                  <a16:creationId xmlns:a16="http://schemas.microsoft.com/office/drawing/2014/main" id="{00000000-0008-0000-1700-000028000000}"/>
                </a:ext>
              </a:extLst>
            </xdr:cNvPr>
            <xdr:cNvSpPr txBox="1"/>
          </xdr:nvSpPr>
          <xdr:spPr>
            <a:xfrm>
              <a:off x="3872442" y="30066192"/>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𝒄𝒕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1</xdr:col>
      <xdr:colOff>35718</xdr:colOff>
      <xdr:row>73</xdr:row>
      <xdr:rowOff>95250</xdr:rowOff>
    </xdr:from>
    <xdr:ext cx="713052" cy="210507"/>
    <mc:AlternateContent xmlns:mc="http://schemas.openxmlformats.org/markup-compatibility/2006" xmlns:a14="http://schemas.microsoft.com/office/drawing/2010/main">
      <mc:Choice Requires="a14">
        <xdr:sp macro="" textlink="">
          <xdr:nvSpPr>
            <xdr:cNvPr id="42" name="CuadroTexto 41">
              <a:extLst>
                <a:ext uri="{FF2B5EF4-FFF2-40B4-BE49-F238E27FC236}">
                  <a16:creationId xmlns:a16="http://schemas.microsoft.com/office/drawing/2014/main" id="{00000000-0008-0000-2600-00002A000000}"/>
                </a:ext>
              </a:extLst>
            </xdr:cNvPr>
            <xdr:cNvSpPr txBox="1"/>
          </xdr:nvSpPr>
          <xdr:spPr>
            <a:xfrm>
              <a:off x="1012031" y="30206156"/>
              <a:ext cx="713052"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𝑵𝒓</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2" name="CuadroTexto 41">
              <a:extLst>
                <a:ext uri="{FF2B5EF4-FFF2-40B4-BE49-F238E27FC236}">
                  <a16:creationId xmlns:a16="http://schemas.microsoft.com/office/drawing/2014/main" id="{00000000-0008-0000-1700-00002A000000}"/>
                </a:ext>
              </a:extLst>
            </xdr:cNvPr>
            <xdr:cNvSpPr txBox="1"/>
          </xdr:nvSpPr>
          <xdr:spPr>
            <a:xfrm>
              <a:off x="1012031" y="30206156"/>
              <a:ext cx="713052"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𝑵𝒓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8</xdr:col>
      <xdr:colOff>616480</xdr:colOff>
      <xdr:row>73</xdr:row>
      <xdr:rowOff>174626</xdr:rowOff>
    </xdr:from>
    <xdr:ext cx="1524000" cy="210507"/>
    <mc:AlternateContent xmlns:mc="http://schemas.openxmlformats.org/markup-compatibility/2006" xmlns:a14="http://schemas.microsoft.com/office/drawing/2010/main">
      <mc:Choice Requires="a14">
        <xdr:sp macro="" textlink="">
          <xdr:nvSpPr>
            <xdr:cNvPr id="43" name="CuadroTexto 42">
              <a:extLst>
                <a:ext uri="{FF2B5EF4-FFF2-40B4-BE49-F238E27FC236}">
                  <a16:creationId xmlns:a16="http://schemas.microsoft.com/office/drawing/2014/main" id="{00000000-0008-0000-2600-00002B000000}"/>
                </a:ext>
              </a:extLst>
            </xdr:cNvPr>
            <xdr:cNvSpPr txBox="1"/>
          </xdr:nvSpPr>
          <xdr:spPr>
            <a:xfrm>
              <a:off x="9958918" y="30503814"/>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𝑼</m:t>
                  </m:r>
                  <m:r>
                    <a:rPr lang="es-CO" sz="1400" b="1" i="1">
                      <a:latin typeface="Cambria Math" panose="02040503050406030204" pitchFamily="18" charset="0"/>
                      <a:ea typeface="Cambria Math" panose="02040503050406030204" pitchFamily="18" charset="0"/>
                    </a:rPr>
                    <m:t> </m:t>
                  </m:r>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 </m:t>
                  </m:r>
                  <m:r>
                    <a:rPr lang="es-CO" sz="1400" b="1" i="1">
                      <a:latin typeface="Cambria Math" panose="02040503050406030204" pitchFamily="18" charset="0"/>
                      <a:ea typeface="Cambria Math" panose="02040503050406030204" pitchFamily="18" charset="0"/>
                    </a:rPr>
                    <m:t>𝒌</m:t>
                  </m:r>
                  <m:r>
                    <a:rPr lang="es-CO" sz="1400" b="1" i="1">
                      <a:latin typeface="Cambria Math" panose="02040503050406030204" pitchFamily="18" charset="0"/>
                      <a:ea typeface="Cambria Math" panose="02040503050406030204" pitchFamily="18" charset="0"/>
                    </a:rPr>
                    <m:t>=</m:t>
                  </m:r>
                  <m:r>
                    <a:rPr lang="es-CO" sz="1400" b="1" i="1">
                      <a:latin typeface="Cambria Math" panose="02040503050406030204" pitchFamily="18" charset="0"/>
                      <a:ea typeface="Cambria Math" panose="02040503050406030204" pitchFamily="18" charset="0"/>
                    </a:rPr>
                    <m:t>𝟐</m:t>
                  </m:r>
                </m:oMath>
              </a14:m>
              <a:r>
                <a:rPr lang="es-CO" sz="1400" b="1" i="1">
                  <a:latin typeface="Arial" panose="020B0604020202020204" pitchFamily="34" charset="0"/>
                  <a:cs typeface="Arial" panose="020B0604020202020204" pitchFamily="34" charset="0"/>
                </a:rPr>
                <a:t>)</a:t>
              </a:r>
            </a:p>
          </xdr:txBody>
        </xdr:sp>
      </mc:Choice>
      <mc:Fallback xmlns="">
        <xdr:sp macro="" textlink="">
          <xdr:nvSpPr>
            <xdr:cNvPr id="43" name="CuadroTexto 42">
              <a:extLst>
                <a:ext uri="{FF2B5EF4-FFF2-40B4-BE49-F238E27FC236}">
                  <a16:creationId xmlns:a16="http://schemas.microsoft.com/office/drawing/2014/main" id="{00000000-0008-0000-1700-00002B000000}"/>
                </a:ext>
              </a:extLst>
            </xdr:cNvPr>
            <xdr:cNvSpPr txBox="1"/>
          </xdr:nvSpPr>
          <xdr:spPr>
            <a:xfrm>
              <a:off x="9958918" y="30503814"/>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0">
                  <a:latin typeface="Cambria Math" panose="02040503050406030204" pitchFamily="18" charset="0"/>
                  <a:ea typeface="Cambria Math" panose="02040503050406030204" pitchFamily="18" charset="0"/>
                </a:rPr>
                <a:t>𝑼 ( 𝒎 𝒄𝒕 )  ( 𝒌=𝟐</a:t>
              </a:r>
              <a:r>
                <a:rPr lang="es-CO" sz="1400" b="1" i="1">
                  <a:latin typeface="Arial" panose="020B0604020202020204" pitchFamily="34" charset="0"/>
                  <a:cs typeface="Arial" panose="020B0604020202020204" pitchFamily="34" charset="0"/>
                </a:rPr>
                <a:t>)</a:t>
              </a:r>
            </a:p>
          </xdr:txBody>
        </xdr:sp>
      </mc:Fallback>
    </mc:AlternateContent>
    <xdr:clientData/>
  </xdr:oneCellAnchor>
  <xdr:oneCellAnchor>
    <xdr:from>
      <xdr:col>9</xdr:col>
      <xdr:colOff>603252</xdr:colOff>
      <xdr:row>74</xdr:row>
      <xdr:rowOff>84667</xdr:rowOff>
    </xdr:from>
    <xdr:ext cx="465666" cy="219163"/>
    <xdr:sp macro="" textlink="">
      <xdr:nvSpPr>
        <xdr:cNvPr id="44" name="CuadroTexto 43">
          <a:extLst>
            <a:ext uri="{FF2B5EF4-FFF2-40B4-BE49-F238E27FC236}">
              <a16:creationId xmlns:a16="http://schemas.microsoft.com/office/drawing/2014/main" id="{00000000-0008-0000-2600-00002C000000}"/>
            </a:ext>
          </a:extLst>
        </xdr:cNvPr>
        <xdr:cNvSpPr txBox="1"/>
      </xdr:nvSpPr>
      <xdr:spPr>
        <a:xfrm>
          <a:off x="10299702" y="30517042"/>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9</xdr:col>
      <xdr:colOff>571499</xdr:colOff>
      <xdr:row>75</xdr:row>
      <xdr:rowOff>116416</xdr:rowOff>
    </xdr:from>
    <xdr:ext cx="359835" cy="219163"/>
    <xdr:sp macro="" textlink="">
      <xdr:nvSpPr>
        <xdr:cNvPr id="45" name="CuadroTexto 44">
          <a:extLst>
            <a:ext uri="{FF2B5EF4-FFF2-40B4-BE49-F238E27FC236}">
              <a16:creationId xmlns:a16="http://schemas.microsoft.com/office/drawing/2014/main" id="{00000000-0008-0000-2600-00002D000000}"/>
            </a:ext>
          </a:extLst>
        </xdr:cNvPr>
        <xdr:cNvSpPr txBox="1"/>
      </xdr:nvSpPr>
      <xdr:spPr>
        <a:xfrm>
          <a:off x="10267949" y="30986941"/>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6</xdr:col>
      <xdr:colOff>275167</xdr:colOff>
      <xdr:row>74</xdr:row>
      <xdr:rowOff>148166</xdr:rowOff>
    </xdr:from>
    <xdr:ext cx="465666" cy="219163"/>
    <xdr:sp macro="" textlink="">
      <xdr:nvSpPr>
        <xdr:cNvPr id="46" name="CuadroTexto 45">
          <a:extLst>
            <a:ext uri="{FF2B5EF4-FFF2-40B4-BE49-F238E27FC236}">
              <a16:creationId xmlns:a16="http://schemas.microsoft.com/office/drawing/2014/main" id="{00000000-0008-0000-2600-00002E000000}"/>
            </a:ext>
          </a:extLst>
        </xdr:cNvPr>
        <xdr:cNvSpPr txBox="1"/>
      </xdr:nvSpPr>
      <xdr:spPr>
        <a:xfrm>
          <a:off x="6371167" y="30580541"/>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6</xdr:col>
      <xdr:colOff>328083</xdr:colOff>
      <xdr:row>75</xdr:row>
      <xdr:rowOff>84667</xdr:rowOff>
    </xdr:from>
    <xdr:ext cx="359835" cy="219163"/>
    <xdr:sp macro="" textlink="">
      <xdr:nvSpPr>
        <xdr:cNvPr id="47" name="CuadroTexto 46">
          <a:extLst>
            <a:ext uri="{FF2B5EF4-FFF2-40B4-BE49-F238E27FC236}">
              <a16:creationId xmlns:a16="http://schemas.microsoft.com/office/drawing/2014/main" id="{00000000-0008-0000-2600-00002F000000}"/>
            </a:ext>
          </a:extLst>
        </xdr:cNvPr>
        <xdr:cNvSpPr txBox="1"/>
      </xdr:nvSpPr>
      <xdr:spPr>
        <a:xfrm>
          <a:off x="6424083" y="30955192"/>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3</xdr:col>
      <xdr:colOff>560916</xdr:colOff>
      <xdr:row>72</xdr:row>
      <xdr:rowOff>74084</xdr:rowOff>
    </xdr:from>
    <xdr:ext cx="1524000" cy="210507"/>
    <mc:AlternateContent xmlns:mc="http://schemas.openxmlformats.org/markup-compatibility/2006" xmlns:a14="http://schemas.microsoft.com/office/drawing/2010/main">
      <mc:Choice Requires="a14">
        <xdr:sp macro="" textlink="">
          <xdr:nvSpPr>
            <xdr:cNvPr id="48" name="CuadroTexto 47">
              <a:extLst>
                <a:ext uri="{FF2B5EF4-FFF2-40B4-BE49-F238E27FC236}">
                  <a16:creationId xmlns:a16="http://schemas.microsoft.com/office/drawing/2014/main" id="{00000000-0008-0000-2600-000030000000}"/>
                </a:ext>
              </a:extLst>
            </xdr:cNvPr>
            <xdr:cNvSpPr txBox="1"/>
          </xdr:nvSpPr>
          <xdr:spPr>
            <a:xfrm>
              <a:off x="3246966" y="29553959"/>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m:t>
                    </m:r>
                  </m:oMath>
                </m:oMathPara>
              </a14:m>
              <a:endParaRPr lang="es-CO" sz="1400" b="1" i="1">
                <a:latin typeface="Arial" panose="020B0604020202020204" pitchFamily="34" charset="0"/>
                <a:cs typeface="Arial" panose="020B0604020202020204" pitchFamily="34" charset="0"/>
              </a:endParaRPr>
            </a:p>
          </xdr:txBody>
        </xdr:sp>
      </mc:Choice>
      <mc:Fallback xmlns="">
        <xdr:sp macro="" textlink="">
          <xdr:nvSpPr>
            <xdr:cNvPr id="48" name="CuadroTexto 47">
              <a:extLst>
                <a:ext uri="{FF2B5EF4-FFF2-40B4-BE49-F238E27FC236}">
                  <a16:creationId xmlns:a16="http://schemas.microsoft.com/office/drawing/2014/main" id="{00000000-0008-0000-1700-000030000000}"/>
                </a:ext>
              </a:extLst>
            </xdr:cNvPr>
            <xdr:cNvSpPr txBox="1"/>
          </xdr:nvSpPr>
          <xdr:spPr>
            <a:xfrm>
              <a:off x="3246966" y="29553959"/>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 𝒎 𝒄𝒕 )   </a:t>
              </a:r>
              <a:endParaRPr lang="es-CO" sz="1400" b="1" i="1">
                <a:latin typeface="Arial" panose="020B0604020202020204" pitchFamily="34" charset="0"/>
                <a:cs typeface="Arial" panose="020B0604020202020204" pitchFamily="34" charset="0"/>
              </a:endParaRPr>
            </a:p>
          </xdr:txBody>
        </xdr:sp>
      </mc:Fallback>
    </mc:AlternateContent>
    <xdr:clientData/>
  </xdr:oneCellAnchor>
  <xdr:oneCellAnchor>
    <xdr:from>
      <xdr:col>7</xdr:col>
      <xdr:colOff>411956</xdr:colOff>
      <xdr:row>71</xdr:row>
      <xdr:rowOff>406003</xdr:rowOff>
    </xdr:from>
    <xdr:ext cx="65" cy="172227"/>
    <xdr:sp macro="" textlink="">
      <xdr:nvSpPr>
        <xdr:cNvPr id="49" name="CuadroTexto 48">
          <a:extLst>
            <a:ext uri="{FF2B5EF4-FFF2-40B4-BE49-F238E27FC236}">
              <a16:creationId xmlns:a16="http://schemas.microsoft.com/office/drawing/2014/main" id="{00000000-0008-0000-2600-000031000000}"/>
            </a:ext>
          </a:extLst>
        </xdr:cNvPr>
        <xdr:cNvSpPr txBox="1"/>
      </xdr:nvSpPr>
      <xdr:spPr>
        <a:xfrm>
          <a:off x="7555706" y="29457253"/>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51" name="CuadroTexto 50">
              <a:extLst>
                <a:ext uri="{FF2B5EF4-FFF2-40B4-BE49-F238E27FC236}">
                  <a16:creationId xmlns:a16="http://schemas.microsoft.com/office/drawing/2014/main" id="{00000000-0008-0000-2600-000033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51" name="CuadroTexto 50">
              <a:extLst>
                <a:ext uri="{FF2B5EF4-FFF2-40B4-BE49-F238E27FC236}">
                  <a16:creationId xmlns:a16="http://schemas.microsoft.com/office/drawing/2014/main" id="{FA28403E-11A9-4DF1-B0A2-9DC42BB73FC3}"/>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52" name="CuadroTexto 51">
              <a:extLst>
                <a:ext uri="{FF2B5EF4-FFF2-40B4-BE49-F238E27FC236}">
                  <a16:creationId xmlns:a16="http://schemas.microsoft.com/office/drawing/2014/main" id="{00000000-0008-0000-2600-000034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52" name="CuadroTexto 51">
              <a:extLst>
                <a:ext uri="{FF2B5EF4-FFF2-40B4-BE49-F238E27FC236}">
                  <a16:creationId xmlns:a16="http://schemas.microsoft.com/office/drawing/2014/main" id="{6A8F5116-31D0-49B8-9DC1-96CE960AD6DB}"/>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twoCellAnchor>
    <xdr:from>
      <xdr:col>7</xdr:col>
      <xdr:colOff>857250</xdr:colOff>
      <xdr:row>62</xdr:row>
      <xdr:rowOff>269875</xdr:rowOff>
    </xdr:from>
    <xdr:to>
      <xdr:col>11</xdr:col>
      <xdr:colOff>793749</xdr:colOff>
      <xdr:row>64</xdr:row>
      <xdr:rowOff>539750</xdr:rowOff>
    </xdr:to>
    <xdr:graphicFrame macro="">
      <xdr:nvGraphicFramePr>
        <xdr:cNvPr id="50" name="Gráfico 49">
          <a:extLst>
            <a:ext uri="{FF2B5EF4-FFF2-40B4-BE49-F238E27FC236}">
              <a16:creationId xmlns:a16="http://schemas.microsoft.com/office/drawing/2014/main" id="{00000000-0008-0000-2600-00003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261937</xdr:colOff>
      <xdr:row>0</xdr:row>
      <xdr:rowOff>35718</xdr:rowOff>
    </xdr:from>
    <xdr:to>
      <xdr:col>1</xdr:col>
      <xdr:colOff>657343</xdr:colOff>
      <xdr:row>0</xdr:row>
      <xdr:rowOff>675853</xdr:rowOff>
    </xdr:to>
    <xdr:pic>
      <xdr:nvPicPr>
        <xdr:cNvPr id="37" name="36 Imagen">
          <a:extLst>
            <a:ext uri="{FF2B5EF4-FFF2-40B4-BE49-F238E27FC236}">
              <a16:creationId xmlns:a16="http://schemas.microsoft.com/office/drawing/2014/main" id="{00000000-0008-0000-2600-000025000000}"/>
            </a:ext>
          </a:extLst>
        </xdr:cNvPr>
        <xdr:cNvPicPr>
          <a:picLocks noChangeAspect="1"/>
        </xdr:cNvPicPr>
      </xdr:nvPicPr>
      <xdr:blipFill>
        <a:blip xmlns:r="http://schemas.openxmlformats.org/officeDocument/2006/relationships" r:embed="rId2"/>
        <a:stretch>
          <a:fillRect/>
        </a:stretch>
      </xdr:blipFill>
      <xdr:spPr>
        <a:xfrm>
          <a:off x="261937" y="35718"/>
          <a:ext cx="1371719" cy="64013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1</xdr:col>
      <xdr:colOff>285935</xdr:colOff>
      <xdr:row>42</xdr:row>
      <xdr:rowOff>169517</xdr:rowOff>
    </xdr:from>
    <xdr:ext cx="177356" cy="176202"/>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00000000-0008-0000-0300-000003000000}"/>
                </a:ext>
              </a:extLst>
            </xdr:cNvPr>
            <xdr:cNvSpPr txBox="1"/>
          </xdr:nvSpPr>
          <xdr:spPr>
            <a:xfrm>
              <a:off x="1314635" y="14958667"/>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bg1"/>
                            </a:solidFill>
                            <a:latin typeface="Cambria Math" panose="02040503050406030204" pitchFamily="18" charset="0"/>
                          </a:rPr>
                        </m:ctrlPr>
                      </m:accPr>
                      <m:e>
                        <m:r>
                          <a:rPr lang="es-CO" sz="1100" b="1" i="1">
                            <a:solidFill>
                              <a:schemeClr val="bg1"/>
                            </a:solidFill>
                            <a:latin typeface="Cambria Math" panose="02040503050406030204" pitchFamily="18" charset="0"/>
                            <a:ea typeface="Cambria Math" panose="02040503050406030204" pitchFamily="18" charset="0"/>
                          </a:rPr>
                          <m:t>∆</m:t>
                        </m:r>
                        <m:r>
                          <a:rPr lang="es-CO" sz="1100" b="1" i="1">
                            <a:solidFill>
                              <a:schemeClr val="bg1"/>
                            </a:solidFill>
                            <a:latin typeface="Cambria Math" panose="02040503050406030204" pitchFamily="18" charset="0"/>
                            <a:ea typeface="Cambria Math" panose="02040503050406030204" pitchFamily="18" charset="0"/>
                          </a:rPr>
                          <m:t>𝑰</m:t>
                        </m:r>
                      </m:e>
                    </m:acc>
                  </m:oMath>
                </m:oMathPara>
              </a14:m>
              <a:endParaRPr lang="es-CO" sz="1100" b="1">
                <a:solidFill>
                  <a:schemeClr val="bg1"/>
                </a:solidFill>
              </a:endParaRPr>
            </a:p>
          </xdr:txBody>
        </xdr:sp>
      </mc:Choice>
      <mc:Fallback xmlns="">
        <xdr:sp macro="" textlink="">
          <xdr:nvSpPr>
            <xdr:cNvPr id="3" name="CuadroTexto 2">
              <a:extLst>
                <a:ext uri="{FF2B5EF4-FFF2-40B4-BE49-F238E27FC236}">
                  <a16:creationId xmlns:a16="http://schemas.microsoft.com/office/drawing/2014/main" id="{48B39686-433B-43C4-A964-DC1828ED8334}"/>
                </a:ext>
              </a:extLst>
            </xdr:cNvPr>
            <xdr:cNvSpPr txBox="1"/>
          </xdr:nvSpPr>
          <xdr:spPr>
            <a:xfrm>
              <a:off x="1314635" y="14958667"/>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bg1"/>
                  </a:solidFill>
                  <a:latin typeface="Cambria Math" panose="02040503050406030204" pitchFamily="18" charset="0"/>
                </a:rPr>
                <a:t>(</a:t>
              </a:r>
              <a:r>
                <a:rPr lang="es-CO" sz="1100" b="1" i="0">
                  <a:solidFill>
                    <a:schemeClr val="bg1"/>
                  </a:solidFill>
                  <a:latin typeface="Cambria Math" panose="02040503050406030204" pitchFamily="18" charset="0"/>
                  <a:ea typeface="Cambria Math" panose="02040503050406030204" pitchFamily="18" charset="0"/>
                </a:rPr>
                <a:t>∆𝑰) ̅</a:t>
              </a:r>
              <a:endParaRPr lang="es-CO" sz="1100" b="1">
                <a:solidFill>
                  <a:schemeClr val="bg1"/>
                </a:solidFill>
              </a:endParaRPr>
            </a:p>
          </xdr:txBody>
        </xdr:sp>
      </mc:Fallback>
    </mc:AlternateContent>
    <xdr:clientData/>
  </xdr:oneCellAnchor>
  <xdr:oneCellAnchor>
    <xdr:from>
      <xdr:col>1</xdr:col>
      <xdr:colOff>136732</xdr:colOff>
      <xdr:row>58</xdr:row>
      <xdr:rowOff>253032</xdr:rowOff>
    </xdr:from>
    <xdr:ext cx="599716" cy="172227"/>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id="{00000000-0008-0000-0300-000004000000}"/>
                </a:ext>
              </a:extLst>
            </xdr:cNvPr>
            <xdr:cNvSpPr txBox="1"/>
          </xdr:nvSpPr>
          <xdr:spPr>
            <a:xfrm>
              <a:off x="1165432" y="20750832"/>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𝒘</m:t>
                        </m:r>
                      </m:sub>
                    </m:sSub>
                    <m:r>
                      <a:rPr lang="es-CO" sz="1100" b="1" i="1">
                        <a:latin typeface="Cambria Math" panose="02040503050406030204" pitchFamily="18" charset="0"/>
                      </a:rPr>
                      <m:t>(</m:t>
                    </m:r>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4" name="CuadroTexto 3">
              <a:extLst>
                <a:ext uri="{FF2B5EF4-FFF2-40B4-BE49-F238E27FC236}">
                  <a16:creationId xmlns:a16="http://schemas.microsoft.com/office/drawing/2014/main" id="{FE572943-1AAD-48F1-A4FB-E6CA07C8AF2B}"/>
                </a:ext>
              </a:extLst>
            </xdr:cNvPr>
            <xdr:cNvSpPr txBox="1"/>
          </xdr:nvSpPr>
          <xdr:spPr>
            <a:xfrm>
              <a:off x="1165432" y="20750832"/>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𝒖_𝒘 (</a:t>
              </a: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1</xdr:col>
      <xdr:colOff>202651</xdr:colOff>
      <xdr:row>61</xdr:row>
      <xdr:rowOff>265287</xdr:rowOff>
    </xdr:from>
    <xdr:ext cx="483915" cy="172227"/>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id="{00000000-0008-0000-0300-000005000000}"/>
                </a:ext>
              </a:extLst>
            </xdr:cNvPr>
            <xdr:cNvSpPr txBox="1"/>
          </xdr:nvSpPr>
          <xdr:spPr>
            <a:xfrm>
              <a:off x="1231351" y="2297288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5" name="CuadroTexto 4">
              <a:extLst>
                <a:ext uri="{FF2B5EF4-FFF2-40B4-BE49-F238E27FC236}">
                  <a16:creationId xmlns:a16="http://schemas.microsoft.com/office/drawing/2014/main" id="{BA75104A-7E2D-48CD-A5EF-F30FB72F16B8}"/>
                </a:ext>
              </a:extLst>
            </xdr:cNvPr>
            <xdr:cNvSpPr txBox="1"/>
          </xdr:nvSpPr>
          <xdr:spPr>
            <a:xfrm>
              <a:off x="1231351" y="2297288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𝒖(𝒎_𝒄𝒓)</a:t>
              </a:r>
              <a:endParaRPr lang="es-CO" sz="1100" b="1"/>
            </a:p>
          </xdr:txBody>
        </xdr:sp>
      </mc:Fallback>
    </mc:AlternateContent>
    <xdr:clientData/>
  </xdr:oneCellAnchor>
  <xdr:oneCellAnchor>
    <xdr:from>
      <xdr:col>1</xdr:col>
      <xdr:colOff>34166</xdr:colOff>
      <xdr:row>60</xdr:row>
      <xdr:rowOff>250203</xdr:rowOff>
    </xdr:from>
    <xdr:ext cx="689483" cy="172227"/>
    <mc:AlternateContent xmlns:mc="http://schemas.openxmlformats.org/markup-compatibility/2006" xmlns:a14="http://schemas.microsoft.com/office/drawing/2010/main">
      <mc:Choice Requires="a14">
        <xdr:sp macro="" textlink="">
          <xdr:nvSpPr>
            <xdr:cNvPr id="6" name="CuadroTexto 5">
              <a:extLst>
                <a:ext uri="{FF2B5EF4-FFF2-40B4-BE49-F238E27FC236}">
                  <a16:creationId xmlns:a16="http://schemas.microsoft.com/office/drawing/2014/main" id="{00000000-0008-0000-0300-000006000000}"/>
                </a:ext>
              </a:extLst>
            </xdr:cNvPr>
            <xdr:cNvSpPr txBox="1"/>
          </xdr:nvSpPr>
          <xdr:spPr>
            <a:xfrm>
              <a:off x="1062866" y="22221203"/>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𝒊𝒏𝒔𝒕</m:t>
                        </m:r>
                      </m:sub>
                    </m:sSub>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0" i="1">
                        <a:latin typeface="Cambria Math" panose="02040503050406030204" pitchFamily="18" charset="0"/>
                      </a:rPr>
                      <m:t>)</m:t>
                    </m:r>
                  </m:oMath>
                </m:oMathPara>
              </a14:m>
              <a:endParaRPr lang="es-CO" sz="1100"/>
            </a:p>
          </xdr:txBody>
        </xdr:sp>
      </mc:Choice>
      <mc:Fallback xmlns="">
        <xdr:sp macro="" textlink="">
          <xdr:nvSpPr>
            <xdr:cNvPr id="6" name="CuadroTexto 5">
              <a:extLst>
                <a:ext uri="{FF2B5EF4-FFF2-40B4-BE49-F238E27FC236}">
                  <a16:creationId xmlns:a16="http://schemas.microsoft.com/office/drawing/2014/main" id="{E09E2C95-A7B5-448F-A279-9680C762E406}"/>
                </a:ext>
              </a:extLst>
            </xdr:cNvPr>
            <xdr:cNvSpPr txBox="1"/>
          </xdr:nvSpPr>
          <xdr:spPr>
            <a:xfrm>
              <a:off x="1062866" y="22221203"/>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𝒖_𝒊𝒏𝒔𝒕 (𝒎_𝒄𝒓</a:t>
              </a:r>
              <a:r>
                <a:rPr lang="es-CO" sz="1100" b="0" i="0">
                  <a:latin typeface="Cambria Math" panose="02040503050406030204" pitchFamily="18" charset="0"/>
                </a:rPr>
                <a:t>)</a:t>
              </a:r>
              <a:endParaRPr lang="es-CO" sz="1100"/>
            </a:p>
          </xdr:txBody>
        </xdr:sp>
      </mc:Fallback>
    </mc:AlternateContent>
    <xdr:clientData/>
  </xdr:oneCellAnchor>
  <xdr:oneCellAnchor>
    <xdr:from>
      <xdr:col>1</xdr:col>
      <xdr:colOff>183870</xdr:colOff>
      <xdr:row>62</xdr:row>
      <xdr:rowOff>264645</xdr:rowOff>
    </xdr:from>
    <xdr:ext cx="397353" cy="172227"/>
    <mc:AlternateContent xmlns:mc="http://schemas.openxmlformats.org/markup-compatibility/2006" xmlns:a14="http://schemas.microsoft.com/office/drawing/2010/main">
      <mc:Choice Requires="a14">
        <xdr:sp macro="" textlink="">
          <xdr:nvSpPr>
            <xdr:cNvPr id="7" name="CuadroTexto 6">
              <a:extLst>
                <a:ext uri="{FF2B5EF4-FFF2-40B4-BE49-F238E27FC236}">
                  <a16:creationId xmlns:a16="http://schemas.microsoft.com/office/drawing/2014/main" id="{00000000-0008-0000-0300-000007000000}"/>
                </a:ext>
              </a:extLst>
            </xdr:cNvPr>
            <xdr:cNvSpPr txBox="1"/>
          </xdr:nvSpPr>
          <xdr:spPr>
            <a:xfrm>
              <a:off x="1212570" y="23708845"/>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𝒂</m:t>
                        </m:r>
                      </m:sub>
                    </m:sSub>
                    <m:r>
                      <a:rPr lang="es-CO" sz="1100" b="1" i="1">
                        <a:latin typeface="Cambria Math" panose="02040503050406030204" pitchFamily="18" charset="0"/>
                      </a:rPr>
                      <m:t>)</m:t>
                    </m:r>
                  </m:oMath>
                </m:oMathPara>
              </a14:m>
              <a:endParaRPr lang="es-CO" sz="1100" b="1"/>
            </a:p>
          </xdr:txBody>
        </xdr:sp>
      </mc:Choice>
      <mc:Fallback xmlns="">
        <xdr:sp macro="" textlink="">
          <xdr:nvSpPr>
            <xdr:cNvPr id="7" name="CuadroTexto 6">
              <a:extLst>
                <a:ext uri="{FF2B5EF4-FFF2-40B4-BE49-F238E27FC236}">
                  <a16:creationId xmlns:a16="http://schemas.microsoft.com/office/drawing/2014/main" id="{6A699EB9-7B9F-4423-9E05-0433338A944A}"/>
                </a:ext>
              </a:extLst>
            </xdr:cNvPr>
            <xdr:cNvSpPr txBox="1"/>
          </xdr:nvSpPr>
          <xdr:spPr>
            <a:xfrm>
              <a:off x="1212570" y="23708845"/>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𝒂)</a:t>
              </a:r>
              <a:endParaRPr lang="es-CO" sz="1100" b="1"/>
            </a:p>
          </xdr:txBody>
        </xdr:sp>
      </mc:Fallback>
    </mc:AlternateContent>
    <xdr:clientData/>
  </xdr:oneCellAnchor>
  <xdr:oneCellAnchor>
    <xdr:from>
      <xdr:col>1</xdr:col>
      <xdr:colOff>186298</xdr:colOff>
      <xdr:row>63</xdr:row>
      <xdr:rowOff>266606</xdr:rowOff>
    </xdr:from>
    <xdr:ext cx="376642" cy="172227"/>
    <mc:AlternateContent xmlns:mc="http://schemas.openxmlformats.org/markup-compatibility/2006" xmlns:a14="http://schemas.microsoft.com/office/drawing/2010/main">
      <mc:Choice Requires="a14">
        <xdr:sp macro="" textlink="">
          <xdr:nvSpPr>
            <xdr:cNvPr id="8" name="CuadroTexto 7">
              <a:extLst>
                <a:ext uri="{FF2B5EF4-FFF2-40B4-BE49-F238E27FC236}">
                  <a16:creationId xmlns:a16="http://schemas.microsoft.com/office/drawing/2014/main" id="{00000000-0008-0000-0300-000008000000}"/>
                </a:ext>
              </a:extLst>
            </xdr:cNvPr>
            <xdr:cNvSpPr txBox="1"/>
          </xdr:nvSpPr>
          <xdr:spPr>
            <a:xfrm>
              <a:off x="1214998" y="244474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𝒕</m:t>
                        </m:r>
                      </m:sub>
                    </m:sSub>
                    <m:r>
                      <a:rPr lang="es-CO" sz="1100" b="1" i="1">
                        <a:latin typeface="Cambria Math" panose="02040503050406030204" pitchFamily="18" charset="0"/>
                      </a:rPr>
                      <m:t>)</m:t>
                    </m:r>
                  </m:oMath>
                </m:oMathPara>
              </a14:m>
              <a:endParaRPr lang="es-CO" sz="1100" b="1"/>
            </a:p>
          </xdr:txBody>
        </xdr:sp>
      </mc:Choice>
      <mc:Fallback xmlns="">
        <xdr:sp macro="" textlink="">
          <xdr:nvSpPr>
            <xdr:cNvPr id="8" name="CuadroTexto 7">
              <a:extLst>
                <a:ext uri="{FF2B5EF4-FFF2-40B4-BE49-F238E27FC236}">
                  <a16:creationId xmlns:a16="http://schemas.microsoft.com/office/drawing/2014/main" id="{E2E52CB4-56F8-4EBA-9C3E-EE7F0F1519F5}"/>
                </a:ext>
              </a:extLst>
            </xdr:cNvPr>
            <xdr:cNvSpPr txBox="1"/>
          </xdr:nvSpPr>
          <xdr:spPr>
            <a:xfrm>
              <a:off x="1214998" y="244474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𝒕)</a:t>
              </a:r>
              <a:endParaRPr lang="es-CO" sz="1100" b="1"/>
            </a:p>
          </xdr:txBody>
        </xdr:sp>
      </mc:Fallback>
    </mc:AlternateContent>
    <xdr:clientData/>
  </xdr:oneCellAnchor>
  <xdr:oneCellAnchor>
    <xdr:from>
      <xdr:col>1</xdr:col>
      <xdr:colOff>186298</xdr:colOff>
      <xdr:row>64</xdr:row>
      <xdr:rowOff>222250</xdr:rowOff>
    </xdr:from>
    <xdr:ext cx="388696" cy="172227"/>
    <mc:AlternateContent xmlns:mc="http://schemas.openxmlformats.org/markup-compatibility/2006" xmlns:a14="http://schemas.microsoft.com/office/drawing/2010/main">
      <mc:Choice Requires="a14">
        <xdr:sp macro="" textlink="">
          <xdr:nvSpPr>
            <xdr:cNvPr id="9" name="CuadroTexto 8">
              <a:extLst>
                <a:ext uri="{FF2B5EF4-FFF2-40B4-BE49-F238E27FC236}">
                  <a16:creationId xmlns:a16="http://schemas.microsoft.com/office/drawing/2014/main" id="{00000000-0008-0000-0300-000009000000}"/>
                </a:ext>
              </a:extLst>
            </xdr:cNvPr>
            <xdr:cNvSpPr txBox="1"/>
          </xdr:nvSpPr>
          <xdr:spPr>
            <a:xfrm>
              <a:off x="1214998" y="25139650"/>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9" name="CuadroTexto 8">
              <a:extLst>
                <a:ext uri="{FF2B5EF4-FFF2-40B4-BE49-F238E27FC236}">
                  <a16:creationId xmlns:a16="http://schemas.microsoft.com/office/drawing/2014/main" id="{07807DBE-D552-4268-829F-71C47591595C}"/>
                </a:ext>
              </a:extLst>
            </xdr:cNvPr>
            <xdr:cNvSpPr txBox="1"/>
          </xdr:nvSpPr>
          <xdr:spPr>
            <a:xfrm>
              <a:off x="1214998" y="25139650"/>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𝒓)</a:t>
              </a:r>
              <a:endParaRPr lang="es-CO" sz="1100" b="1"/>
            </a:p>
          </xdr:txBody>
        </xdr:sp>
      </mc:Fallback>
    </mc:AlternateContent>
    <xdr:clientData/>
  </xdr:oneCellAnchor>
  <xdr:oneCellAnchor>
    <xdr:from>
      <xdr:col>1</xdr:col>
      <xdr:colOff>265579</xdr:colOff>
      <xdr:row>65</xdr:row>
      <xdr:rowOff>288458</xdr:rowOff>
    </xdr:from>
    <xdr:ext cx="191271" cy="172227"/>
    <mc:AlternateContent xmlns:mc="http://schemas.openxmlformats.org/markup-compatibility/2006" xmlns:a14="http://schemas.microsoft.com/office/drawing/2010/main">
      <mc:Choice Requires="a14">
        <xdr:sp macro="" textlink="">
          <xdr:nvSpPr>
            <xdr:cNvPr id="10" name="CuadroTexto 9">
              <a:extLst>
                <a:ext uri="{FF2B5EF4-FFF2-40B4-BE49-F238E27FC236}">
                  <a16:creationId xmlns:a16="http://schemas.microsoft.com/office/drawing/2014/main" id="{00000000-0008-0000-0300-00000A000000}"/>
                </a:ext>
              </a:extLst>
            </xdr:cNvPr>
            <xdr:cNvSpPr txBox="1"/>
          </xdr:nvSpPr>
          <xdr:spPr>
            <a:xfrm>
              <a:off x="1294279" y="2594245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𝒃</m:t>
                        </m:r>
                      </m:sub>
                    </m:sSub>
                  </m:oMath>
                </m:oMathPara>
              </a14:m>
              <a:endParaRPr lang="es-CO" sz="1100" b="1"/>
            </a:p>
          </xdr:txBody>
        </xdr:sp>
      </mc:Choice>
      <mc:Fallback xmlns="">
        <xdr:sp macro="" textlink="">
          <xdr:nvSpPr>
            <xdr:cNvPr id="10" name="CuadroTexto 9">
              <a:extLst>
                <a:ext uri="{FF2B5EF4-FFF2-40B4-BE49-F238E27FC236}">
                  <a16:creationId xmlns:a16="http://schemas.microsoft.com/office/drawing/2014/main" id="{BBA62C7C-B524-4CD9-B3D2-94800D22B9C1}"/>
                </a:ext>
              </a:extLst>
            </xdr:cNvPr>
            <xdr:cNvSpPr txBox="1"/>
          </xdr:nvSpPr>
          <xdr:spPr>
            <a:xfrm>
              <a:off x="1294279" y="2594245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𝒖_𝒃</a:t>
              </a:r>
              <a:endParaRPr lang="es-CO" sz="1100" b="1"/>
            </a:p>
          </xdr:txBody>
        </xdr:sp>
      </mc:Fallback>
    </mc:AlternateContent>
    <xdr:clientData/>
  </xdr:oneCellAnchor>
  <xdr:oneCellAnchor>
    <xdr:from>
      <xdr:col>1</xdr:col>
      <xdr:colOff>261391</xdr:colOff>
      <xdr:row>66</xdr:row>
      <xdr:rowOff>294234</xdr:rowOff>
    </xdr:from>
    <xdr:ext cx="195053" cy="172227"/>
    <mc:AlternateContent xmlns:mc="http://schemas.openxmlformats.org/markup-compatibility/2006" xmlns:a14="http://schemas.microsoft.com/office/drawing/2010/main">
      <mc:Choice Requires="a14">
        <xdr:sp macro="" textlink="">
          <xdr:nvSpPr>
            <xdr:cNvPr id="11" name="CuadroTexto 10">
              <a:extLst>
                <a:ext uri="{FF2B5EF4-FFF2-40B4-BE49-F238E27FC236}">
                  <a16:creationId xmlns:a16="http://schemas.microsoft.com/office/drawing/2014/main" id="{00000000-0008-0000-0300-00000B000000}"/>
                </a:ext>
              </a:extLst>
            </xdr:cNvPr>
            <xdr:cNvSpPr txBox="1"/>
          </xdr:nvSpPr>
          <xdr:spPr>
            <a:xfrm>
              <a:off x="1290091" y="26684834"/>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𝒅</m:t>
                        </m:r>
                      </m:sub>
                    </m:sSub>
                  </m:oMath>
                </m:oMathPara>
              </a14:m>
              <a:endParaRPr lang="es-CO" sz="1100" b="1"/>
            </a:p>
          </xdr:txBody>
        </xdr:sp>
      </mc:Choice>
      <mc:Fallback xmlns="">
        <xdr:sp macro="" textlink="">
          <xdr:nvSpPr>
            <xdr:cNvPr id="11" name="CuadroTexto 10">
              <a:extLst>
                <a:ext uri="{FF2B5EF4-FFF2-40B4-BE49-F238E27FC236}">
                  <a16:creationId xmlns:a16="http://schemas.microsoft.com/office/drawing/2014/main" id="{90EC5D7C-B82F-4563-9BD6-04684BE9A19C}"/>
                </a:ext>
              </a:extLst>
            </xdr:cNvPr>
            <xdr:cNvSpPr txBox="1"/>
          </xdr:nvSpPr>
          <xdr:spPr>
            <a:xfrm>
              <a:off x="1290091" y="26684834"/>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𝒖_𝒅</a:t>
              </a:r>
              <a:endParaRPr lang="es-CO" sz="1100" b="1"/>
            </a:p>
          </xdr:txBody>
        </xdr:sp>
      </mc:Fallback>
    </mc:AlternateContent>
    <xdr:clientData/>
  </xdr:oneCellAnchor>
  <xdr:oneCellAnchor>
    <xdr:from>
      <xdr:col>5</xdr:col>
      <xdr:colOff>393571</xdr:colOff>
      <xdr:row>69</xdr:row>
      <xdr:rowOff>265119</xdr:rowOff>
    </xdr:from>
    <xdr:ext cx="529697" cy="172227"/>
    <mc:AlternateContent xmlns:mc="http://schemas.openxmlformats.org/markup-compatibility/2006" xmlns:a14="http://schemas.microsoft.com/office/drawing/2010/main">
      <mc:Choice Requires="a14">
        <xdr:sp macro="" textlink="">
          <xdr:nvSpPr>
            <xdr:cNvPr id="12" name="CuadroTexto 11">
              <a:extLst>
                <a:ext uri="{FF2B5EF4-FFF2-40B4-BE49-F238E27FC236}">
                  <a16:creationId xmlns:a16="http://schemas.microsoft.com/office/drawing/2014/main" id="{00000000-0008-0000-0300-00000C000000}"/>
                </a:ext>
              </a:extLst>
            </xdr:cNvPr>
            <xdr:cNvSpPr txBox="1"/>
          </xdr:nvSpPr>
          <xdr:spPr>
            <a:xfrm>
              <a:off x="5632321" y="28217819"/>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𝒄</m:t>
                        </m:r>
                      </m:sub>
                    </m:sSub>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12" name="CuadroTexto 11">
              <a:extLst>
                <a:ext uri="{FF2B5EF4-FFF2-40B4-BE49-F238E27FC236}">
                  <a16:creationId xmlns:a16="http://schemas.microsoft.com/office/drawing/2014/main" id="{4D985BE8-3A8D-488B-A741-F0EED8842ACC}"/>
                </a:ext>
              </a:extLst>
            </xdr:cNvPr>
            <xdr:cNvSpPr txBox="1"/>
          </xdr:nvSpPr>
          <xdr:spPr>
            <a:xfrm>
              <a:off x="5632321" y="28217819"/>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𝒖_𝒄 (</a:t>
              </a:r>
              <a:r>
                <a:rPr lang="es-CO" sz="1100" b="1" i="0">
                  <a:latin typeface="Cambria Math" panose="02040503050406030204" pitchFamily="18" charset="0"/>
                  <a:ea typeface="Cambria Math" panose="02040503050406030204" pitchFamily="18" charset="0"/>
                </a:rPr>
                <a:t>𝒎_𝒄𝒕)</a:t>
              </a:r>
              <a:endParaRPr lang="es-CO" sz="1100" b="1"/>
            </a:p>
          </xdr:txBody>
        </xdr:sp>
      </mc:Fallback>
    </mc:AlternateContent>
    <xdr:clientData/>
  </xdr:oneCellAnchor>
  <xdr:oneCellAnchor>
    <xdr:from>
      <xdr:col>5</xdr:col>
      <xdr:colOff>243965</xdr:colOff>
      <xdr:row>70</xdr:row>
      <xdr:rowOff>130277</xdr:rowOff>
    </xdr:from>
    <xdr:ext cx="780598" cy="172227"/>
    <mc:AlternateContent xmlns:mc="http://schemas.openxmlformats.org/markup-compatibility/2006" xmlns:a14="http://schemas.microsoft.com/office/drawing/2010/main">
      <mc:Choice Requires="a14">
        <xdr:sp macro="" textlink="">
          <xdr:nvSpPr>
            <xdr:cNvPr id="13" name="CuadroTexto 12">
              <a:extLst>
                <a:ext uri="{FF2B5EF4-FFF2-40B4-BE49-F238E27FC236}">
                  <a16:creationId xmlns:a16="http://schemas.microsoft.com/office/drawing/2014/main" id="{00000000-0008-0000-0300-00000D000000}"/>
                </a:ext>
              </a:extLst>
            </xdr:cNvPr>
            <xdr:cNvSpPr txBox="1"/>
          </xdr:nvSpPr>
          <xdr:spPr>
            <a:xfrm>
              <a:off x="5482715" y="2873702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100" b="1" i="1">
                      <a:latin typeface="Cambria Math" panose="02040503050406030204" pitchFamily="18" charset="0"/>
                    </a:rPr>
                    <m:t>𝑼</m:t>
                  </m:r>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a14:m>
              <a:r>
                <a:rPr lang="es-CO" sz="1100" b="1"/>
                <a:t> (k=2)</a:t>
              </a:r>
            </a:p>
          </xdr:txBody>
        </xdr:sp>
      </mc:Choice>
      <mc:Fallback xmlns="">
        <xdr:sp macro="" textlink="">
          <xdr:nvSpPr>
            <xdr:cNvPr id="13" name="CuadroTexto 12">
              <a:extLst>
                <a:ext uri="{FF2B5EF4-FFF2-40B4-BE49-F238E27FC236}">
                  <a16:creationId xmlns:a16="http://schemas.microsoft.com/office/drawing/2014/main" id="{075FA8AC-1F4F-4C32-8D7C-8A06779FC036}"/>
                </a:ext>
              </a:extLst>
            </xdr:cNvPr>
            <xdr:cNvSpPr txBox="1"/>
          </xdr:nvSpPr>
          <xdr:spPr>
            <a:xfrm>
              <a:off x="5482715" y="2873702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100" b="1" i="0">
                  <a:latin typeface="Cambria Math" panose="02040503050406030204" pitchFamily="18" charset="0"/>
                </a:rPr>
                <a:t>𝑼(</a:t>
              </a:r>
              <a:r>
                <a:rPr lang="es-CO" sz="1100" b="1" i="0">
                  <a:latin typeface="Cambria Math" panose="02040503050406030204" pitchFamily="18" charset="0"/>
                  <a:ea typeface="Cambria Math" panose="02040503050406030204" pitchFamily="18" charset="0"/>
                </a:rPr>
                <a:t>𝒎_𝒄𝒕)</a:t>
              </a:r>
              <a:r>
                <a:rPr lang="es-CO" sz="1100" b="1"/>
                <a:t> (k=2)</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14" name="CuadroTexto 13">
              <a:extLst>
                <a:ext uri="{FF2B5EF4-FFF2-40B4-BE49-F238E27FC236}">
                  <a16:creationId xmlns:a16="http://schemas.microsoft.com/office/drawing/2014/main" id="{00000000-0008-0000-0300-00000E000000}"/>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14" name="CuadroTexto 13">
              <a:extLst>
                <a:ext uri="{FF2B5EF4-FFF2-40B4-BE49-F238E27FC236}">
                  <a16:creationId xmlns:a16="http://schemas.microsoft.com/office/drawing/2014/main" id="{14D8DF17-BBA4-418A-B77D-AEC9360C5995}"/>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8</xdr:col>
      <xdr:colOff>541269</xdr:colOff>
      <xdr:row>52</xdr:row>
      <xdr:rowOff>78683</xdr:rowOff>
    </xdr:from>
    <xdr:ext cx="304571" cy="172227"/>
    <mc:AlternateContent xmlns:mc="http://schemas.openxmlformats.org/markup-compatibility/2006" xmlns:a14="http://schemas.microsoft.com/office/drawing/2010/main">
      <mc:Choice Requires="a14">
        <xdr:sp macro="" textlink="">
          <xdr:nvSpPr>
            <xdr:cNvPr id="15" name="CuadroTexto 14">
              <a:extLst>
                <a:ext uri="{FF2B5EF4-FFF2-40B4-BE49-F238E27FC236}">
                  <a16:creationId xmlns:a16="http://schemas.microsoft.com/office/drawing/2014/main" id="{00000000-0008-0000-0300-00000F000000}"/>
                </a:ext>
              </a:extLst>
            </xdr:cNvPr>
            <xdr:cNvSpPr txBox="1"/>
          </xdr:nvSpPr>
          <xdr:spPr>
            <a:xfrm>
              <a:off x="9882119" y="18595283"/>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oMath>
                </m:oMathPara>
              </a14:m>
              <a:endParaRPr lang="es-CO" sz="1100" b="1"/>
            </a:p>
          </xdr:txBody>
        </xdr:sp>
      </mc:Choice>
      <mc:Fallback xmlns="">
        <xdr:sp macro="" textlink="">
          <xdr:nvSpPr>
            <xdr:cNvPr id="15" name="CuadroTexto 14">
              <a:extLst>
                <a:ext uri="{FF2B5EF4-FFF2-40B4-BE49-F238E27FC236}">
                  <a16:creationId xmlns:a16="http://schemas.microsoft.com/office/drawing/2014/main" id="{C904426E-ECAD-45DB-B149-12664D7FF988}"/>
                </a:ext>
              </a:extLst>
            </xdr:cNvPr>
            <xdr:cNvSpPr txBox="1"/>
          </xdr:nvSpPr>
          <xdr:spPr>
            <a:xfrm>
              <a:off x="9882119" y="18595283"/>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4</xdr:col>
      <xdr:colOff>155713</xdr:colOff>
      <xdr:row>39</xdr:row>
      <xdr:rowOff>106017</xdr:rowOff>
    </xdr:from>
    <xdr:ext cx="65" cy="172227"/>
    <xdr:sp macro="" textlink="">
      <xdr:nvSpPr>
        <xdr:cNvPr id="16" name="CuadroTexto 15">
          <a:extLst>
            <a:ext uri="{FF2B5EF4-FFF2-40B4-BE49-F238E27FC236}">
              <a16:creationId xmlns:a16="http://schemas.microsoft.com/office/drawing/2014/main" id="{00000000-0008-0000-0300-000010000000}"/>
            </a:ext>
          </a:extLst>
        </xdr:cNvPr>
        <xdr:cNvSpPr txBox="1"/>
      </xdr:nvSpPr>
      <xdr:spPr>
        <a:xfrm>
          <a:off x="4308613" y="1369501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17" name="CuadroTexto 16">
              <a:extLst>
                <a:ext uri="{FF2B5EF4-FFF2-40B4-BE49-F238E27FC236}">
                  <a16:creationId xmlns:a16="http://schemas.microsoft.com/office/drawing/2014/main" id="{00000000-0008-0000-0300-000011000000}"/>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7" name="CuadroTexto 16">
              <a:extLst>
                <a:ext uri="{FF2B5EF4-FFF2-40B4-BE49-F238E27FC236}">
                  <a16:creationId xmlns:a16="http://schemas.microsoft.com/office/drawing/2014/main" id="{206CD64A-6497-4D69-A1DD-5DCC4BD6A992}"/>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18" name="CuadroTexto 17">
              <a:extLst>
                <a:ext uri="{FF2B5EF4-FFF2-40B4-BE49-F238E27FC236}">
                  <a16:creationId xmlns:a16="http://schemas.microsoft.com/office/drawing/2014/main" id="{00000000-0008-0000-0300-000012000000}"/>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18" name="CuadroTexto 17">
              <a:extLst>
                <a:ext uri="{FF2B5EF4-FFF2-40B4-BE49-F238E27FC236}">
                  <a16:creationId xmlns:a16="http://schemas.microsoft.com/office/drawing/2014/main" id="{197080E7-6525-4324-9E98-D661E0030DD3}"/>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19" name="CuadroTexto 18">
              <a:extLst>
                <a:ext uri="{FF2B5EF4-FFF2-40B4-BE49-F238E27FC236}">
                  <a16:creationId xmlns:a16="http://schemas.microsoft.com/office/drawing/2014/main" id="{00000000-0008-0000-0300-000013000000}"/>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9" name="CuadroTexto 18">
              <a:extLst>
                <a:ext uri="{FF2B5EF4-FFF2-40B4-BE49-F238E27FC236}">
                  <a16:creationId xmlns:a16="http://schemas.microsoft.com/office/drawing/2014/main" id="{E5CD5EF8-0137-4BA1-968A-21D23ABFFFB8}"/>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0" name="CuadroTexto 19">
              <a:extLst>
                <a:ext uri="{FF2B5EF4-FFF2-40B4-BE49-F238E27FC236}">
                  <a16:creationId xmlns:a16="http://schemas.microsoft.com/office/drawing/2014/main" id="{00000000-0008-0000-0300-000014000000}"/>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0" name="CuadroTexto 19">
              <a:extLst>
                <a:ext uri="{FF2B5EF4-FFF2-40B4-BE49-F238E27FC236}">
                  <a16:creationId xmlns:a16="http://schemas.microsoft.com/office/drawing/2014/main" id="{784CF693-4E64-4DF3-BEFC-E325BFDBF34E}"/>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1" name="CuadroTexto 20">
          <a:extLst>
            <a:ext uri="{FF2B5EF4-FFF2-40B4-BE49-F238E27FC236}">
              <a16:creationId xmlns:a16="http://schemas.microsoft.com/office/drawing/2014/main" id="{00000000-0008-0000-0300-000015000000}"/>
            </a:ext>
          </a:extLst>
        </xdr:cNvPr>
        <xdr:cNvSpPr txBox="1"/>
      </xdr:nvSpPr>
      <xdr:spPr>
        <a:xfrm>
          <a:off x="1376572" y="14521621"/>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3</xdr:col>
      <xdr:colOff>236456</xdr:colOff>
      <xdr:row>73</xdr:row>
      <xdr:rowOff>141002</xdr:rowOff>
    </xdr:from>
    <xdr:ext cx="730521" cy="219163"/>
    <mc:AlternateContent xmlns:mc="http://schemas.openxmlformats.org/markup-compatibility/2006" xmlns:a14="http://schemas.microsoft.com/office/drawing/2010/main">
      <mc:Choice Requires="a14">
        <xdr:sp macro="" textlink="">
          <xdr:nvSpPr>
            <xdr:cNvPr id="22" name="CuadroTexto 21">
              <a:extLst>
                <a:ext uri="{FF2B5EF4-FFF2-40B4-BE49-F238E27FC236}">
                  <a16:creationId xmlns:a16="http://schemas.microsoft.com/office/drawing/2014/main" id="{00000000-0008-0000-0300-000016000000}"/>
                </a:ext>
              </a:extLst>
            </xdr:cNvPr>
            <xdr:cNvSpPr txBox="1"/>
          </xdr:nvSpPr>
          <xdr:spPr>
            <a:xfrm>
              <a:off x="3201906" y="30062202"/>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m:t>
                  </m:r>
                  <m:sSub>
                    <m:sSubPr>
                      <m:ctrlPr>
                        <a:rPr lang="es-CO" sz="1400" b="1" i="1">
                          <a:latin typeface="Cambria Math" panose="02040503050406030204" pitchFamily="18" charset="0"/>
                          <a:ea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𝒎</m:t>
                      </m:r>
                    </m:e>
                    <m:sub>
                      <m:r>
                        <a:rPr lang="es-CO" sz="1400" b="1" i="1">
                          <a:latin typeface="Cambria Math" panose="02040503050406030204" pitchFamily="18" charset="0"/>
                          <a:ea typeface="Cambria Math" panose="02040503050406030204" pitchFamily="18" charset="0"/>
                        </a:rPr>
                        <m:t>𝒄</m:t>
                      </m:r>
                    </m:sub>
                  </m:sSub>
                </m:oMath>
              </a14:m>
              <a:r>
                <a:rPr lang="es-CO" sz="1400" b="1" i="1"/>
                <a:t> (mg</a:t>
              </a:r>
              <a:r>
                <a:rPr lang="es-CO" sz="1200" b="1" i="0"/>
                <a:t>)</a:t>
              </a:r>
            </a:p>
          </xdr:txBody>
        </xdr:sp>
      </mc:Choice>
      <mc:Fallback xmlns="">
        <xdr:sp macro="" textlink="">
          <xdr:nvSpPr>
            <xdr:cNvPr id="22" name="CuadroTexto 21">
              <a:extLst>
                <a:ext uri="{FF2B5EF4-FFF2-40B4-BE49-F238E27FC236}">
                  <a16:creationId xmlns:a16="http://schemas.microsoft.com/office/drawing/2014/main" id="{8FF43D12-8606-43C4-9574-9CBF3DBBF140}"/>
                </a:ext>
              </a:extLst>
            </xdr:cNvPr>
            <xdr:cNvSpPr txBox="1"/>
          </xdr:nvSpPr>
          <xdr:spPr>
            <a:xfrm>
              <a:off x="3201906" y="30062202"/>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400" b="1" i="0">
                  <a:latin typeface="Cambria Math" panose="02040503050406030204" pitchFamily="18" charset="0"/>
                  <a:ea typeface="Cambria Math" panose="02040503050406030204" pitchFamily="18" charset="0"/>
                </a:rPr>
                <a:t>∆𝒎_𝒄</a:t>
              </a:r>
              <a:r>
                <a:rPr lang="es-CO" sz="1400" b="1" i="1"/>
                <a:t> (mg</a:t>
              </a:r>
              <a:r>
                <a:rPr lang="es-CO" sz="1200" b="1" i="0"/>
                <a:t>)</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23" name="CuadroTexto 22">
              <a:extLst>
                <a:ext uri="{FF2B5EF4-FFF2-40B4-BE49-F238E27FC236}">
                  <a16:creationId xmlns:a16="http://schemas.microsoft.com/office/drawing/2014/main" id="{00000000-0008-0000-0300-000017000000}"/>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23" name="CuadroTexto 22">
              <a:extLst>
                <a:ext uri="{FF2B5EF4-FFF2-40B4-BE49-F238E27FC236}">
                  <a16:creationId xmlns:a16="http://schemas.microsoft.com/office/drawing/2014/main" id="{1AEA05AA-113C-498E-A3B0-52B896E10341}"/>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24" name="CuadroTexto 23">
          <a:extLst>
            <a:ext uri="{FF2B5EF4-FFF2-40B4-BE49-F238E27FC236}">
              <a16:creationId xmlns:a16="http://schemas.microsoft.com/office/drawing/2014/main" id="{00000000-0008-0000-0300-000018000000}"/>
            </a:ext>
          </a:extLst>
        </xdr:cNvPr>
        <xdr:cNvSpPr txBox="1"/>
      </xdr:nvSpPr>
      <xdr:spPr>
        <a:xfrm>
          <a:off x="4308613" y="1369501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25" name="CuadroTexto 24">
              <a:extLst>
                <a:ext uri="{FF2B5EF4-FFF2-40B4-BE49-F238E27FC236}">
                  <a16:creationId xmlns:a16="http://schemas.microsoft.com/office/drawing/2014/main" id="{00000000-0008-0000-0300-000019000000}"/>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5" name="CuadroTexto 24">
              <a:extLst>
                <a:ext uri="{FF2B5EF4-FFF2-40B4-BE49-F238E27FC236}">
                  <a16:creationId xmlns:a16="http://schemas.microsoft.com/office/drawing/2014/main" id="{94041B12-DFF1-4652-95DF-2A0B7810F16A}"/>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26" name="CuadroTexto 25">
              <a:extLst>
                <a:ext uri="{FF2B5EF4-FFF2-40B4-BE49-F238E27FC236}">
                  <a16:creationId xmlns:a16="http://schemas.microsoft.com/office/drawing/2014/main" id="{00000000-0008-0000-0300-00001A000000}"/>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6" name="CuadroTexto 25">
              <a:extLst>
                <a:ext uri="{FF2B5EF4-FFF2-40B4-BE49-F238E27FC236}">
                  <a16:creationId xmlns:a16="http://schemas.microsoft.com/office/drawing/2014/main" id="{8316296E-1190-4184-A2BE-31E90BC68E3E}"/>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27" name="CuadroTexto 26">
              <a:extLst>
                <a:ext uri="{FF2B5EF4-FFF2-40B4-BE49-F238E27FC236}">
                  <a16:creationId xmlns:a16="http://schemas.microsoft.com/office/drawing/2014/main" id="{00000000-0008-0000-0300-00001B000000}"/>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7" name="CuadroTexto 26">
              <a:extLst>
                <a:ext uri="{FF2B5EF4-FFF2-40B4-BE49-F238E27FC236}">
                  <a16:creationId xmlns:a16="http://schemas.microsoft.com/office/drawing/2014/main" id="{3C7EE899-B69C-4B04-B355-AFBBB3EF5BEA}"/>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8" name="CuadroTexto 27">
              <a:extLst>
                <a:ext uri="{FF2B5EF4-FFF2-40B4-BE49-F238E27FC236}">
                  <a16:creationId xmlns:a16="http://schemas.microsoft.com/office/drawing/2014/main" id="{00000000-0008-0000-0300-00001C000000}"/>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8" name="CuadroTexto 27">
              <a:extLst>
                <a:ext uri="{FF2B5EF4-FFF2-40B4-BE49-F238E27FC236}">
                  <a16:creationId xmlns:a16="http://schemas.microsoft.com/office/drawing/2014/main" id="{49610046-EA16-473E-87DD-B68929CAFECF}"/>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9" name="CuadroTexto 28">
          <a:extLst>
            <a:ext uri="{FF2B5EF4-FFF2-40B4-BE49-F238E27FC236}">
              <a16:creationId xmlns:a16="http://schemas.microsoft.com/office/drawing/2014/main" id="{00000000-0008-0000-0300-00001D000000}"/>
            </a:ext>
          </a:extLst>
        </xdr:cNvPr>
        <xdr:cNvSpPr txBox="1"/>
      </xdr:nvSpPr>
      <xdr:spPr>
        <a:xfrm>
          <a:off x="1376572" y="14521621"/>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30" name="CuadroTexto 29">
              <a:extLst>
                <a:ext uri="{FF2B5EF4-FFF2-40B4-BE49-F238E27FC236}">
                  <a16:creationId xmlns:a16="http://schemas.microsoft.com/office/drawing/2014/main" id="{00000000-0008-0000-0300-00001E000000}"/>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30" name="CuadroTexto 29">
              <a:extLst>
                <a:ext uri="{FF2B5EF4-FFF2-40B4-BE49-F238E27FC236}">
                  <a16:creationId xmlns:a16="http://schemas.microsoft.com/office/drawing/2014/main" id="{B2E30D50-7BB1-4011-A409-95EEC9321D62}"/>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31" name="CuadroTexto 30">
          <a:extLst>
            <a:ext uri="{FF2B5EF4-FFF2-40B4-BE49-F238E27FC236}">
              <a16:creationId xmlns:a16="http://schemas.microsoft.com/office/drawing/2014/main" id="{00000000-0008-0000-0300-00001F000000}"/>
            </a:ext>
          </a:extLst>
        </xdr:cNvPr>
        <xdr:cNvSpPr txBox="1"/>
      </xdr:nvSpPr>
      <xdr:spPr>
        <a:xfrm>
          <a:off x="4308613" y="1369501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32" name="CuadroTexto 31">
              <a:extLst>
                <a:ext uri="{FF2B5EF4-FFF2-40B4-BE49-F238E27FC236}">
                  <a16:creationId xmlns:a16="http://schemas.microsoft.com/office/drawing/2014/main" id="{00000000-0008-0000-0300-000020000000}"/>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2" name="CuadroTexto 31">
              <a:extLst>
                <a:ext uri="{FF2B5EF4-FFF2-40B4-BE49-F238E27FC236}">
                  <a16:creationId xmlns:a16="http://schemas.microsoft.com/office/drawing/2014/main" id="{74CEFF63-05D8-4A64-9492-22435CFD3579}"/>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33" name="CuadroTexto 32">
              <a:extLst>
                <a:ext uri="{FF2B5EF4-FFF2-40B4-BE49-F238E27FC236}">
                  <a16:creationId xmlns:a16="http://schemas.microsoft.com/office/drawing/2014/main" id="{00000000-0008-0000-0300-000021000000}"/>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3" name="CuadroTexto 32">
              <a:extLst>
                <a:ext uri="{FF2B5EF4-FFF2-40B4-BE49-F238E27FC236}">
                  <a16:creationId xmlns:a16="http://schemas.microsoft.com/office/drawing/2014/main" id="{103C053D-01C0-4C51-A5AD-E87215C761E4}"/>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34" name="CuadroTexto 33">
              <a:extLst>
                <a:ext uri="{FF2B5EF4-FFF2-40B4-BE49-F238E27FC236}">
                  <a16:creationId xmlns:a16="http://schemas.microsoft.com/office/drawing/2014/main" id="{00000000-0008-0000-0300-000022000000}"/>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4" name="CuadroTexto 33">
              <a:extLst>
                <a:ext uri="{FF2B5EF4-FFF2-40B4-BE49-F238E27FC236}">
                  <a16:creationId xmlns:a16="http://schemas.microsoft.com/office/drawing/2014/main" id="{C47042AD-8DA6-4AC0-9086-F653B38896AE}"/>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35" name="CuadroTexto 34">
              <a:extLst>
                <a:ext uri="{FF2B5EF4-FFF2-40B4-BE49-F238E27FC236}">
                  <a16:creationId xmlns:a16="http://schemas.microsoft.com/office/drawing/2014/main" id="{00000000-0008-0000-0300-000023000000}"/>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5" name="CuadroTexto 34">
              <a:extLst>
                <a:ext uri="{FF2B5EF4-FFF2-40B4-BE49-F238E27FC236}">
                  <a16:creationId xmlns:a16="http://schemas.microsoft.com/office/drawing/2014/main" id="{9B3793EE-EC1C-40C4-91B8-624522F5178E}"/>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36" name="CuadroTexto 35">
          <a:extLst>
            <a:ext uri="{FF2B5EF4-FFF2-40B4-BE49-F238E27FC236}">
              <a16:creationId xmlns:a16="http://schemas.microsoft.com/office/drawing/2014/main" id="{00000000-0008-0000-0300-000024000000}"/>
            </a:ext>
          </a:extLst>
        </xdr:cNvPr>
        <xdr:cNvSpPr txBox="1"/>
      </xdr:nvSpPr>
      <xdr:spPr>
        <a:xfrm>
          <a:off x="1376572" y="14521621"/>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11</xdr:col>
      <xdr:colOff>628650</xdr:colOff>
      <xdr:row>61</xdr:row>
      <xdr:rowOff>0</xdr:rowOff>
    </xdr:from>
    <xdr:ext cx="65" cy="172227"/>
    <xdr:sp macro="" textlink="">
      <xdr:nvSpPr>
        <xdr:cNvPr id="37" name="CuadroTexto 36">
          <a:extLst>
            <a:ext uri="{FF2B5EF4-FFF2-40B4-BE49-F238E27FC236}">
              <a16:creationId xmlns:a16="http://schemas.microsoft.com/office/drawing/2014/main" id="{00000000-0008-0000-0300-000025000000}"/>
            </a:ext>
          </a:extLst>
        </xdr:cNvPr>
        <xdr:cNvSpPr txBox="1"/>
      </xdr:nvSpPr>
      <xdr:spPr>
        <a:xfrm>
          <a:off x="12693650" y="22707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5</xdr:col>
      <xdr:colOff>539750</xdr:colOff>
      <xdr:row>73</xdr:row>
      <xdr:rowOff>158749</xdr:rowOff>
    </xdr:from>
    <xdr:ext cx="984250" cy="210507"/>
    <mc:AlternateContent xmlns:mc="http://schemas.openxmlformats.org/markup-compatibility/2006" xmlns:a14="http://schemas.microsoft.com/office/drawing/2010/main">
      <mc:Choice Requires="a14">
        <xdr:sp macro="" textlink="">
          <xdr:nvSpPr>
            <xdr:cNvPr id="38" name="CuadroTexto 37">
              <a:extLst>
                <a:ext uri="{FF2B5EF4-FFF2-40B4-BE49-F238E27FC236}">
                  <a16:creationId xmlns:a16="http://schemas.microsoft.com/office/drawing/2014/main" id="{00000000-0008-0000-0300-000026000000}"/>
                </a:ext>
              </a:extLst>
            </xdr:cNvPr>
            <xdr:cNvSpPr txBox="1"/>
          </xdr:nvSpPr>
          <xdr:spPr>
            <a:xfrm>
              <a:off x="5778500" y="30079949"/>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𝒆</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38" name="CuadroTexto 37">
              <a:extLst>
                <a:ext uri="{FF2B5EF4-FFF2-40B4-BE49-F238E27FC236}">
                  <a16:creationId xmlns:a16="http://schemas.microsoft.com/office/drawing/2014/main" id="{F528ECE6-8C27-438A-90B3-DD8F8679E251}"/>
                </a:ext>
              </a:extLst>
            </xdr:cNvPr>
            <xdr:cNvSpPr txBox="1"/>
          </xdr:nvSpPr>
          <xdr:spPr>
            <a:xfrm>
              <a:off x="5778500" y="30079949"/>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𝒆 𝒄𝒕</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4</xdr:col>
      <xdr:colOff>52917</xdr:colOff>
      <xdr:row>73</xdr:row>
      <xdr:rowOff>148167</xdr:rowOff>
    </xdr:from>
    <xdr:ext cx="984250" cy="210507"/>
    <mc:AlternateContent xmlns:mc="http://schemas.openxmlformats.org/markup-compatibility/2006" xmlns:a14="http://schemas.microsoft.com/office/drawing/2010/main">
      <mc:Choice Requires="a14">
        <xdr:sp macro="" textlink="">
          <xdr:nvSpPr>
            <xdr:cNvPr id="39" name="CuadroTexto 38">
              <a:extLst>
                <a:ext uri="{FF2B5EF4-FFF2-40B4-BE49-F238E27FC236}">
                  <a16:creationId xmlns:a16="http://schemas.microsoft.com/office/drawing/2014/main" id="{00000000-0008-0000-0300-000027000000}"/>
                </a:ext>
              </a:extLst>
            </xdr:cNvPr>
            <xdr:cNvSpPr txBox="1"/>
          </xdr:nvSpPr>
          <xdr:spPr>
            <a:xfrm>
              <a:off x="4205817" y="30069367"/>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39" name="CuadroTexto 38">
              <a:extLst>
                <a:ext uri="{FF2B5EF4-FFF2-40B4-BE49-F238E27FC236}">
                  <a16:creationId xmlns:a16="http://schemas.microsoft.com/office/drawing/2014/main" id="{37A9B3ED-2AD3-49DB-90B3-525582AEAEA4}"/>
                </a:ext>
              </a:extLst>
            </xdr:cNvPr>
            <xdr:cNvSpPr txBox="1"/>
          </xdr:nvSpPr>
          <xdr:spPr>
            <a:xfrm>
              <a:off x="4205817" y="30069367"/>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𝒄𝒕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1</xdr:col>
      <xdr:colOff>59530</xdr:colOff>
      <xdr:row>73</xdr:row>
      <xdr:rowOff>95250</xdr:rowOff>
    </xdr:from>
    <xdr:ext cx="892969" cy="210507"/>
    <mc:AlternateContent xmlns:mc="http://schemas.openxmlformats.org/markup-compatibility/2006" xmlns:a14="http://schemas.microsoft.com/office/drawing/2010/main">
      <mc:Choice Requires="a14">
        <xdr:sp macro="" textlink="">
          <xdr:nvSpPr>
            <xdr:cNvPr id="40" name="CuadroTexto 39">
              <a:extLst>
                <a:ext uri="{FF2B5EF4-FFF2-40B4-BE49-F238E27FC236}">
                  <a16:creationId xmlns:a16="http://schemas.microsoft.com/office/drawing/2014/main" id="{00000000-0008-0000-0300-000028000000}"/>
                </a:ext>
              </a:extLst>
            </xdr:cNvPr>
            <xdr:cNvSpPr txBox="1"/>
          </xdr:nvSpPr>
          <xdr:spPr>
            <a:xfrm>
              <a:off x="1091405" y="29908500"/>
              <a:ext cx="892969"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𝑵𝒓</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0" name="CuadroTexto 39">
              <a:extLst>
                <a:ext uri="{FF2B5EF4-FFF2-40B4-BE49-F238E27FC236}">
                  <a16:creationId xmlns:a16="http://schemas.microsoft.com/office/drawing/2014/main" id="{7870F63F-DFC1-4DA0-A9C1-6DF0207AA92A}"/>
                </a:ext>
              </a:extLst>
            </xdr:cNvPr>
            <xdr:cNvSpPr txBox="1"/>
          </xdr:nvSpPr>
          <xdr:spPr>
            <a:xfrm>
              <a:off x="1091405" y="29908500"/>
              <a:ext cx="892969"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𝑵𝒓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8</xdr:col>
      <xdr:colOff>624417</xdr:colOff>
      <xdr:row>73</xdr:row>
      <xdr:rowOff>285751</xdr:rowOff>
    </xdr:from>
    <xdr:ext cx="1524000" cy="210507"/>
    <mc:AlternateContent xmlns:mc="http://schemas.openxmlformats.org/markup-compatibility/2006" xmlns:a14="http://schemas.microsoft.com/office/drawing/2010/main">
      <mc:Choice Requires="a14">
        <xdr:sp macro="" textlink="">
          <xdr:nvSpPr>
            <xdr:cNvPr id="41" name="CuadroTexto 40">
              <a:extLst>
                <a:ext uri="{FF2B5EF4-FFF2-40B4-BE49-F238E27FC236}">
                  <a16:creationId xmlns:a16="http://schemas.microsoft.com/office/drawing/2014/main" id="{00000000-0008-0000-0300-000029000000}"/>
                </a:ext>
              </a:extLst>
            </xdr:cNvPr>
            <xdr:cNvSpPr txBox="1"/>
          </xdr:nvSpPr>
          <xdr:spPr>
            <a:xfrm>
              <a:off x="9965267" y="30206951"/>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𝑼</m:t>
                  </m:r>
                  <m:r>
                    <a:rPr lang="es-CO" sz="1400" b="1" i="1">
                      <a:latin typeface="Cambria Math" panose="02040503050406030204" pitchFamily="18" charset="0"/>
                      <a:ea typeface="Cambria Math" panose="02040503050406030204" pitchFamily="18" charset="0"/>
                    </a:rPr>
                    <m:t> </m:t>
                  </m:r>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 </m:t>
                  </m:r>
                  <m:r>
                    <a:rPr lang="es-CO" sz="1400" b="1" i="1">
                      <a:latin typeface="Cambria Math" panose="02040503050406030204" pitchFamily="18" charset="0"/>
                      <a:ea typeface="Cambria Math" panose="02040503050406030204" pitchFamily="18" charset="0"/>
                    </a:rPr>
                    <m:t>𝒌</m:t>
                  </m:r>
                  <m:r>
                    <a:rPr lang="es-CO" sz="1400" b="1" i="1">
                      <a:latin typeface="Cambria Math" panose="02040503050406030204" pitchFamily="18" charset="0"/>
                      <a:ea typeface="Cambria Math" panose="02040503050406030204" pitchFamily="18" charset="0"/>
                    </a:rPr>
                    <m:t>=</m:t>
                  </m:r>
                  <m:r>
                    <a:rPr lang="es-CO" sz="1400" b="1" i="1">
                      <a:latin typeface="Cambria Math" panose="02040503050406030204" pitchFamily="18" charset="0"/>
                      <a:ea typeface="Cambria Math" panose="02040503050406030204" pitchFamily="18" charset="0"/>
                    </a:rPr>
                    <m:t>𝟐</m:t>
                  </m:r>
                </m:oMath>
              </a14:m>
              <a:r>
                <a:rPr lang="es-CO" sz="1400" b="1" i="1">
                  <a:latin typeface="Arial" panose="020B0604020202020204" pitchFamily="34" charset="0"/>
                  <a:cs typeface="Arial" panose="020B0604020202020204" pitchFamily="34" charset="0"/>
                </a:rPr>
                <a:t>)</a:t>
              </a:r>
            </a:p>
          </xdr:txBody>
        </xdr:sp>
      </mc:Choice>
      <mc:Fallback xmlns="">
        <xdr:sp macro="" textlink="">
          <xdr:nvSpPr>
            <xdr:cNvPr id="41" name="CuadroTexto 40">
              <a:extLst>
                <a:ext uri="{FF2B5EF4-FFF2-40B4-BE49-F238E27FC236}">
                  <a16:creationId xmlns:a16="http://schemas.microsoft.com/office/drawing/2014/main" id="{C32B1ACF-EE5A-4A4B-A83B-EF9F397CA057}"/>
                </a:ext>
              </a:extLst>
            </xdr:cNvPr>
            <xdr:cNvSpPr txBox="1"/>
          </xdr:nvSpPr>
          <xdr:spPr>
            <a:xfrm>
              <a:off x="9965267" y="30206951"/>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0">
                  <a:latin typeface="Cambria Math" panose="02040503050406030204" pitchFamily="18" charset="0"/>
                  <a:ea typeface="Cambria Math" panose="02040503050406030204" pitchFamily="18" charset="0"/>
                </a:rPr>
                <a:t>𝑼 ( 𝒎 𝒄𝒕 )  ( 𝒌=𝟐</a:t>
              </a:r>
              <a:r>
                <a:rPr lang="es-CO" sz="1400" b="1" i="1">
                  <a:latin typeface="Arial" panose="020B0604020202020204" pitchFamily="34" charset="0"/>
                  <a:cs typeface="Arial" panose="020B0604020202020204" pitchFamily="34" charset="0"/>
                </a:rPr>
                <a:t>)</a:t>
              </a:r>
            </a:p>
          </xdr:txBody>
        </xdr:sp>
      </mc:Fallback>
    </mc:AlternateContent>
    <xdr:clientData/>
  </xdr:oneCellAnchor>
  <xdr:oneCellAnchor>
    <xdr:from>
      <xdr:col>9</xdr:col>
      <xdr:colOff>603252</xdr:colOff>
      <xdr:row>74</xdr:row>
      <xdr:rowOff>84667</xdr:rowOff>
    </xdr:from>
    <xdr:ext cx="465666" cy="219163"/>
    <xdr:sp macro="" textlink="">
      <xdr:nvSpPr>
        <xdr:cNvPr id="42" name="CuadroTexto 41">
          <a:extLst>
            <a:ext uri="{FF2B5EF4-FFF2-40B4-BE49-F238E27FC236}">
              <a16:creationId xmlns:a16="http://schemas.microsoft.com/office/drawing/2014/main" id="{00000000-0008-0000-0300-00002A000000}"/>
            </a:ext>
          </a:extLst>
        </xdr:cNvPr>
        <xdr:cNvSpPr txBox="1"/>
      </xdr:nvSpPr>
      <xdr:spPr>
        <a:xfrm>
          <a:off x="10909302" y="30520217"/>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9</xdr:col>
      <xdr:colOff>571499</xdr:colOff>
      <xdr:row>75</xdr:row>
      <xdr:rowOff>116416</xdr:rowOff>
    </xdr:from>
    <xdr:ext cx="359835" cy="219163"/>
    <xdr:sp macro="" textlink="">
      <xdr:nvSpPr>
        <xdr:cNvPr id="43" name="CuadroTexto 42">
          <a:extLst>
            <a:ext uri="{FF2B5EF4-FFF2-40B4-BE49-F238E27FC236}">
              <a16:creationId xmlns:a16="http://schemas.microsoft.com/office/drawing/2014/main" id="{00000000-0008-0000-0300-00002B000000}"/>
            </a:ext>
          </a:extLst>
        </xdr:cNvPr>
        <xdr:cNvSpPr txBox="1"/>
      </xdr:nvSpPr>
      <xdr:spPr>
        <a:xfrm>
          <a:off x="10877549" y="30996466"/>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6</xdr:col>
      <xdr:colOff>275167</xdr:colOff>
      <xdr:row>74</xdr:row>
      <xdr:rowOff>148166</xdr:rowOff>
    </xdr:from>
    <xdr:ext cx="465666" cy="219163"/>
    <xdr:sp macro="" textlink="">
      <xdr:nvSpPr>
        <xdr:cNvPr id="44" name="CuadroTexto 43">
          <a:extLst>
            <a:ext uri="{FF2B5EF4-FFF2-40B4-BE49-F238E27FC236}">
              <a16:creationId xmlns:a16="http://schemas.microsoft.com/office/drawing/2014/main" id="{00000000-0008-0000-0300-00002C000000}"/>
            </a:ext>
          </a:extLst>
        </xdr:cNvPr>
        <xdr:cNvSpPr txBox="1"/>
      </xdr:nvSpPr>
      <xdr:spPr>
        <a:xfrm>
          <a:off x="6809317" y="30583716"/>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6</xdr:col>
      <xdr:colOff>328083</xdr:colOff>
      <xdr:row>75</xdr:row>
      <xdr:rowOff>84667</xdr:rowOff>
    </xdr:from>
    <xdr:ext cx="359835" cy="219163"/>
    <xdr:sp macro="" textlink="">
      <xdr:nvSpPr>
        <xdr:cNvPr id="45" name="CuadroTexto 44">
          <a:extLst>
            <a:ext uri="{FF2B5EF4-FFF2-40B4-BE49-F238E27FC236}">
              <a16:creationId xmlns:a16="http://schemas.microsoft.com/office/drawing/2014/main" id="{00000000-0008-0000-0300-00002D000000}"/>
            </a:ext>
          </a:extLst>
        </xdr:cNvPr>
        <xdr:cNvSpPr txBox="1"/>
      </xdr:nvSpPr>
      <xdr:spPr>
        <a:xfrm>
          <a:off x="6862233" y="30964717"/>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3</xdr:col>
      <xdr:colOff>560916</xdr:colOff>
      <xdr:row>72</xdr:row>
      <xdr:rowOff>74084</xdr:rowOff>
    </xdr:from>
    <xdr:ext cx="1524000" cy="210507"/>
    <mc:AlternateContent xmlns:mc="http://schemas.openxmlformats.org/markup-compatibility/2006" xmlns:a14="http://schemas.microsoft.com/office/drawing/2010/main">
      <mc:Choice Requires="a14">
        <xdr:sp macro="" textlink="">
          <xdr:nvSpPr>
            <xdr:cNvPr id="46" name="CuadroTexto 45">
              <a:extLst>
                <a:ext uri="{FF2B5EF4-FFF2-40B4-BE49-F238E27FC236}">
                  <a16:creationId xmlns:a16="http://schemas.microsoft.com/office/drawing/2014/main" id="{00000000-0008-0000-0300-00002E000000}"/>
                </a:ext>
              </a:extLst>
            </xdr:cNvPr>
            <xdr:cNvSpPr txBox="1"/>
          </xdr:nvSpPr>
          <xdr:spPr>
            <a:xfrm>
              <a:off x="3526366" y="29550784"/>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m:t>
                    </m:r>
                  </m:oMath>
                </m:oMathPara>
              </a14:m>
              <a:endParaRPr lang="es-CO" sz="1400" b="1" i="1">
                <a:latin typeface="Arial" panose="020B0604020202020204" pitchFamily="34" charset="0"/>
                <a:cs typeface="Arial" panose="020B0604020202020204" pitchFamily="34" charset="0"/>
              </a:endParaRPr>
            </a:p>
          </xdr:txBody>
        </xdr:sp>
      </mc:Choice>
      <mc:Fallback xmlns="">
        <xdr:sp macro="" textlink="">
          <xdr:nvSpPr>
            <xdr:cNvPr id="46" name="CuadroTexto 45">
              <a:extLst>
                <a:ext uri="{FF2B5EF4-FFF2-40B4-BE49-F238E27FC236}">
                  <a16:creationId xmlns:a16="http://schemas.microsoft.com/office/drawing/2014/main" id="{8A930622-55B5-4543-83F9-4E4FF1B59D63}"/>
                </a:ext>
              </a:extLst>
            </xdr:cNvPr>
            <xdr:cNvSpPr txBox="1"/>
          </xdr:nvSpPr>
          <xdr:spPr>
            <a:xfrm>
              <a:off x="3526366" y="29550784"/>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 𝒎 𝒄𝒕 )   </a:t>
              </a:r>
              <a:endParaRPr lang="es-CO" sz="1400" b="1" i="1">
                <a:latin typeface="Arial" panose="020B0604020202020204" pitchFamily="34" charset="0"/>
                <a:cs typeface="Arial" panose="020B0604020202020204" pitchFamily="34" charset="0"/>
              </a:endParaRPr>
            </a:p>
          </xdr:txBody>
        </xdr:sp>
      </mc:Fallback>
    </mc:AlternateContent>
    <xdr:clientData/>
  </xdr:oneCellAnchor>
  <xdr:oneCellAnchor>
    <xdr:from>
      <xdr:col>7</xdr:col>
      <xdr:colOff>411956</xdr:colOff>
      <xdr:row>71</xdr:row>
      <xdr:rowOff>406003</xdr:rowOff>
    </xdr:from>
    <xdr:ext cx="65" cy="172227"/>
    <xdr:sp macro="" textlink="">
      <xdr:nvSpPr>
        <xdr:cNvPr id="47" name="CuadroTexto 46">
          <a:extLst>
            <a:ext uri="{FF2B5EF4-FFF2-40B4-BE49-F238E27FC236}">
              <a16:creationId xmlns:a16="http://schemas.microsoft.com/office/drawing/2014/main" id="{00000000-0008-0000-0300-00002F000000}"/>
            </a:ext>
          </a:extLst>
        </xdr:cNvPr>
        <xdr:cNvSpPr txBox="1"/>
      </xdr:nvSpPr>
      <xdr:spPr>
        <a:xfrm>
          <a:off x="8044656" y="29457253"/>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49" name="CuadroTexto 48">
              <a:extLst>
                <a:ext uri="{FF2B5EF4-FFF2-40B4-BE49-F238E27FC236}">
                  <a16:creationId xmlns:a16="http://schemas.microsoft.com/office/drawing/2014/main" id="{00000000-0008-0000-0300-000031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49" name="CuadroTexto 48">
              <a:extLst>
                <a:ext uri="{FF2B5EF4-FFF2-40B4-BE49-F238E27FC236}">
                  <a16:creationId xmlns:a16="http://schemas.microsoft.com/office/drawing/2014/main" id="{53D85714-F689-4E41-89AA-4BED84557FE7}"/>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50" name="CuadroTexto 49">
              <a:extLst>
                <a:ext uri="{FF2B5EF4-FFF2-40B4-BE49-F238E27FC236}">
                  <a16:creationId xmlns:a16="http://schemas.microsoft.com/office/drawing/2014/main" id="{00000000-0008-0000-0300-000032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50" name="CuadroTexto 49">
              <a:extLst>
                <a:ext uri="{FF2B5EF4-FFF2-40B4-BE49-F238E27FC236}">
                  <a16:creationId xmlns:a16="http://schemas.microsoft.com/office/drawing/2014/main" id="{2532A77A-E77F-4790-9C7D-E1B558F45BD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twoCellAnchor>
    <xdr:from>
      <xdr:col>7</xdr:col>
      <xdr:colOff>928688</xdr:colOff>
      <xdr:row>62</xdr:row>
      <xdr:rowOff>285750</xdr:rowOff>
    </xdr:from>
    <xdr:to>
      <xdr:col>12</xdr:col>
      <xdr:colOff>63500</xdr:colOff>
      <xdr:row>64</xdr:row>
      <xdr:rowOff>555625</xdr:rowOff>
    </xdr:to>
    <xdr:graphicFrame macro="">
      <xdr:nvGraphicFramePr>
        <xdr:cNvPr id="52" name="Gráfico 51">
          <a:extLst>
            <a:ext uri="{FF2B5EF4-FFF2-40B4-BE49-F238E27FC236}">
              <a16:creationId xmlns:a16="http://schemas.microsoft.com/office/drawing/2014/main" id="{00000000-0008-0000-0300-00003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250031</xdr:colOff>
      <xdr:row>0</xdr:row>
      <xdr:rowOff>35718</xdr:rowOff>
    </xdr:from>
    <xdr:to>
      <xdr:col>1</xdr:col>
      <xdr:colOff>590568</xdr:colOff>
      <xdr:row>0</xdr:row>
      <xdr:rowOff>651467</xdr:rowOff>
    </xdr:to>
    <xdr:pic>
      <xdr:nvPicPr>
        <xdr:cNvPr id="48" name="47 Imagen">
          <a:extLst>
            <a:ext uri="{FF2B5EF4-FFF2-40B4-BE49-F238E27FC236}">
              <a16:creationId xmlns:a16="http://schemas.microsoft.com/office/drawing/2014/main" id="{00000000-0008-0000-0300-000030000000}"/>
            </a:ext>
          </a:extLst>
        </xdr:cNvPr>
        <xdr:cNvPicPr>
          <a:picLocks noChangeAspect="1"/>
        </xdr:cNvPicPr>
      </xdr:nvPicPr>
      <xdr:blipFill>
        <a:blip xmlns:r="http://schemas.openxmlformats.org/officeDocument/2006/relationships" r:embed="rId2"/>
        <a:stretch>
          <a:fillRect/>
        </a:stretch>
      </xdr:blipFill>
      <xdr:spPr>
        <a:xfrm>
          <a:off x="250031" y="35718"/>
          <a:ext cx="1316850" cy="615749"/>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oneCellAnchor>
    <xdr:from>
      <xdr:col>3</xdr:col>
      <xdr:colOff>59530</xdr:colOff>
      <xdr:row>63</xdr:row>
      <xdr:rowOff>102392</xdr:rowOff>
    </xdr:from>
    <xdr:ext cx="3692934" cy="210507"/>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00000000-0008-0000-2700-000002000000}"/>
                </a:ext>
              </a:extLst>
            </xdr:cNvPr>
            <xdr:cNvSpPr txBox="1"/>
          </xdr:nvSpPr>
          <xdr:spPr>
            <a:xfrm>
              <a:off x="2607468" y="21878923"/>
              <a:ext cx="3692934" cy="210507"/>
            </a:xfrm>
            <a:prstGeom prst="rect">
              <a:avLst/>
            </a:prstGeom>
            <a:noFill/>
            <a:ln>
              <a:noFill/>
            </a:ln>
          </xdr:spPr>
          <xdr:style>
            <a:lnRef idx="2">
              <a:schemeClr val="dk1"/>
            </a:lnRef>
            <a:fillRef idx="1">
              <a:schemeClr val="lt1"/>
            </a:fillRef>
            <a:effectRef idx="0">
              <a:schemeClr val="dk1"/>
            </a:effectRef>
            <a:fontRef idx="minor">
              <a:schemeClr val="dk1"/>
            </a:fontRef>
          </xdr:style>
          <xdr:txBody>
            <a:bodyPr vertOverflow="clip" horzOverflow="clip" wrap="none" lIns="0" tIns="0" rIns="0" bIns="0" rtlCol="0" anchor="t">
              <a:spAutoFit/>
            </a:bodyPr>
            <a:lstStyle/>
            <a:p>
              <a14:m>
                <m:oMath xmlns:m="http://schemas.openxmlformats.org/officeDocument/2006/math">
                  <m:r>
                    <a:rPr lang="es-CO" sz="1400" b="0" i="1">
                      <a:solidFill>
                        <a:schemeClr val="bg1"/>
                      </a:solidFill>
                      <a:latin typeface="Cambria Math" panose="02040503050406030204" pitchFamily="18" charset="0"/>
                      <a:ea typeface="Cambria Math" panose="02040503050406030204" pitchFamily="18" charset="0"/>
                    </a:rPr>
                    <m:t>𝑅𝑒𝑔𝑙𝑎</m:t>
                  </m:r>
                  <m:r>
                    <a:rPr lang="es-CO" sz="1400" b="0" i="1">
                      <a:solidFill>
                        <a:schemeClr val="bg1"/>
                      </a:solidFill>
                      <a:latin typeface="Cambria Math" panose="02040503050406030204" pitchFamily="18" charset="0"/>
                      <a:ea typeface="Cambria Math" panose="02040503050406030204" pitchFamily="18" charset="0"/>
                    </a:rPr>
                    <m:t> </m:t>
                  </m:r>
                  <m:r>
                    <a:rPr lang="es-CO" sz="1400" b="0" i="1">
                      <a:solidFill>
                        <a:schemeClr val="bg1"/>
                      </a:solidFill>
                      <a:latin typeface="Cambria Math" panose="02040503050406030204" pitchFamily="18" charset="0"/>
                      <a:ea typeface="Cambria Math" panose="02040503050406030204" pitchFamily="18" charset="0"/>
                    </a:rPr>
                    <m:t>𝑑𝑒</m:t>
                  </m:r>
                  <m:r>
                    <a:rPr lang="es-CO" sz="1400" b="0" i="1">
                      <a:solidFill>
                        <a:schemeClr val="bg1"/>
                      </a:solidFill>
                      <a:latin typeface="Cambria Math" panose="02040503050406030204" pitchFamily="18" charset="0"/>
                      <a:ea typeface="Cambria Math" panose="02040503050406030204" pitchFamily="18" charset="0"/>
                    </a:rPr>
                    <m:t> </m:t>
                  </m:r>
                  <m:r>
                    <a:rPr lang="es-CO" sz="1400" b="0" i="1">
                      <a:solidFill>
                        <a:schemeClr val="bg1"/>
                      </a:solidFill>
                      <a:latin typeface="Cambria Math" panose="02040503050406030204" pitchFamily="18" charset="0"/>
                      <a:ea typeface="Cambria Math" panose="02040503050406030204" pitchFamily="18" charset="0"/>
                    </a:rPr>
                    <m:t>𝑑𝑒𝑐𝑖𝑠𝑖</m:t>
                  </m:r>
                  <m:r>
                    <a:rPr lang="es-CO" sz="1400" b="0" i="1">
                      <a:solidFill>
                        <a:schemeClr val="bg1"/>
                      </a:solidFill>
                      <a:latin typeface="Cambria Math" panose="02040503050406030204" pitchFamily="18" charset="0"/>
                      <a:ea typeface="Cambria Math" panose="02040503050406030204" pitchFamily="18" charset="0"/>
                    </a:rPr>
                    <m:t>ó</m:t>
                  </m:r>
                  <m:r>
                    <a:rPr lang="es-CO" sz="1400" b="0" i="1">
                      <a:solidFill>
                        <a:schemeClr val="bg1"/>
                      </a:solidFill>
                      <a:latin typeface="Cambria Math" panose="02040503050406030204" pitchFamily="18" charset="0"/>
                      <a:ea typeface="Cambria Math" panose="02040503050406030204" pitchFamily="18" charset="0"/>
                    </a:rPr>
                    <m:t>𝑛</m:t>
                  </m:r>
                  <m:r>
                    <a:rPr lang="es-CO" sz="1400" b="0" i="1">
                      <a:solidFill>
                        <a:schemeClr val="bg1"/>
                      </a:solidFill>
                      <a:latin typeface="Cambria Math" panose="02040503050406030204" pitchFamily="18" charset="0"/>
                      <a:ea typeface="Cambria Math" panose="02040503050406030204" pitchFamily="18" charset="0"/>
                    </a:rPr>
                    <m:t>=|</m:t>
                  </m:r>
                  <m:r>
                    <a:rPr lang="es-CO" sz="1400" b="0" i="1">
                      <a:solidFill>
                        <a:schemeClr val="bg1"/>
                      </a:solidFill>
                      <a:latin typeface="Cambria Math" panose="02040503050406030204" pitchFamily="18" charset="0"/>
                      <a:ea typeface="Cambria Math" panose="02040503050406030204" pitchFamily="18" charset="0"/>
                    </a:rPr>
                    <m:t>𝐸</m:t>
                  </m:r>
                  <m:r>
                    <a:rPr lang="es-CO" sz="1400" b="0" i="1">
                      <a:solidFill>
                        <a:schemeClr val="bg1"/>
                      </a:solidFill>
                      <a:latin typeface="Cambria Math" panose="02040503050406030204" pitchFamily="18" charset="0"/>
                      <a:ea typeface="Cambria Math" panose="02040503050406030204" pitchFamily="18" charset="0"/>
                    </a:rPr>
                    <m:t>|+</m:t>
                  </m:r>
                  <m:r>
                    <a:rPr lang="es-CO" sz="1400" b="0" i="1">
                      <a:solidFill>
                        <a:schemeClr val="bg1"/>
                      </a:solidFill>
                      <a:latin typeface="Cambria Math" panose="02040503050406030204" pitchFamily="18" charset="0"/>
                      <a:ea typeface="Cambria Math" panose="02040503050406030204" pitchFamily="18" charset="0"/>
                    </a:rPr>
                    <m:t>𝑈</m:t>
                  </m:r>
                  <m:r>
                    <a:rPr lang="es-CO" sz="1400" b="0" i="1">
                      <a:solidFill>
                        <a:schemeClr val="bg1"/>
                      </a:solidFill>
                      <a:latin typeface="Cambria Math" panose="02040503050406030204" pitchFamily="18" charset="0"/>
                      <a:ea typeface="Cambria Math" panose="02040503050406030204" pitchFamily="18" charset="0"/>
                    </a:rPr>
                    <m:t>≤</m:t>
                  </m:r>
                  <m:r>
                    <a:rPr lang="es-CO" sz="1400" b="0" i="1">
                      <a:solidFill>
                        <a:schemeClr val="bg1"/>
                      </a:solidFill>
                      <a:latin typeface="Cambria Math" panose="02040503050406030204" pitchFamily="18" charset="0"/>
                      <a:ea typeface="Cambria Math" panose="02040503050406030204" pitchFamily="18" charset="0"/>
                    </a:rPr>
                    <m:t>𝐸𝑀𝑃</m:t>
                  </m:r>
                </m:oMath>
              </a14:m>
              <a:r>
                <a:rPr lang="es-CO" sz="1400">
                  <a:solidFill>
                    <a:schemeClr val="bg1"/>
                  </a:solidFill>
                  <a:latin typeface="Arial" panose="020B0604020202020204" pitchFamily="34" charset="0"/>
                  <a:cs typeface="Arial" panose="020B0604020202020204" pitchFamily="34" charset="0"/>
                </a:rPr>
                <a:t> </a:t>
              </a:r>
              <a:r>
                <a:rPr lang="es-CO" sz="1400" b="0">
                  <a:solidFill>
                    <a:schemeClr val="bg1"/>
                  </a:solidFill>
                  <a:latin typeface="Arial" panose="020B0604020202020204" pitchFamily="34" charset="0"/>
                  <a:cs typeface="Arial" panose="020B0604020202020204" pitchFamily="34" charset="0"/>
                </a:rPr>
                <a:t>= </a:t>
              </a:r>
              <a:r>
                <a:rPr lang="es-CO" sz="1200" b="0" i="0">
                  <a:solidFill>
                    <a:schemeClr val="bg1"/>
                  </a:solidFill>
                  <a:latin typeface="Arial" panose="020B0604020202020204" pitchFamily="34" charset="0"/>
                  <a:cs typeface="Arial" panose="020B0604020202020204" pitchFamily="34" charset="0"/>
                </a:rPr>
                <a:t>CUMPLE</a:t>
              </a:r>
            </a:p>
          </xdr:txBody>
        </xdr:sp>
      </mc:Choice>
      <mc:Fallback xmlns="">
        <xdr:sp macro="" textlink="">
          <xdr:nvSpPr>
            <xdr:cNvPr id="2" name="CuadroTexto 1">
              <a:extLst>
                <a:ext uri="{FF2B5EF4-FFF2-40B4-BE49-F238E27FC236}">
                  <a16:creationId xmlns="" xmlns:a16="http://schemas.microsoft.com/office/drawing/2014/main" xmlns:a14="http://schemas.microsoft.com/office/drawing/2010/main" id="{00000000-0008-0000-1800-000002000000}"/>
                </a:ext>
              </a:extLst>
            </xdr:cNvPr>
            <xdr:cNvSpPr txBox="1"/>
          </xdr:nvSpPr>
          <xdr:spPr>
            <a:xfrm>
              <a:off x="2607468" y="21878923"/>
              <a:ext cx="3692934" cy="210507"/>
            </a:xfrm>
            <a:prstGeom prst="rect">
              <a:avLst/>
            </a:prstGeom>
            <a:noFill/>
            <a:ln>
              <a:noFill/>
            </a:ln>
          </xdr:spPr>
          <xdr:style>
            <a:lnRef idx="2">
              <a:schemeClr val="dk1"/>
            </a:lnRef>
            <a:fillRef idx="1">
              <a:schemeClr val="lt1"/>
            </a:fillRef>
            <a:effectRef idx="0">
              <a:schemeClr val="dk1"/>
            </a:effectRef>
            <a:fontRef idx="minor">
              <a:schemeClr val="dk1"/>
            </a:fontRef>
          </xdr:style>
          <xdr:txBody>
            <a:bodyPr vertOverflow="clip" horzOverflow="clip" wrap="none" lIns="0" tIns="0" rIns="0" bIns="0" rtlCol="0" anchor="t">
              <a:spAutoFit/>
            </a:bodyPr>
            <a:lstStyle/>
            <a:p>
              <a:r>
                <a:rPr lang="es-CO" sz="1400" b="0" i="0">
                  <a:solidFill>
                    <a:schemeClr val="bg1"/>
                  </a:solidFill>
                  <a:latin typeface="Cambria Math" panose="02040503050406030204" pitchFamily="18" charset="0"/>
                  <a:ea typeface="Cambria Math" panose="02040503050406030204" pitchFamily="18" charset="0"/>
                </a:rPr>
                <a:t>𝑅𝑒𝑔𝑙𝑎 𝑑𝑒 𝑑𝑒𝑐𝑖𝑠𝑖ó𝑛=|𝐸|+𝑈≤𝐸𝑀𝑃</a:t>
              </a:r>
              <a:r>
                <a:rPr lang="es-CO" sz="1400">
                  <a:solidFill>
                    <a:schemeClr val="bg1"/>
                  </a:solidFill>
                  <a:latin typeface="Arial" panose="020B0604020202020204" pitchFamily="34" charset="0"/>
                  <a:cs typeface="Arial" panose="020B0604020202020204" pitchFamily="34" charset="0"/>
                </a:rPr>
                <a:t> </a:t>
              </a:r>
              <a:r>
                <a:rPr lang="es-CO" sz="1400" b="0">
                  <a:solidFill>
                    <a:schemeClr val="bg1"/>
                  </a:solidFill>
                  <a:latin typeface="Arial" panose="020B0604020202020204" pitchFamily="34" charset="0"/>
                  <a:cs typeface="Arial" panose="020B0604020202020204" pitchFamily="34" charset="0"/>
                </a:rPr>
                <a:t>= </a:t>
              </a:r>
              <a:r>
                <a:rPr lang="es-CO" sz="1200" b="0" i="0">
                  <a:solidFill>
                    <a:schemeClr val="bg1"/>
                  </a:solidFill>
                  <a:latin typeface="Arial" panose="020B0604020202020204" pitchFamily="34" charset="0"/>
                  <a:cs typeface="Arial" panose="020B0604020202020204" pitchFamily="34" charset="0"/>
                </a:rPr>
                <a:t>CUMPLE</a:t>
              </a:r>
            </a:p>
          </xdr:txBody>
        </xdr:sp>
      </mc:Fallback>
    </mc:AlternateContent>
    <xdr:clientData/>
  </xdr:oneCellAnchor>
</xdr:wsDr>
</file>

<file path=xl/drawings/drawing41.xml><?xml version="1.0" encoding="utf-8"?>
<xdr:wsDr xmlns:xdr="http://schemas.openxmlformats.org/drawingml/2006/spreadsheetDrawing" xmlns:a="http://schemas.openxmlformats.org/drawingml/2006/main">
  <xdr:oneCellAnchor>
    <xdr:from>
      <xdr:col>1</xdr:col>
      <xdr:colOff>285935</xdr:colOff>
      <xdr:row>42</xdr:row>
      <xdr:rowOff>169517</xdr:rowOff>
    </xdr:from>
    <xdr:ext cx="177356" cy="176202"/>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00000000-0008-0000-2800-000003000000}"/>
                </a:ext>
              </a:extLst>
            </xdr:cNvPr>
            <xdr:cNvSpPr txBox="1"/>
          </xdr:nvSpPr>
          <xdr:spPr>
            <a:xfrm>
              <a:off x="1124135" y="14980892"/>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bg1"/>
                            </a:solidFill>
                            <a:latin typeface="Cambria Math" panose="02040503050406030204" pitchFamily="18" charset="0"/>
                          </a:rPr>
                        </m:ctrlPr>
                      </m:accPr>
                      <m:e>
                        <m:r>
                          <a:rPr lang="es-CO" sz="1100" b="1" i="1">
                            <a:solidFill>
                              <a:schemeClr val="bg1"/>
                            </a:solidFill>
                            <a:latin typeface="Cambria Math" panose="02040503050406030204" pitchFamily="18" charset="0"/>
                            <a:ea typeface="Cambria Math" panose="02040503050406030204" pitchFamily="18" charset="0"/>
                          </a:rPr>
                          <m:t>∆</m:t>
                        </m:r>
                        <m:r>
                          <a:rPr lang="es-CO" sz="1100" b="1" i="1">
                            <a:solidFill>
                              <a:schemeClr val="bg1"/>
                            </a:solidFill>
                            <a:latin typeface="Cambria Math" panose="02040503050406030204" pitchFamily="18" charset="0"/>
                            <a:ea typeface="Cambria Math" panose="02040503050406030204" pitchFamily="18" charset="0"/>
                          </a:rPr>
                          <m:t>𝑰</m:t>
                        </m:r>
                      </m:e>
                    </m:acc>
                  </m:oMath>
                </m:oMathPara>
              </a14:m>
              <a:endParaRPr lang="es-CO" sz="1100" b="1">
                <a:solidFill>
                  <a:schemeClr val="bg1"/>
                </a:solidFill>
              </a:endParaRPr>
            </a:p>
          </xdr:txBody>
        </xdr:sp>
      </mc:Choice>
      <mc:Fallback xmlns="">
        <xdr:sp macro="" textlink="">
          <xdr:nvSpPr>
            <xdr:cNvPr id="3" name="CuadroTexto 2">
              <a:extLst>
                <a:ext uri="{FF2B5EF4-FFF2-40B4-BE49-F238E27FC236}">
                  <a16:creationId xmlns="" xmlns:a16="http://schemas.microsoft.com/office/drawing/2014/main" xmlns:a14="http://schemas.microsoft.com/office/drawing/2010/main" id="{00000000-0008-0000-1000-000003000000}"/>
                </a:ext>
              </a:extLst>
            </xdr:cNvPr>
            <xdr:cNvSpPr txBox="1"/>
          </xdr:nvSpPr>
          <xdr:spPr>
            <a:xfrm>
              <a:off x="1124135" y="14980892"/>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bg1"/>
                  </a:solidFill>
                  <a:latin typeface="Cambria Math" panose="02040503050406030204" pitchFamily="18" charset="0"/>
                </a:rPr>
                <a:t>(</a:t>
              </a:r>
              <a:r>
                <a:rPr lang="es-CO" sz="1100" b="1" i="0">
                  <a:solidFill>
                    <a:schemeClr val="bg1"/>
                  </a:solidFill>
                  <a:latin typeface="Cambria Math" panose="02040503050406030204" pitchFamily="18" charset="0"/>
                  <a:ea typeface="Cambria Math" panose="02040503050406030204" pitchFamily="18" charset="0"/>
                </a:rPr>
                <a:t>∆𝑰) ̅</a:t>
              </a:r>
              <a:endParaRPr lang="es-CO" sz="1100" b="1">
                <a:solidFill>
                  <a:schemeClr val="bg1"/>
                </a:solidFill>
              </a:endParaRPr>
            </a:p>
          </xdr:txBody>
        </xdr:sp>
      </mc:Fallback>
    </mc:AlternateContent>
    <xdr:clientData/>
  </xdr:oneCellAnchor>
  <xdr:oneCellAnchor>
    <xdr:from>
      <xdr:col>1</xdr:col>
      <xdr:colOff>136732</xdr:colOff>
      <xdr:row>58</xdr:row>
      <xdr:rowOff>253032</xdr:rowOff>
    </xdr:from>
    <xdr:ext cx="599716" cy="172227"/>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id="{00000000-0008-0000-2800-000004000000}"/>
                </a:ext>
              </a:extLst>
            </xdr:cNvPr>
            <xdr:cNvSpPr txBox="1"/>
          </xdr:nvSpPr>
          <xdr:spPr>
            <a:xfrm>
              <a:off x="974932" y="20779407"/>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𝒘</m:t>
                        </m:r>
                      </m:sub>
                    </m:sSub>
                    <m:r>
                      <a:rPr lang="es-CO" sz="1100" b="1" i="1">
                        <a:latin typeface="Cambria Math" panose="02040503050406030204" pitchFamily="18" charset="0"/>
                      </a:rPr>
                      <m:t>(</m:t>
                    </m:r>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4" name="CuadroTexto 3">
              <a:extLst>
                <a:ext uri="{FF2B5EF4-FFF2-40B4-BE49-F238E27FC236}">
                  <a16:creationId xmlns="" xmlns:a16="http://schemas.microsoft.com/office/drawing/2014/main" xmlns:a14="http://schemas.microsoft.com/office/drawing/2010/main" id="{00000000-0008-0000-1000-000004000000}"/>
                </a:ext>
              </a:extLst>
            </xdr:cNvPr>
            <xdr:cNvSpPr txBox="1"/>
          </xdr:nvSpPr>
          <xdr:spPr>
            <a:xfrm>
              <a:off x="974932" y="20779407"/>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𝒖_𝒘 (</a:t>
              </a: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1</xdr:col>
      <xdr:colOff>202651</xdr:colOff>
      <xdr:row>61</xdr:row>
      <xdr:rowOff>265287</xdr:rowOff>
    </xdr:from>
    <xdr:ext cx="483915" cy="172227"/>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id="{00000000-0008-0000-2800-000005000000}"/>
                </a:ext>
              </a:extLst>
            </xdr:cNvPr>
            <xdr:cNvSpPr txBox="1"/>
          </xdr:nvSpPr>
          <xdr:spPr>
            <a:xfrm>
              <a:off x="1040851" y="2299193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5" name="CuadroTexto 4">
              <a:extLst>
                <a:ext uri="{FF2B5EF4-FFF2-40B4-BE49-F238E27FC236}">
                  <a16:creationId xmlns="" xmlns:a16="http://schemas.microsoft.com/office/drawing/2014/main" xmlns:a14="http://schemas.microsoft.com/office/drawing/2010/main" id="{00000000-0008-0000-1000-000005000000}"/>
                </a:ext>
              </a:extLst>
            </xdr:cNvPr>
            <xdr:cNvSpPr txBox="1"/>
          </xdr:nvSpPr>
          <xdr:spPr>
            <a:xfrm>
              <a:off x="1040851" y="2299193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𝒖(𝒎_𝒄𝒓)</a:t>
              </a:r>
              <a:endParaRPr lang="es-CO" sz="1100" b="1"/>
            </a:p>
          </xdr:txBody>
        </xdr:sp>
      </mc:Fallback>
    </mc:AlternateContent>
    <xdr:clientData/>
  </xdr:oneCellAnchor>
  <xdr:oneCellAnchor>
    <xdr:from>
      <xdr:col>1</xdr:col>
      <xdr:colOff>34166</xdr:colOff>
      <xdr:row>60</xdr:row>
      <xdr:rowOff>250203</xdr:rowOff>
    </xdr:from>
    <xdr:ext cx="689483" cy="172227"/>
    <mc:AlternateContent xmlns:mc="http://schemas.openxmlformats.org/markup-compatibility/2006" xmlns:a14="http://schemas.microsoft.com/office/drawing/2010/main">
      <mc:Choice Requires="a14">
        <xdr:sp macro="" textlink="">
          <xdr:nvSpPr>
            <xdr:cNvPr id="6" name="CuadroTexto 5">
              <a:extLst>
                <a:ext uri="{FF2B5EF4-FFF2-40B4-BE49-F238E27FC236}">
                  <a16:creationId xmlns:a16="http://schemas.microsoft.com/office/drawing/2014/main" id="{00000000-0008-0000-2800-000006000000}"/>
                </a:ext>
              </a:extLst>
            </xdr:cNvPr>
            <xdr:cNvSpPr txBox="1"/>
          </xdr:nvSpPr>
          <xdr:spPr>
            <a:xfrm>
              <a:off x="872366" y="22243428"/>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𝒊𝒏𝒔𝒕</m:t>
                        </m:r>
                      </m:sub>
                    </m:sSub>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0" i="1">
                        <a:latin typeface="Cambria Math" panose="02040503050406030204" pitchFamily="18" charset="0"/>
                      </a:rPr>
                      <m:t>)</m:t>
                    </m:r>
                  </m:oMath>
                </m:oMathPara>
              </a14:m>
              <a:endParaRPr lang="es-CO" sz="1100"/>
            </a:p>
          </xdr:txBody>
        </xdr:sp>
      </mc:Choice>
      <mc:Fallback xmlns="">
        <xdr:sp macro="" textlink="">
          <xdr:nvSpPr>
            <xdr:cNvPr id="6" name="CuadroTexto 5">
              <a:extLst>
                <a:ext uri="{FF2B5EF4-FFF2-40B4-BE49-F238E27FC236}">
                  <a16:creationId xmlns="" xmlns:a16="http://schemas.microsoft.com/office/drawing/2014/main" xmlns:a14="http://schemas.microsoft.com/office/drawing/2010/main" id="{00000000-0008-0000-1000-000006000000}"/>
                </a:ext>
              </a:extLst>
            </xdr:cNvPr>
            <xdr:cNvSpPr txBox="1"/>
          </xdr:nvSpPr>
          <xdr:spPr>
            <a:xfrm>
              <a:off x="872366" y="22243428"/>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𝒖_𝒊𝒏𝒔𝒕 (𝒎_𝒄𝒓</a:t>
              </a:r>
              <a:r>
                <a:rPr lang="es-CO" sz="1100" b="0" i="0">
                  <a:latin typeface="Cambria Math" panose="02040503050406030204" pitchFamily="18" charset="0"/>
                </a:rPr>
                <a:t>)</a:t>
              </a:r>
              <a:endParaRPr lang="es-CO" sz="1100"/>
            </a:p>
          </xdr:txBody>
        </xdr:sp>
      </mc:Fallback>
    </mc:AlternateContent>
    <xdr:clientData/>
  </xdr:oneCellAnchor>
  <xdr:oneCellAnchor>
    <xdr:from>
      <xdr:col>1</xdr:col>
      <xdr:colOff>183870</xdr:colOff>
      <xdr:row>62</xdr:row>
      <xdr:rowOff>264645</xdr:rowOff>
    </xdr:from>
    <xdr:ext cx="397353" cy="172227"/>
    <mc:AlternateContent xmlns:mc="http://schemas.openxmlformats.org/markup-compatibility/2006" xmlns:a14="http://schemas.microsoft.com/office/drawing/2010/main">
      <mc:Choice Requires="a14">
        <xdr:sp macro="" textlink="">
          <xdr:nvSpPr>
            <xdr:cNvPr id="7" name="CuadroTexto 6">
              <a:extLst>
                <a:ext uri="{FF2B5EF4-FFF2-40B4-BE49-F238E27FC236}">
                  <a16:creationId xmlns:a16="http://schemas.microsoft.com/office/drawing/2014/main" id="{00000000-0008-0000-2800-000007000000}"/>
                </a:ext>
              </a:extLst>
            </xdr:cNvPr>
            <xdr:cNvSpPr txBox="1"/>
          </xdr:nvSpPr>
          <xdr:spPr>
            <a:xfrm>
              <a:off x="1022070" y="23724720"/>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𝒂</m:t>
                        </m:r>
                      </m:sub>
                    </m:sSub>
                    <m:r>
                      <a:rPr lang="es-CO" sz="1100" b="1" i="1">
                        <a:latin typeface="Cambria Math" panose="02040503050406030204" pitchFamily="18" charset="0"/>
                      </a:rPr>
                      <m:t>)</m:t>
                    </m:r>
                  </m:oMath>
                </m:oMathPara>
              </a14:m>
              <a:endParaRPr lang="es-CO" sz="1100" b="1"/>
            </a:p>
          </xdr:txBody>
        </xdr:sp>
      </mc:Choice>
      <mc:Fallback xmlns="">
        <xdr:sp macro="" textlink="">
          <xdr:nvSpPr>
            <xdr:cNvPr id="7" name="CuadroTexto 6">
              <a:extLst>
                <a:ext uri="{FF2B5EF4-FFF2-40B4-BE49-F238E27FC236}">
                  <a16:creationId xmlns="" xmlns:a16="http://schemas.microsoft.com/office/drawing/2014/main" xmlns:a14="http://schemas.microsoft.com/office/drawing/2010/main" id="{00000000-0008-0000-1000-000007000000}"/>
                </a:ext>
              </a:extLst>
            </xdr:cNvPr>
            <xdr:cNvSpPr txBox="1"/>
          </xdr:nvSpPr>
          <xdr:spPr>
            <a:xfrm>
              <a:off x="1022070" y="23724720"/>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𝒂)</a:t>
              </a:r>
              <a:endParaRPr lang="es-CO" sz="1100" b="1"/>
            </a:p>
          </xdr:txBody>
        </xdr:sp>
      </mc:Fallback>
    </mc:AlternateContent>
    <xdr:clientData/>
  </xdr:oneCellAnchor>
  <xdr:oneCellAnchor>
    <xdr:from>
      <xdr:col>1</xdr:col>
      <xdr:colOff>186298</xdr:colOff>
      <xdr:row>63</xdr:row>
      <xdr:rowOff>266606</xdr:rowOff>
    </xdr:from>
    <xdr:ext cx="376642" cy="172227"/>
    <mc:AlternateContent xmlns:mc="http://schemas.openxmlformats.org/markup-compatibility/2006" xmlns:a14="http://schemas.microsoft.com/office/drawing/2010/main">
      <mc:Choice Requires="a14">
        <xdr:sp macro="" textlink="">
          <xdr:nvSpPr>
            <xdr:cNvPr id="8" name="CuadroTexto 7">
              <a:extLst>
                <a:ext uri="{FF2B5EF4-FFF2-40B4-BE49-F238E27FC236}">
                  <a16:creationId xmlns:a16="http://schemas.microsoft.com/office/drawing/2014/main" id="{00000000-0008-0000-2800-000008000000}"/>
                </a:ext>
              </a:extLst>
            </xdr:cNvPr>
            <xdr:cNvSpPr txBox="1"/>
          </xdr:nvSpPr>
          <xdr:spPr>
            <a:xfrm>
              <a:off x="1024498" y="244601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𝒕</m:t>
                        </m:r>
                      </m:sub>
                    </m:sSub>
                    <m:r>
                      <a:rPr lang="es-CO" sz="1100" b="1" i="1">
                        <a:latin typeface="Cambria Math" panose="02040503050406030204" pitchFamily="18" charset="0"/>
                      </a:rPr>
                      <m:t>)</m:t>
                    </m:r>
                  </m:oMath>
                </m:oMathPara>
              </a14:m>
              <a:endParaRPr lang="es-CO" sz="1100" b="1"/>
            </a:p>
          </xdr:txBody>
        </xdr:sp>
      </mc:Choice>
      <mc:Fallback xmlns="">
        <xdr:sp macro="" textlink="">
          <xdr:nvSpPr>
            <xdr:cNvPr id="8" name="CuadroTexto 7">
              <a:extLst>
                <a:ext uri="{FF2B5EF4-FFF2-40B4-BE49-F238E27FC236}">
                  <a16:creationId xmlns="" xmlns:a16="http://schemas.microsoft.com/office/drawing/2014/main" xmlns:a14="http://schemas.microsoft.com/office/drawing/2010/main" id="{00000000-0008-0000-1000-000008000000}"/>
                </a:ext>
              </a:extLst>
            </xdr:cNvPr>
            <xdr:cNvSpPr txBox="1"/>
          </xdr:nvSpPr>
          <xdr:spPr>
            <a:xfrm>
              <a:off x="1024498" y="244601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𝒕)</a:t>
              </a:r>
              <a:endParaRPr lang="es-CO" sz="1100" b="1"/>
            </a:p>
          </xdr:txBody>
        </xdr:sp>
      </mc:Fallback>
    </mc:AlternateContent>
    <xdr:clientData/>
  </xdr:oneCellAnchor>
  <xdr:oneCellAnchor>
    <xdr:from>
      <xdr:col>1</xdr:col>
      <xdr:colOff>186298</xdr:colOff>
      <xdr:row>64</xdr:row>
      <xdr:rowOff>222250</xdr:rowOff>
    </xdr:from>
    <xdr:ext cx="388696" cy="172227"/>
    <mc:AlternateContent xmlns:mc="http://schemas.openxmlformats.org/markup-compatibility/2006" xmlns:a14="http://schemas.microsoft.com/office/drawing/2010/main">
      <mc:Choice Requires="a14">
        <xdr:sp macro="" textlink="">
          <xdr:nvSpPr>
            <xdr:cNvPr id="9" name="CuadroTexto 8">
              <a:extLst>
                <a:ext uri="{FF2B5EF4-FFF2-40B4-BE49-F238E27FC236}">
                  <a16:creationId xmlns:a16="http://schemas.microsoft.com/office/drawing/2014/main" id="{00000000-0008-0000-2800-000009000000}"/>
                </a:ext>
              </a:extLst>
            </xdr:cNvPr>
            <xdr:cNvSpPr txBox="1"/>
          </xdr:nvSpPr>
          <xdr:spPr>
            <a:xfrm>
              <a:off x="1024498" y="25149175"/>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9" name="CuadroTexto 8">
              <a:extLst>
                <a:ext uri="{FF2B5EF4-FFF2-40B4-BE49-F238E27FC236}">
                  <a16:creationId xmlns="" xmlns:a16="http://schemas.microsoft.com/office/drawing/2014/main" xmlns:a14="http://schemas.microsoft.com/office/drawing/2010/main" id="{00000000-0008-0000-1000-000009000000}"/>
                </a:ext>
              </a:extLst>
            </xdr:cNvPr>
            <xdr:cNvSpPr txBox="1"/>
          </xdr:nvSpPr>
          <xdr:spPr>
            <a:xfrm>
              <a:off x="1024498" y="25149175"/>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𝒓)</a:t>
              </a:r>
              <a:endParaRPr lang="es-CO" sz="1100" b="1"/>
            </a:p>
          </xdr:txBody>
        </xdr:sp>
      </mc:Fallback>
    </mc:AlternateContent>
    <xdr:clientData/>
  </xdr:oneCellAnchor>
  <xdr:oneCellAnchor>
    <xdr:from>
      <xdr:col>1</xdr:col>
      <xdr:colOff>265579</xdr:colOff>
      <xdr:row>65</xdr:row>
      <xdr:rowOff>288458</xdr:rowOff>
    </xdr:from>
    <xdr:ext cx="191271" cy="172227"/>
    <mc:AlternateContent xmlns:mc="http://schemas.openxmlformats.org/markup-compatibility/2006" xmlns:a14="http://schemas.microsoft.com/office/drawing/2010/main">
      <mc:Choice Requires="a14">
        <xdr:sp macro="" textlink="">
          <xdr:nvSpPr>
            <xdr:cNvPr id="10" name="CuadroTexto 9">
              <a:extLst>
                <a:ext uri="{FF2B5EF4-FFF2-40B4-BE49-F238E27FC236}">
                  <a16:creationId xmlns:a16="http://schemas.microsoft.com/office/drawing/2014/main" id="{00000000-0008-0000-2800-00000A000000}"/>
                </a:ext>
              </a:extLst>
            </xdr:cNvPr>
            <xdr:cNvSpPr txBox="1"/>
          </xdr:nvSpPr>
          <xdr:spPr>
            <a:xfrm>
              <a:off x="1103779" y="2594880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𝒃</m:t>
                        </m:r>
                      </m:sub>
                    </m:sSub>
                  </m:oMath>
                </m:oMathPara>
              </a14:m>
              <a:endParaRPr lang="es-CO" sz="1100" b="1"/>
            </a:p>
          </xdr:txBody>
        </xdr:sp>
      </mc:Choice>
      <mc:Fallback xmlns="">
        <xdr:sp macro="" textlink="">
          <xdr:nvSpPr>
            <xdr:cNvPr id="10" name="CuadroTexto 9">
              <a:extLst>
                <a:ext uri="{FF2B5EF4-FFF2-40B4-BE49-F238E27FC236}">
                  <a16:creationId xmlns="" xmlns:a16="http://schemas.microsoft.com/office/drawing/2014/main" xmlns:a14="http://schemas.microsoft.com/office/drawing/2010/main" id="{00000000-0008-0000-1000-00000A000000}"/>
                </a:ext>
              </a:extLst>
            </xdr:cNvPr>
            <xdr:cNvSpPr txBox="1"/>
          </xdr:nvSpPr>
          <xdr:spPr>
            <a:xfrm>
              <a:off x="1103779" y="2594880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𝒖_𝒃</a:t>
              </a:r>
              <a:endParaRPr lang="es-CO" sz="1100" b="1"/>
            </a:p>
          </xdr:txBody>
        </xdr:sp>
      </mc:Fallback>
    </mc:AlternateContent>
    <xdr:clientData/>
  </xdr:oneCellAnchor>
  <xdr:oneCellAnchor>
    <xdr:from>
      <xdr:col>1</xdr:col>
      <xdr:colOff>261391</xdr:colOff>
      <xdr:row>66</xdr:row>
      <xdr:rowOff>294234</xdr:rowOff>
    </xdr:from>
    <xdr:ext cx="195053" cy="172227"/>
    <mc:AlternateContent xmlns:mc="http://schemas.openxmlformats.org/markup-compatibility/2006" xmlns:a14="http://schemas.microsoft.com/office/drawing/2010/main">
      <mc:Choice Requires="a14">
        <xdr:sp macro="" textlink="">
          <xdr:nvSpPr>
            <xdr:cNvPr id="11" name="CuadroTexto 10">
              <a:extLst>
                <a:ext uri="{FF2B5EF4-FFF2-40B4-BE49-F238E27FC236}">
                  <a16:creationId xmlns:a16="http://schemas.microsoft.com/office/drawing/2014/main" id="{00000000-0008-0000-2800-00000B000000}"/>
                </a:ext>
              </a:extLst>
            </xdr:cNvPr>
            <xdr:cNvSpPr txBox="1"/>
          </xdr:nvSpPr>
          <xdr:spPr>
            <a:xfrm>
              <a:off x="1099591" y="26688009"/>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𝒅</m:t>
                        </m:r>
                      </m:sub>
                    </m:sSub>
                  </m:oMath>
                </m:oMathPara>
              </a14:m>
              <a:endParaRPr lang="es-CO" sz="1100" b="1"/>
            </a:p>
          </xdr:txBody>
        </xdr:sp>
      </mc:Choice>
      <mc:Fallback xmlns="">
        <xdr:sp macro="" textlink="">
          <xdr:nvSpPr>
            <xdr:cNvPr id="11" name="CuadroTexto 10">
              <a:extLst>
                <a:ext uri="{FF2B5EF4-FFF2-40B4-BE49-F238E27FC236}">
                  <a16:creationId xmlns="" xmlns:a16="http://schemas.microsoft.com/office/drawing/2014/main" xmlns:a14="http://schemas.microsoft.com/office/drawing/2010/main" id="{00000000-0008-0000-1000-00000B000000}"/>
                </a:ext>
              </a:extLst>
            </xdr:cNvPr>
            <xdr:cNvSpPr txBox="1"/>
          </xdr:nvSpPr>
          <xdr:spPr>
            <a:xfrm>
              <a:off x="1099591" y="26688009"/>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𝒖_𝒅</a:t>
              </a:r>
              <a:endParaRPr lang="es-CO" sz="1100" b="1"/>
            </a:p>
          </xdr:txBody>
        </xdr:sp>
      </mc:Fallback>
    </mc:AlternateContent>
    <xdr:clientData/>
  </xdr:oneCellAnchor>
  <xdr:oneCellAnchor>
    <xdr:from>
      <xdr:col>5</xdr:col>
      <xdr:colOff>401509</xdr:colOff>
      <xdr:row>69</xdr:row>
      <xdr:rowOff>138119</xdr:rowOff>
    </xdr:from>
    <xdr:ext cx="529697" cy="172227"/>
    <mc:AlternateContent xmlns:mc="http://schemas.openxmlformats.org/markup-compatibility/2006" xmlns:a14="http://schemas.microsoft.com/office/drawing/2010/main">
      <mc:Choice Requires="a14">
        <xdr:sp macro="" textlink="">
          <xdr:nvSpPr>
            <xdr:cNvPr id="12" name="CuadroTexto 11">
              <a:extLst>
                <a:ext uri="{FF2B5EF4-FFF2-40B4-BE49-F238E27FC236}">
                  <a16:creationId xmlns:a16="http://schemas.microsoft.com/office/drawing/2014/main" id="{00000000-0008-0000-2800-00000C000000}"/>
                </a:ext>
              </a:extLst>
            </xdr:cNvPr>
            <xdr:cNvSpPr txBox="1"/>
          </xdr:nvSpPr>
          <xdr:spPr>
            <a:xfrm>
              <a:off x="5648197" y="28633744"/>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𝒄</m:t>
                        </m:r>
                      </m:sub>
                    </m:sSub>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12" name="CuadroTexto 11">
              <a:extLst>
                <a:ext uri="{FF2B5EF4-FFF2-40B4-BE49-F238E27FC236}">
                  <a16:creationId xmlns:a16="http://schemas.microsoft.com/office/drawing/2014/main" id="{00000000-0008-0000-1900-00000C000000}"/>
                </a:ext>
              </a:extLst>
            </xdr:cNvPr>
            <xdr:cNvSpPr txBox="1"/>
          </xdr:nvSpPr>
          <xdr:spPr>
            <a:xfrm>
              <a:off x="5648197" y="28633744"/>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𝒖_𝒄 (</a:t>
              </a:r>
              <a:r>
                <a:rPr lang="es-CO" sz="1100" b="1" i="0">
                  <a:latin typeface="Cambria Math" panose="02040503050406030204" pitchFamily="18" charset="0"/>
                  <a:ea typeface="Cambria Math" panose="02040503050406030204" pitchFamily="18" charset="0"/>
                </a:rPr>
                <a:t>𝒎_𝒄𝒕)</a:t>
              </a:r>
              <a:endParaRPr lang="es-CO" sz="1100" b="1"/>
            </a:p>
          </xdr:txBody>
        </xdr:sp>
      </mc:Fallback>
    </mc:AlternateContent>
    <xdr:clientData/>
  </xdr:oneCellAnchor>
  <xdr:oneCellAnchor>
    <xdr:from>
      <xdr:col>5</xdr:col>
      <xdr:colOff>243965</xdr:colOff>
      <xdr:row>70</xdr:row>
      <xdr:rowOff>130277</xdr:rowOff>
    </xdr:from>
    <xdr:ext cx="780598" cy="172227"/>
    <mc:AlternateContent xmlns:mc="http://schemas.openxmlformats.org/markup-compatibility/2006" xmlns:a14="http://schemas.microsoft.com/office/drawing/2010/main">
      <mc:Choice Requires="a14">
        <xdr:sp macro="" textlink="">
          <xdr:nvSpPr>
            <xdr:cNvPr id="13" name="CuadroTexto 12">
              <a:extLst>
                <a:ext uri="{FF2B5EF4-FFF2-40B4-BE49-F238E27FC236}">
                  <a16:creationId xmlns:a16="http://schemas.microsoft.com/office/drawing/2014/main" id="{00000000-0008-0000-2800-00000D000000}"/>
                </a:ext>
              </a:extLst>
            </xdr:cNvPr>
            <xdr:cNvSpPr txBox="1"/>
          </xdr:nvSpPr>
          <xdr:spPr>
            <a:xfrm>
              <a:off x="5101715" y="2874337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100" b="1" i="1">
                      <a:latin typeface="Cambria Math" panose="02040503050406030204" pitchFamily="18" charset="0"/>
                    </a:rPr>
                    <m:t>𝑼</m:t>
                  </m:r>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a14:m>
              <a:r>
                <a:rPr lang="es-CO" sz="1100" b="1"/>
                <a:t> (k=2)</a:t>
              </a:r>
            </a:p>
          </xdr:txBody>
        </xdr:sp>
      </mc:Choice>
      <mc:Fallback xmlns="">
        <xdr:sp macro="" textlink="">
          <xdr:nvSpPr>
            <xdr:cNvPr id="13" name="CuadroTexto 12">
              <a:extLst>
                <a:ext uri="{FF2B5EF4-FFF2-40B4-BE49-F238E27FC236}">
                  <a16:creationId xmlns:a16="http://schemas.microsoft.com/office/drawing/2014/main" id="{00000000-0008-0000-1900-00000D000000}"/>
                </a:ext>
              </a:extLst>
            </xdr:cNvPr>
            <xdr:cNvSpPr txBox="1"/>
          </xdr:nvSpPr>
          <xdr:spPr>
            <a:xfrm>
              <a:off x="5101715" y="2874337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100" b="1" i="0">
                  <a:latin typeface="Cambria Math" panose="02040503050406030204" pitchFamily="18" charset="0"/>
                </a:rPr>
                <a:t>𝑼(</a:t>
              </a:r>
              <a:r>
                <a:rPr lang="es-CO" sz="1100" b="1" i="0">
                  <a:latin typeface="Cambria Math" panose="02040503050406030204" pitchFamily="18" charset="0"/>
                  <a:ea typeface="Cambria Math" panose="02040503050406030204" pitchFamily="18" charset="0"/>
                </a:rPr>
                <a:t>𝒎_𝒄𝒕)</a:t>
              </a:r>
              <a:r>
                <a:rPr lang="es-CO" sz="1100" b="1"/>
                <a:t> (k=2)</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14" name="CuadroTexto 13">
              <a:extLst>
                <a:ext uri="{FF2B5EF4-FFF2-40B4-BE49-F238E27FC236}">
                  <a16:creationId xmlns:a16="http://schemas.microsoft.com/office/drawing/2014/main" id="{00000000-0008-0000-2800-00000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14" name="CuadroTexto 13">
              <a:extLst>
                <a:ext uri="{FF2B5EF4-FFF2-40B4-BE49-F238E27FC236}">
                  <a16:creationId xmlns="" xmlns:a16="http://schemas.microsoft.com/office/drawing/2014/main" xmlns:a14="http://schemas.microsoft.com/office/drawing/2010/main" id="{00000000-0008-0000-1000-00000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8</xdr:col>
      <xdr:colOff>541269</xdr:colOff>
      <xdr:row>52</xdr:row>
      <xdr:rowOff>78683</xdr:rowOff>
    </xdr:from>
    <xdr:ext cx="304571" cy="172227"/>
    <mc:AlternateContent xmlns:mc="http://schemas.openxmlformats.org/markup-compatibility/2006" xmlns:a14="http://schemas.microsoft.com/office/drawing/2010/main">
      <mc:Choice Requires="a14">
        <xdr:sp macro="" textlink="">
          <xdr:nvSpPr>
            <xdr:cNvPr id="15" name="CuadroTexto 14">
              <a:extLst>
                <a:ext uri="{FF2B5EF4-FFF2-40B4-BE49-F238E27FC236}">
                  <a16:creationId xmlns:a16="http://schemas.microsoft.com/office/drawing/2014/main" id="{00000000-0008-0000-2800-00000F000000}"/>
                </a:ext>
              </a:extLst>
            </xdr:cNvPr>
            <xdr:cNvSpPr txBox="1"/>
          </xdr:nvSpPr>
          <xdr:spPr>
            <a:xfrm>
              <a:off x="9313794" y="18623858"/>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oMath>
                </m:oMathPara>
              </a14:m>
              <a:endParaRPr lang="es-CO" sz="1100" b="1"/>
            </a:p>
          </xdr:txBody>
        </xdr:sp>
      </mc:Choice>
      <mc:Fallback xmlns="">
        <xdr:sp macro="" textlink="">
          <xdr:nvSpPr>
            <xdr:cNvPr id="15" name="CuadroTexto 14">
              <a:extLst>
                <a:ext uri="{FF2B5EF4-FFF2-40B4-BE49-F238E27FC236}">
                  <a16:creationId xmlns="" xmlns:a16="http://schemas.microsoft.com/office/drawing/2014/main" xmlns:a14="http://schemas.microsoft.com/office/drawing/2010/main" id="{00000000-0008-0000-1000-00000F000000}"/>
                </a:ext>
              </a:extLst>
            </xdr:cNvPr>
            <xdr:cNvSpPr txBox="1"/>
          </xdr:nvSpPr>
          <xdr:spPr>
            <a:xfrm>
              <a:off x="9313794" y="18623858"/>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4</xdr:col>
      <xdr:colOff>155713</xdr:colOff>
      <xdr:row>39</xdr:row>
      <xdr:rowOff>106017</xdr:rowOff>
    </xdr:from>
    <xdr:ext cx="65" cy="172227"/>
    <xdr:sp macro="" textlink="">
      <xdr:nvSpPr>
        <xdr:cNvPr id="16" name="CuadroTexto 15">
          <a:extLst>
            <a:ext uri="{FF2B5EF4-FFF2-40B4-BE49-F238E27FC236}">
              <a16:creationId xmlns:a16="http://schemas.microsoft.com/office/drawing/2014/main" id="{00000000-0008-0000-2800-000010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17" name="CuadroTexto 16">
              <a:extLst>
                <a:ext uri="{FF2B5EF4-FFF2-40B4-BE49-F238E27FC236}">
                  <a16:creationId xmlns:a16="http://schemas.microsoft.com/office/drawing/2014/main" id="{00000000-0008-0000-2800-000011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7" name="CuadroTexto 16">
              <a:extLst>
                <a:ext uri="{FF2B5EF4-FFF2-40B4-BE49-F238E27FC236}">
                  <a16:creationId xmlns="" xmlns:a16="http://schemas.microsoft.com/office/drawing/2014/main" xmlns:a14="http://schemas.microsoft.com/office/drawing/2010/main" id="{00000000-0008-0000-1000-000011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18" name="CuadroTexto 17">
              <a:extLst>
                <a:ext uri="{FF2B5EF4-FFF2-40B4-BE49-F238E27FC236}">
                  <a16:creationId xmlns:a16="http://schemas.microsoft.com/office/drawing/2014/main" id="{00000000-0008-0000-2800-000012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18" name="CuadroTexto 17">
              <a:extLst>
                <a:ext uri="{FF2B5EF4-FFF2-40B4-BE49-F238E27FC236}">
                  <a16:creationId xmlns="" xmlns:a16="http://schemas.microsoft.com/office/drawing/2014/main" xmlns:a14="http://schemas.microsoft.com/office/drawing/2010/main" id="{00000000-0008-0000-1000-000012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19" name="CuadroTexto 18">
              <a:extLst>
                <a:ext uri="{FF2B5EF4-FFF2-40B4-BE49-F238E27FC236}">
                  <a16:creationId xmlns:a16="http://schemas.microsoft.com/office/drawing/2014/main" id="{00000000-0008-0000-2800-000013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9" name="CuadroTexto 18">
              <a:extLst>
                <a:ext uri="{FF2B5EF4-FFF2-40B4-BE49-F238E27FC236}">
                  <a16:creationId xmlns="" xmlns:a16="http://schemas.microsoft.com/office/drawing/2014/main" xmlns:a14="http://schemas.microsoft.com/office/drawing/2010/main" id="{00000000-0008-0000-1000-000013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0" name="CuadroTexto 19">
              <a:extLst>
                <a:ext uri="{FF2B5EF4-FFF2-40B4-BE49-F238E27FC236}">
                  <a16:creationId xmlns:a16="http://schemas.microsoft.com/office/drawing/2014/main" id="{00000000-0008-0000-2800-000014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0" name="CuadroTexto 19">
              <a:extLst>
                <a:ext uri="{FF2B5EF4-FFF2-40B4-BE49-F238E27FC236}">
                  <a16:creationId xmlns="" xmlns:a16="http://schemas.microsoft.com/office/drawing/2014/main" xmlns:a14="http://schemas.microsoft.com/office/drawing/2010/main" id="{00000000-0008-0000-1000-000014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1" name="CuadroTexto 20">
          <a:extLst>
            <a:ext uri="{FF2B5EF4-FFF2-40B4-BE49-F238E27FC236}">
              <a16:creationId xmlns:a16="http://schemas.microsoft.com/office/drawing/2014/main" id="{00000000-0008-0000-2800-000015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3</xdr:col>
      <xdr:colOff>236456</xdr:colOff>
      <xdr:row>73</xdr:row>
      <xdr:rowOff>141002</xdr:rowOff>
    </xdr:from>
    <xdr:ext cx="730521" cy="219163"/>
    <mc:AlternateContent xmlns:mc="http://schemas.openxmlformats.org/markup-compatibility/2006" xmlns:a14="http://schemas.microsoft.com/office/drawing/2010/main">
      <mc:Choice Requires="a14">
        <xdr:sp macro="" textlink="">
          <xdr:nvSpPr>
            <xdr:cNvPr id="22" name="CuadroTexto 21">
              <a:extLst>
                <a:ext uri="{FF2B5EF4-FFF2-40B4-BE49-F238E27FC236}">
                  <a16:creationId xmlns:a16="http://schemas.microsoft.com/office/drawing/2014/main" id="{00000000-0008-0000-2800-000016000000}"/>
                </a:ext>
              </a:extLst>
            </xdr:cNvPr>
            <xdr:cNvSpPr txBox="1"/>
          </xdr:nvSpPr>
          <xdr:spPr>
            <a:xfrm>
              <a:off x="2922506" y="30059027"/>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m:t>
                  </m:r>
                  <m:sSub>
                    <m:sSubPr>
                      <m:ctrlPr>
                        <a:rPr lang="es-CO" sz="1400" b="1" i="1">
                          <a:latin typeface="Cambria Math" panose="02040503050406030204" pitchFamily="18" charset="0"/>
                          <a:ea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𝒎</m:t>
                      </m:r>
                    </m:e>
                    <m:sub>
                      <m:r>
                        <a:rPr lang="es-CO" sz="1400" b="1" i="1">
                          <a:latin typeface="Cambria Math" panose="02040503050406030204" pitchFamily="18" charset="0"/>
                          <a:ea typeface="Cambria Math" panose="02040503050406030204" pitchFamily="18" charset="0"/>
                        </a:rPr>
                        <m:t>𝒄</m:t>
                      </m:r>
                    </m:sub>
                  </m:sSub>
                </m:oMath>
              </a14:m>
              <a:r>
                <a:rPr lang="es-CO" sz="1400" b="1" i="1"/>
                <a:t> (mg</a:t>
              </a:r>
              <a:r>
                <a:rPr lang="es-CO" sz="1200" b="1" i="0"/>
                <a:t>)</a:t>
              </a:r>
            </a:p>
          </xdr:txBody>
        </xdr:sp>
      </mc:Choice>
      <mc:Fallback xmlns="">
        <xdr:sp macro="" textlink="">
          <xdr:nvSpPr>
            <xdr:cNvPr id="22" name="CuadroTexto 21">
              <a:extLst>
                <a:ext uri="{FF2B5EF4-FFF2-40B4-BE49-F238E27FC236}">
                  <a16:creationId xmlns:a16="http://schemas.microsoft.com/office/drawing/2014/main" id="{00000000-0008-0000-1900-000016000000}"/>
                </a:ext>
              </a:extLst>
            </xdr:cNvPr>
            <xdr:cNvSpPr txBox="1"/>
          </xdr:nvSpPr>
          <xdr:spPr>
            <a:xfrm>
              <a:off x="2922506" y="30059027"/>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400" b="1" i="0">
                  <a:latin typeface="Cambria Math" panose="02040503050406030204" pitchFamily="18" charset="0"/>
                  <a:ea typeface="Cambria Math" panose="02040503050406030204" pitchFamily="18" charset="0"/>
                </a:rPr>
                <a:t>∆𝒎_𝒄</a:t>
              </a:r>
              <a:r>
                <a:rPr lang="es-CO" sz="1400" b="1" i="1"/>
                <a:t> (mg</a:t>
              </a:r>
              <a:r>
                <a:rPr lang="es-CO" sz="1200" b="1" i="0"/>
                <a:t>)</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23" name="CuadroTexto 22">
              <a:extLst>
                <a:ext uri="{FF2B5EF4-FFF2-40B4-BE49-F238E27FC236}">
                  <a16:creationId xmlns:a16="http://schemas.microsoft.com/office/drawing/2014/main" id="{00000000-0008-0000-2800-000017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23" name="CuadroTexto 22">
              <a:extLst>
                <a:ext uri="{FF2B5EF4-FFF2-40B4-BE49-F238E27FC236}">
                  <a16:creationId xmlns="" xmlns:a16="http://schemas.microsoft.com/office/drawing/2014/main" xmlns:a14="http://schemas.microsoft.com/office/drawing/2010/main" id="{00000000-0008-0000-1000-000023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24" name="CuadroTexto 23">
          <a:extLst>
            <a:ext uri="{FF2B5EF4-FFF2-40B4-BE49-F238E27FC236}">
              <a16:creationId xmlns:a16="http://schemas.microsoft.com/office/drawing/2014/main" id="{00000000-0008-0000-2800-000018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25" name="CuadroTexto 24">
              <a:extLst>
                <a:ext uri="{FF2B5EF4-FFF2-40B4-BE49-F238E27FC236}">
                  <a16:creationId xmlns:a16="http://schemas.microsoft.com/office/drawing/2014/main" id="{00000000-0008-0000-2800-000019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5" name="CuadroTexto 24">
              <a:extLst>
                <a:ext uri="{FF2B5EF4-FFF2-40B4-BE49-F238E27FC236}">
                  <a16:creationId xmlns="" xmlns:a16="http://schemas.microsoft.com/office/drawing/2014/main" xmlns:a14="http://schemas.microsoft.com/office/drawing/2010/main" id="{00000000-0008-0000-1000-000026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26" name="CuadroTexto 25">
              <a:extLst>
                <a:ext uri="{FF2B5EF4-FFF2-40B4-BE49-F238E27FC236}">
                  <a16:creationId xmlns:a16="http://schemas.microsoft.com/office/drawing/2014/main" id="{00000000-0008-0000-2800-00001A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6" name="CuadroTexto 25">
              <a:extLst>
                <a:ext uri="{FF2B5EF4-FFF2-40B4-BE49-F238E27FC236}">
                  <a16:creationId xmlns="" xmlns:a16="http://schemas.microsoft.com/office/drawing/2014/main" xmlns:a14="http://schemas.microsoft.com/office/drawing/2010/main" id="{00000000-0008-0000-1000-000027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27" name="CuadroTexto 26">
              <a:extLst>
                <a:ext uri="{FF2B5EF4-FFF2-40B4-BE49-F238E27FC236}">
                  <a16:creationId xmlns:a16="http://schemas.microsoft.com/office/drawing/2014/main" id="{00000000-0008-0000-2800-00001B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7" name="CuadroTexto 26">
              <a:extLst>
                <a:ext uri="{FF2B5EF4-FFF2-40B4-BE49-F238E27FC236}">
                  <a16:creationId xmlns="" xmlns:a16="http://schemas.microsoft.com/office/drawing/2014/main" xmlns:a14="http://schemas.microsoft.com/office/drawing/2010/main" id="{00000000-0008-0000-1000-000028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8" name="CuadroTexto 27">
              <a:extLst>
                <a:ext uri="{FF2B5EF4-FFF2-40B4-BE49-F238E27FC236}">
                  <a16:creationId xmlns:a16="http://schemas.microsoft.com/office/drawing/2014/main" id="{00000000-0008-0000-2800-00001C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8" name="CuadroTexto 27">
              <a:extLst>
                <a:ext uri="{FF2B5EF4-FFF2-40B4-BE49-F238E27FC236}">
                  <a16:creationId xmlns="" xmlns:a16="http://schemas.microsoft.com/office/drawing/2014/main" xmlns:a14="http://schemas.microsoft.com/office/drawing/2010/main" id="{00000000-0008-0000-1000-000029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9" name="CuadroTexto 28">
          <a:extLst>
            <a:ext uri="{FF2B5EF4-FFF2-40B4-BE49-F238E27FC236}">
              <a16:creationId xmlns:a16="http://schemas.microsoft.com/office/drawing/2014/main" id="{00000000-0008-0000-2800-00001D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30" name="CuadroTexto 29">
              <a:extLst>
                <a:ext uri="{FF2B5EF4-FFF2-40B4-BE49-F238E27FC236}">
                  <a16:creationId xmlns:a16="http://schemas.microsoft.com/office/drawing/2014/main" id="{00000000-0008-0000-2800-00001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30" name="CuadroTexto 29">
              <a:extLst>
                <a:ext uri="{FF2B5EF4-FFF2-40B4-BE49-F238E27FC236}">
                  <a16:creationId xmlns="" xmlns:a16="http://schemas.microsoft.com/office/drawing/2014/main" xmlns:a14="http://schemas.microsoft.com/office/drawing/2010/main" id="{00000000-0008-0000-1000-000038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31" name="CuadroTexto 30">
          <a:extLst>
            <a:ext uri="{FF2B5EF4-FFF2-40B4-BE49-F238E27FC236}">
              <a16:creationId xmlns:a16="http://schemas.microsoft.com/office/drawing/2014/main" id="{00000000-0008-0000-2800-00001F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32" name="CuadroTexto 31">
              <a:extLst>
                <a:ext uri="{FF2B5EF4-FFF2-40B4-BE49-F238E27FC236}">
                  <a16:creationId xmlns:a16="http://schemas.microsoft.com/office/drawing/2014/main" id="{00000000-0008-0000-2800-000020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2" name="CuadroTexto 31">
              <a:extLst>
                <a:ext uri="{FF2B5EF4-FFF2-40B4-BE49-F238E27FC236}">
                  <a16:creationId xmlns="" xmlns:a16="http://schemas.microsoft.com/office/drawing/2014/main" xmlns:a14="http://schemas.microsoft.com/office/drawing/2010/main" id="{00000000-0008-0000-1000-00003B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33" name="CuadroTexto 32">
              <a:extLst>
                <a:ext uri="{FF2B5EF4-FFF2-40B4-BE49-F238E27FC236}">
                  <a16:creationId xmlns:a16="http://schemas.microsoft.com/office/drawing/2014/main" id="{00000000-0008-0000-2800-000021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3" name="CuadroTexto 32">
              <a:extLst>
                <a:ext uri="{FF2B5EF4-FFF2-40B4-BE49-F238E27FC236}">
                  <a16:creationId xmlns="" xmlns:a16="http://schemas.microsoft.com/office/drawing/2014/main" xmlns:a14="http://schemas.microsoft.com/office/drawing/2010/main" id="{00000000-0008-0000-1000-00003C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34" name="CuadroTexto 33">
              <a:extLst>
                <a:ext uri="{FF2B5EF4-FFF2-40B4-BE49-F238E27FC236}">
                  <a16:creationId xmlns:a16="http://schemas.microsoft.com/office/drawing/2014/main" id="{00000000-0008-0000-2800-000022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4" name="CuadroTexto 33">
              <a:extLst>
                <a:ext uri="{FF2B5EF4-FFF2-40B4-BE49-F238E27FC236}">
                  <a16:creationId xmlns="" xmlns:a16="http://schemas.microsoft.com/office/drawing/2014/main" xmlns:a14="http://schemas.microsoft.com/office/drawing/2010/main" id="{00000000-0008-0000-1000-00003D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35" name="CuadroTexto 34">
              <a:extLst>
                <a:ext uri="{FF2B5EF4-FFF2-40B4-BE49-F238E27FC236}">
                  <a16:creationId xmlns:a16="http://schemas.microsoft.com/office/drawing/2014/main" id="{00000000-0008-0000-2800-000023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5" name="CuadroTexto 34">
              <a:extLst>
                <a:ext uri="{FF2B5EF4-FFF2-40B4-BE49-F238E27FC236}">
                  <a16:creationId xmlns="" xmlns:a16="http://schemas.microsoft.com/office/drawing/2014/main" xmlns:a14="http://schemas.microsoft.com/office/drawing/2010/main" id="{00000000-0008-0000-1000-00003E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36" name="CuadroTexto 35">
          <a:extLst>
            <a:ext uri="{FF2B5EF4-FFF2-40B4-BE49-F238E27FC236}">
              <a16:creationId xmlns:a16="http://schemas.microsoft.com/office/drawing/2014/main" id="{00000000-0008-0000-2800-000024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11</xdr:col>
      <xdr:colOff>628650</xdr:colOff>
      <xdr:row>61</xdr:row>
      <xdr:rowOff>0</xdr:rowOff>
    </xdr:from>
    <xdr:ext cx="65" cy="172227"/>
    <xdr:sp macro="" textlink="">
      <xdr:nvSpPr>
        <xdr:cNvPr id="38" name="CuadroTexto 37">
          <a:extLst>
            <a:ext uri="{FF2B5EF4-FFF2-40B4-BE49-F238E27FC236}">
              <a16:creationId xmlns:a16="http://schemas.microsoft.com/office/drawing/2014/main" id="{00000000-0008-0000-2800-000026000000}"/>
            </a:ext>
          </a:extLst>
        </xdr:cNvPr>
        <xdr:cNvSpPr txBox="1"/>
      </xdr:nvSpPr>
      <xdr:spPr>
        <a:xfrm>
          <a:off x="12001500" y="2272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5</xdr:col>
      <xdr:colOff>539750</xdr:colOff>
      <xdr:row>73</xdr:row>
      <xdr:rowOff>158749</xdr:rowOff>
    </xdr:from>
    <xdr:ext cx="984250" cy="210507"/>
    <mc:AlternateContent xmlns:mc="http://schemas.openxmlformats.org/markup-compatibility/2006" xmlns:a14="http://schemas.microsoft.com/office/drawing/2010/main">
      <mc:Choice Requires="a14">
        <xdr:sp macro="" textlink="">
          <xdr:nvSpPr>
            <xdr:cNvPr id="39" name="CuadroTexto 38">
              <a:extLst>
                <a:ext uri="{FF2B5EF4-FFF2-40B4-BE49-F238E27FC236}">
                  <a16:creationId xmlns:a16="http://schemas.microsoft.com/office/drawing/2014/main" id="{00000000-0008-0000-2800-000027000000}"/>
                </a:ext>
              </a:extLst>
            </xdr:cNvPr>
            <xdr:cNvSpPr txBox="1"/>
          </xdr:nvSpPr>
          <xdr:spPr>
            <a:xfrm>
              <a:off x="5397500" y="30076774"/>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𝒆</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39" name="CuadroTexto 38">
              <a:extLst>
                <a:ext uri="{FF2B5EF4-FFF2-40B4-BE49-F238E27FC236}">
                  <a16:creationId xmlns:a16="http://schemas.microsoft.com/office/drawing/2014/main" id="{00000000-0008-0000-1900-000027000000}"/>
                </a:ext>
              </a:extLst>
            </xdr:cNvPr>
            <xdr:cNvSpPr txBox="1"/>
          </xdr:nvSpPr>
          <xdr:spPr>
            <a:xfrm>
              <a:off x="5397500" y="30076774"/>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𝒆 𝒄𝒕</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4</xdr:col>
      <xdr:colOff>52917</xdr:colOff>
      <xdr:row>73</xdr:row>
      <xdr:rowOff>148167</xdr:rowOff>
    </xdr:from>
    <xdr:ext cx="984250" cy="210507"/>
    <mc:AlternateContent xmlns:mc="http://schemas.openxmlformats.org/markup-compatibility/2006" xmlns:a14="http://schemas.microsoft.com/office/drawing/2010/main">
      <mc:Choice Requires="a14">
        <xdr:sp macro="" textlink="">
          <xdr:nvSpPr>
            <xdr:cNvPr id="40" name="CuadroTexto 39">
              <a:extLst>
                <a:ext uri="{FF2B5EF4-FFF2-40B4-BE49-F238E27FC236}">
                  <a16:creationId xmlns:a16="http://schemas.microsoft.com/office/drawing/2014/main" id="{00000000-0008-0000-2800-000028000000}"/>
                </a:ext>
              </a:extLst>
            </xdr:cNvPr>
            <xdr:cNvSpPr txBox="1"/>
          </xdr:nvSpPr>
          <xdr:spPr>
            <a:xfrm>
              <a:off x="3872442" y="30066192"/>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0" name="CuadroTexto 39">
              <a:extLst>
                <a:ext uri="{FF2B5EF4-FFF2-40B4-BE49-F238E27FC236}">
                  <a16:creationId xmlns:a16="http://schemas.microsoft.com/office/drawing/2014/main" id="{00000000-0008-0000-1900-000028000000}"/>
                </a:ext>
              </a:extLst>
            </xdr:cNvPr>
            <xdr:cNvSpPr txBox="1"/>
          </xdr:nvSpPr>
          <xdr:spPr>
            <a:xfrm>
              <a:off x="3872442" y="30066192"/>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𝒄𝒕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1</xdr:col>
      <xdr:colOff>23812</xdr:colOff>
      <xdr:row>73</xdr:row>
      <xdr:rowOff>95250</xdr:rowOff>
    </xdr:from>
    <xdr:ext cx="724958" cy="214313"/>
    <mc:AlternateContent xmlns:mc="http://schemas.openxmlformats.org/markup-compatibility/2006" xmlns:a14="http://schemas.microsoft.com/office/drawing/2010/main">
      <mc:Choice Requires="a14">
        <xdr:sp macro="" textlink="">
          <xdr:nvSpPr>
            <xdr:cNvPr id="42" name="CuadroTexto 41">
              <a:extLst>
                <a:ext uri="{FF2B5EF4-FFF2-40B4-BE49-F238E27FC236}">
                  <a16:creationId xmlns:a16="http://schemas.microsoft.com/office/drawing/2014/main" id="{00000000-0008-0000-2800-00002A000000}"/>
                </a:ext>
              </a:extLst>
            </xdr:cNvPr>
            <xdr:cNvSpPr txBox="1"/>
          </xdr:nvSpPr>
          <xdr:spPr>
            <a:xfrm>
              <a:off x="1000125" y="30206156"/>
              <a:ext cx="724958" cy="2143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𝑵𝒓</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2" name="CuadroTexto 41">
              <a:extLst>
                <a:ext uri="{FF2B5EF4-FFF2-40B4-BE49-F238E27FC236}">
                  <a16:creationId xmlns:a16="http://schemas.microsoft.com/office/drawing/2014/main" id="{00000000-0008-0000-1900-00002A000000}"/>
                </a:ext>
              </a:extLst>
            </xdr:cNvPr>
            <xdr:cNvSpPr txBox="1"/>
          </xdr:nvSpPr>
          <xdr:spPr>
            <a:xfrm>
              <a:off x="1000125" y="30206156"/>
              <a:ext cx="724958" cy="2143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𝑵𝒓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8</xdr:col>
      <xdr:colOff>648230</xdr:colOff>
      <xdr:row>73</xdr:row>
      <xdr:rowOff>166689</xdr:rowOff>
    </xdr:from>
    <xdr:ext cx="1524000" cy="210507"/>
    <mc:AlternateContent xmlns:mc="http://schemas.openxmlformats.org/markup-compatibility/2006" xmlns:a14="http://schemas.microsoft.com/office/drawing/2010/main">
      <mc:Choice Requires="a14">
        <xdr:sp macro="" textlink="">
          <xdr:nvSpPr>
            <xdr:cNvPr id="43" name="CuadroTexto 42">
              <a:extLst>
                <a:ext uri="{FF2B5EF4-FFF2-40B4-BE49-F238E27FC236}">
                  <a16:creationId xmlns:a16="http://schemas.microsoft.com/office/drawing/2014/main" id="{00000000-0008-0000-2800-00002B000000}"/>
                </a:ext>
              </a:extLst>
            </xdr:cNvPr>
            <xdr:cNvSpPr txBox="1"/>
          </xdr:nvSpPr>
          <xdr:spPr>
            <a:xfrm>
              <a:off x="9990668" y="30495877"/>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𝑼</m:t>
                  </m:r>
                  <m:r>
                    <a:rPr lang="es-CO" sz="1400" b="1" i="1">
                      <a:latin typeface="Cambria Math" panose="02040503050406030204" pitchFamily="18" charset="0"/>
                      <a:ea typeface="Cambria Math" panose="02040503050406030204" pitchFamily="18" charset="0"/>
                    </a:rPr>
                    <m:t> </m:t>
                  </m:r>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 </m:t>
                  </m:r>
                  <m:r>
                    <a:rPr lang="es-CO" sz="1400" b="1" i="1">
                      <a:latin typeface="Cambria Math" panose="02040503050406030204" pitchFamily="18" charset="0"/>
                      <a:ea typeface="Cambria Math" panose="02040503050406030204" pitchFamily="18" charset="0"/>
                    </a:rPr>
                    <m:t>𝒌</m:t>
                  </m:r>
                  <m:r>
                    <a:rPr lang="es-CO" sz="1400" b="1" i="1">
                      <a:latin typeface="Cambria Math" panose="02040503050406030204" pitchFamily="18" charset="0"/>
                      <a:ea typeface="Cambria Math" panose="02040503050406030204" pitchFamily="18" charset="0"/>
                    </a:rPr>
                    <m:t>=</m:t>
                  </m:r>
                  <m:r>
                    <a:rPr lang="es-CO" sz="1400" b="1" i="1">
                      <a:latin typeface="Cambria Math" panose="02040503050406030204" pitchFamily="18" charset="0"/>
                      <a:ea typeface="Cambria Math" panose="02040503050406030204" pitchFamily="18" charset="0"/>
                    </a:rPr>
                    <m:t>𝟐</m:t>
                  </m:r>
                </m:oMath>
              </a14:m>
              <a:r>
                <a:rPr lang="es-CO" sz="1400" b="1" i="1">
                  <a:latin typeface="Arial" panose="020B0604020202020204" pitchFamily="34" charset="0"/>
                  <a:cs typeface="Arial" panose="020B0604020202020204" pitchFamily="34" charset="0"/>
                </a:rPr>
                <a:t>)</a:t>
              </a:r>
            </a:p>
          </xdr:txBody>
        </xdr:sp>
      </mc:Choice>
      <mc:Fallback xmlns="">
        <xdr:sp macro="" textlink="">
          <xdr:nvSpPr>
            <xdr:cNvPr id="43" name="CuadroTexto 42">
              <a:extLst>
                <a:ext uri="{FF2B5EF4-FFF2-40B4-BE49-F238E27FC236}">
                  <a16:creationId xmlns:a16="http://schemas.microsoft.com/office/drawing/2014/main" id="{00000000-0008-0000-1900-00002B000000}"/>
                </a:ext>
              </a:extLst>
            </xdr:cNvPr>
            <xdr:cNvSpPr txBox="1"/>
          </xdr:nvSpPr>
          <xdr:spPr>
            <a:xfrm>
              <a:off x="9990668" y="30495877"/>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0">
                  <a:latin typeface="Cambria Math" panose="02040503050406030204" pitchFamily="18" charset="0"/>
                  <a:ea typeface="Cambria Math" panose="02040503050406030204" pitchFamily="18" charset="0"/>
                </a:rPr>
                <a:t>𝑼 ( 𝒎 𝒄𝒕 )  ( 𝒌=𝟐</a:t>
              </a:r>
              <a:r>
                <a:rPr lang="es-CO" sz="1400" b="1" i="1">
                  <a:latin typeface="Arial" panose="020B0604020202020204" pitchFamily="34" charset="0"/>
                  <a:cs typeface="Arial" panose="020B0604020202020204" pitchFamily="34" charset="0"/>
                </a:rPr>
                <a:t>)</a:t>
              </a:r>
            </a:p>
          </xdr:txBody>
        </xdr:sp>
      </mc:Fallback>
    </mc:AlternateContent>
    <xdr:clientData/>
  </xdr:oneCellAnchor>
  <xdr:oneCellAnchor>
    <xdr:from>
      <xdr:col>9</xdr:col>
      <xdr:colOff>603252</xdr:colOff>
      <xdr:row>74</xdr:row>
      <xdr:rowOff>84667</xdr:rowOff>
    </xdr:from>
    <xdr:ext cx="465666" cy="219163"/>
    <xdr:sp macro="" textlink="">
      <xdr:nvSpPr>
        <xdr:cNvPr id="44" name="CuadroTexto 43">
          <a:extLst>
            <a:ext uri="{FF2B5EF4-FFF2-40B4-BE49-F238E27FC236}">
              <a16:creationId xmlns:a16="http://schemas.microsoft.com/office/drawing/2014/main" id="{00000000-0008-0000-2800-00002C000000}"/>
            </a:ext>
          </a:extLst>
        </xdr:cNvPr>
        <xdr:cNvSpPr txBox="1"/>
      </xdr:nvSpPr>
      <xdr:spPr>
        <a:xfrm>
          <a:off x="10299702" y="30517042"/>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9</xdr:col>
      <xdr:colOff>571499</xdr:colOff>
      <xdr:row>75</xdr:row>
      <xdr:rowOff>116416</xdr:rowOff>
    </xdr:from>
    <xdr:ext cx="359835" cy="219163"/>
    <xdr:sp macro="" textlink="">
      <xdr:nvSpPr>
        <xdr:cNvPr id="45" name="CuadroTexto 44">
          <a:extLst>
            <a:ext uri="{FF2B5EF4-FFF2-40B4-BE49-F238E27FC236}">
              <a16:creationId xmlns:a16="http://schemas.microsoft.com/office/drawing/2014/main" id="{00000000-0008-0000-2800-00002D000000}"/>
            </a:ext>
          </a:extLst>
        </xdr:cNvPr>
        <xdr:cNvSpPr txBox="1"/>
      </xdr:nvSpPr>
      <xdr:spPr>
        <a:xfrm>
          <a:off x="10267949" y="30986941"/>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6</xdr:col>
      <xdr:colOff>275167</xdr:colOff>
      <xdr:row>74</xdr:row>
      <xdr:rowOff>148166</xdr:rowOff>
    </xdr:from>
    <xdr:ext cx="465666" cy="219163"/>
    <xdr:sp macro="" textlink="">
      <xdr:nvSpPr>
        <xdr:cNvPr id="46" name="CuadroTexto 45">
          <a:extLst>
            <a:ext uri="{FF2B5EF4-FFF2-40B4-BE49-F238E27FC236}">
              <a16:creationId xmlns:a16="http://schemas.microsoft.com/office/drawing/2014/main" id="{00000000-0008-0000-2800-00002E000000}"/>
            </a:ext>
          </a:extLst>
        </xdr:cNvPr>
        <xdr:cNvSpPr txBox="1"/>
      </xdr:nvSpPr>
      <xdr:spPr>
        <a:xfrm>
          <a:off x="6371167" y="30580541"/>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6</xdr:col>
      <xdr:colOff>328083</xdr:colOff>
      <xdr:row>75</xdr:row>
      <xdr:rowOff>84667</xdr:rowOff>
    </xdr:from>
    <xdr:ext cx="359835" cy="219163"/>
    <xdr:sp macro="" textlink="">
      <xdr:nvSpPr>
        <xdr:cNvPr id="47" name="CuadroTexto 46">
          <a:extLst>
            <a:ext uri="{FF2B5EF4-FFF2-40B4-BE49-F238E27FC236}">
              <a16:creationId xmlns:a16="http://schemas.microsoft.com/office/drawing/2014/main" id="{00000000-0008-0000-2800-00002F000000}"/>
            </a:ext>
          </a:extLst>
        </xdr:cNvPr>
        <xdr:cNvSpPr txBox="1"/>
      </xdr:nvSpPr>
      <xdr:spPr>
        <a:xfrm>
          <a:off x="6424083" y="30955192"/>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3</xdr:col>
      <xdr:colOff>560916</xdr:colOff>
      <xdr:row>72</xdr:row>
      <xdr:rowOff>74084</xdr:rowOff>
    </xdr:from>
    <xdr:ext cx="1524000" cy="210507"/>
    <mc:AlternateContent xmlns:mc="http://schemas.openxmlformats.org/markup-compatibility/2006" xmlns:a14="http://schemas.microsoft.com/office/drawing/2010/main">
      <mc:Choice Requires="a14">
        <xdr:sp macro="" textlink="">
          <xdr:nvSpPr>
            <xdr:cNvPr id="48" name="CuadroTexto 47">
              <a:extLst>
                <a:ext uri="{FF2B5EF4-FFF2-40B4-BE49-F238E27FC236}">
                  <a16:creationId xmlns:a16="http://schemas.microsoft.com/office/drawing/2014/main" id="{00000000-0008-0000-2800-000030000000}"/>
                </a:ext>
              </a:extLst>
            </xdr:cNvPr>
            <xdr:cNvSpPr txBox="1"/>
          </xdr:nvSpPr>
          <xdr:spPr>
            <a:xfrm>
              <a:off x="3246966" y="29553959"/>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m:t>
                    </m:r>
                  </m:oMath>
                </m:oMathPara>
              </a14:m>
              <a:endParaRPr lang="es-CO" sz="1400" b="1" i="1">
                <a:latin typeface="Arial" panose="020B0604020202020204" pitchFamily="34" charset="0"/>
                <a:cs typeface="Arial" panose="020B0604020202020204" pitchFamily="34" charset="0"/>
              </a:endParaRPr>
            </a:p>
          </xdr:txBody>
        </xdr:sp>
      </mc:Choice>
      <mc:Fallback xmlns="">
        <xdr:sp macro="" textlink="">
          <xdr:nvSpPr>
            <xdr:cNvPr id="48" name="CuadroTexto 47">
              <a:extLst>
                <a:ext uri="{FF2B5EF4-FFF2-40B4-BE49-F238E27FC236}">
                  <a16:creationId xmlns:a16="http://schemas.microsoft.com/office/drawing/2014/main" id="{00000000-0008-0000-1900-000030000000}"/>
                </a:ext>
              </a:extLst>
            </xdr:cNvPr>
            <xdr:cNvSpPr txBox="1"/>
          </xdr:nvSpPr>
          <xdr:spPr>
            <a:xfrm>
              <a:off x="3246966" y="29553959"/>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 𝒎 𝒄𝒕 )   </a:t>
              </a:r>
              <a:endParaRPr lang="es-CO" sz="1400" b="1" i="1">
                <a:latin typeface="Arial" panose="020B0604020202020204" pitchFamily="34" charset="0"/>
                <a:cs typeface="Arial" panose="020B0604020202020204" pitchFamily="34" charset="0"/>
              </a:endParaRPr>
            </a:p>
          </xdr:txBody>
        </xdr:sp>
      </mc:Fallback>
    </mc:AlternateContent>
    <xdr:clientData/>
  </xdr:oneCellAnchor>
  <xdr:oneCellAnchor>
    <xdr:from>
      <xdr:col>7</xdr:col>
      <xdr:colOff>411956</xdr:colOff>
      <xdr:row>71</xdr:row>
      <xdr:rowOff>406003</xdr:rowOff>
    </xdr:from>
    <xdr:ext cx="65" cy="172227"/>
    <xdr:sp macro="" textlink="">
      <xdr:nvSpPr>
        <xdr:cNvPr id="49" name="CuadroTexto 48">
          <a:extLst>
            <a:ext uri="{FF2B5EF4-FFF2-40B4-BE49-F238E27FC236}">
              <a16:creationId xmlns:a16="http://schemas.microsoft.com/office/drawing/2014/main" id="{00000000-0008-0000-2800-000031000000}"/>
            </a:ext>
          </a:extLst>
        </xdr:cNvPr>
        <xdr:cNvSpPr txBox="1"/>
      </xdr:nvSpPr>
      <xdr:spPr>
        <a:xfrm>
          <a:off x="7555706" y="29457253"/>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51" name="CuadroTexto 50">
              <a:extLst>
                <a:ext uri="{FF2B5EF4-FFF2-40B4-BE49-F238E27FC236}">
                  <a16:creationId xmlns:a16="http://schemas.microsoft.com/office/drawing/2014/main" id="{00000000-0008-0000-2800-000033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51" name="CuadroTexto 50">
              <a:extLst>
                <a:ext uri="{FF2B5EF4-FFF2-40B4-BE49-F238E27FC236}">
                  <a16:creationId xmlns:a16="http://schemas.microsoft.com/office/drawing/2014/main" id="{F58B06E8-CFFF-4A7C-85F5-F4F7A16F8309}"/>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52" name="CuadroTexto 51">
              <a:extLst>
                <a:ext uri="{FF2B5EF4-FFF2-40B4-BE49-F238E27FC236}">
                  <a16:creationId xmlns:a16="http://schemas.microsoft.com/office/drawing/2014/main" id="{00000000-0008-0000-2800-000034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52" name="CuadroTexto 51">
              <a:extLst>
                <a:ext uri="{FF2B5EF4-FFF2-40B4-BE49-F238E27FC236}">
                  <a16:creationId xmlns:a16="http://schemas.microsoft.com/office/drawing/2014/main" id="{E4DB4DAA-CFE3-4B34-BF65-ED0C0F66BFDD}"/>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53" name="CuadroTexto 52">
              <a:extLst>
                <a:ext uri="{FF2B5EF4-FFF2-40B4-BE49-F238E27FC236}">
                  <a16:creationId xmlns:a16="http://schemas.microsoft.com/office/drawing/2014/main" id="{00000000-0008-0000-2800-000035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53" name="CuadroTexto 52">
              <a:extLst>
                <a:ext uri="{FF2B5EF4-FFF2-40B4-BE49-F238E27FC236}">
                  <a16:creationId xmlns:a16="http://schemas.microsoft.com/office/drawing/2014/main" id="{DA86B98C-CF3F-4FE2-A84E-B5CAF4691E7A}"/>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twoCellAnchor>
    <xdr:from>
      <xdr:col>7</xdr:col>
      <xdr:colOff>849312</xdr:colOff>
      <xdr:row>62</xdr:row>
      <xdr:rowOff>254000</xdr:rowOff>
    </xdr:from>
    <xdr:to>
      <xdr:col>11</xdr:col>
      <xdr:colOff>785811</xdr:colOff>
      <xdr:row>64</xdr:row>
      <xdr:rowOff>523875</xdr:rowOff>
    </xdr:to>
    <xdr:graphicFrame macro="">
      <xdr:nvGraphicFramePr>
        <xdr:cNvPr id="54" name="Gráfico 53">
          <a:extLst>
            <a:ext uri="{FF2B5EF4-FFF2-40B4-BE49-F238E27FC236}">
              <a16:creationId xmlns:a16="http://schemas.microsoft.com/office/drawing/2014/main" id="{00000000-0008-0000-2800-00003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214313</xdr:colOff>
      <xdr:row>0</xdr:row>
      <xdr:rowOff>47625</xdr:rowOff>
    </xdr:from>
    <xdr:to>
      <xdr:col>1</xdr:col>
      <xdr:colOff>609719</xdr:colOff>
      <xdr:row>0</xdr:row>
      <xdr:rowOff>687760</xdr:rowOff>
    </xdr:to>
    <xdr:pic>
      <xdr:nvPicPr>
        <xdr:cNvPr id="55" name="54 Imagen">
          <a:extLst>
            <a:ext uri="{FF2B5EF4-FFF2-40B4-BE49-F238E27FC236}">
              <a16:creationId xmlns:a16="http://schemas.microsoft.com/office/drawing/2014/main" id="{00000000-0008-0000-2800-000037000000}"/>
            </a:ext>
          </a:extLst>
        </xdr:cNvPr>
        <xdr:cNvPicPr>
          <a:picLocks noChangeAspect="1"/>
        </xdr:cNvPicPr>
      </xdr:nvPicPr>
      <xdr:blipFill>
        <a:blip xmlns:r="http://schemas.openxmlformats.org/officeDocument/2006/relationships" r:embed="rId2"/>
        <a:stretch>
          <a:fillRect/>
        </a:stretch>
      </xdr:blipFill>
      <xdr:spPr>
        <a:xfrm>
          <a:off x="214313" y="47625"/>
          <a:ext cx="1371719" cy="640135"/>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oneCellAnchor>
    <xdr:from>
      <xdr:col>2</xdr:col>
      <xdr:colOff>404812</xdr:colOff>
      <xdr:row>62</xdr:row>
      <xdr:rowOff>126206</xdr:rowOff>
    </xdr:from>
    <xdr:ext cx="3692934" cy="210507"/>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00000000-0008-0000-2900-000002000000}"/>
                </a:ext>
              </a:extLst>
            </xdr:cNvPr>
            <xdr:cNvSpPr txBox="1"/>
          </xdr:nvSpPr>
          <xdr:spPr>
            <a:xfrm>
              <a:off x="1857375" y="21843206"/>
              <a:ext cx="3692934" cy="210507"/>
            </a:xfrm>
            <a:prstGeom prst="rect">
              <a:avLst/>
            </a:prstGeom>
            <a:solidFill>
              <a:sysClr val="window" lastClr="FFFFFF"/>
            </a:solidFill>
            <a:ln>
              <a:solidFill>
                <a:schemeClr val="bg1"/>
              </a:solidFill>
            </a:ln>
          </xdr:spPr>
          <xdr:style>
            <a:lnRef idx="2">
              <a:schemeClr val="dk1"/>
            </a:lnRef>
            <a:fillRef idx="1">
              <a:schemeClr val="lt1"/>
            </a:fillRef>
            <a:effectRef idx="0">
              <a:schemeClr val="dk1"/>
            </a:effectRef>
            <a:fontRef idx="minor">
              <a:schemeClr val="dk1"/>
            </a:fontRef>
          </xdr:style>
          <xdr:txBody>
            <a:bodyPr vertOverflow="clip" horzOverflow="clip" wrap="none" lIns="0" tIns="0" rIns="0" bIns="0" rtlCol="0" anchor="t">
              <a:spAutoFit/>
            </a:bodyPr>
            <a:lstStyle/>
            <a:p>
              <a14:m>
                <m:oMath xmlns:m="http://schemas.openxmlformats.org/officeDocument/2006/math">
                  <m:r>
                    <a:rPr lang="es-CO" sz="1400" b="0" i="1">
                      <a:solidFill>
                        <a:schemeClr val="bg1"/>
                      </a:solidFill>
                      <a:latin typeface="Cambria Math" panose="02040503050406030204" pitchFamily="18" charset="0"/>
                      <a:ea typeface="Cambria Math" panose="02040503050406030204" pitchFamily="18" charset="0"/>
                    </a:rPr>
                    <m:t>𝑅𝑒𝑔𝑙𝑎</m:t>
                  </m:r>
                  <m:r>
                    <a:rPr lang="es-CO" sz="1400" b="0" i="1">
                      <a:solidFill>
                        <a:schemeClr val="bg1"/>
                      </a:solidFill>
                      <a:latin typeface="Cambria Math" panose="02040503050406030204" pitchFamily="18" charset="0"/>
                      <a:ea typeface="Cambria Math" panose="02040503050406030204" pitchFamily="18" charset="0"/>
                    </a:rPr>
                    <m:t> </m:t>
                  </m:r>
                  <m:r>
                    <a:rPr lang="es-CO" sz="1400" b="0" i="1">
                      <a:solidFill>
                        <a:schemeClr val="bg1"/>
                      </a:solidFill>
                      <a:latin typeface="Cambria Math" panose="02040503050406030204" pitchFamily="18" charset="0"/>
                      <a:ea typeface="Cambria Math" panose="02040503050406030204" pitchFamily="18" charset="0"/>
                    </a:rPr>
                    <m:t>𝑑𝑒</m:t>
                  </m:r>
                  <m:r>
                    <a:rPr lang="es-CO" sz="1400" b="0" i="1">
                      <a:solidFill>
                        <a:schemeClr val="bg1"/>
                      </a:solidFill>
                      <a:latin typeface="Cambria Math" panose="02040503050406030204" pitchFamily="18" charset="0"/>
                      <a:ea typeface="Cambria Math" panose="02040503050406030204" pitchFamily="18" charset="0"/>
                    </a:rPr>
                    <m:t> </m:t>
                  </m:r>
                  <m:r>
                    <a:rPr lang="es-CO" sz="1400" b="0" i="1">
                      <a:solidFill>
                        <a:schemeClr val="bg1"/>
                      </a:solidFill>
                      <a:latin typeface="Cambria Math" panose="02040503050406030204" pitchFamily="18" charset="0"/>
                      <a:ea typeface="Cambria Math" panose="02040503050406030204" pitchFamily="18" charset="0"/>
                    </a:rPr>
                    <m:t>𝑑𝑒𝑐𝑖𝑠𝑖</m:t>
                  </m:r>
                  <m:r>
                    <a:rPr lang="es-CO" sz="1400" b="0" i="1">
                      <a:solidFill>
                        <a:schemeClr val="bg1"/>
                      </a:solidFill>
                      <a:latin typeface="Cambria Math" panose="02040503050406030204" pitchFamily="18" charset="0"/>
                      <a:ea typeface="Cambria Math" panose="02040503050406030204" pitchFamily="18" charset="0"/>
                    </a:rPr>
                    <m:t>ó</m:t>
                  </m:r>
                  <m:r>
                    <a:rPr lang="es-CO" sz="1400" b="0" i="1">
                      <a:solidFill>
                        <a:schemeClr val="bg1"/>
                      </a:solidFill>
                      <a:latin typeface="Cambria Math" panose="02040503050406030204" pitchFamily="18" charset="0"/>
                      <a:ea typeface="Cambria Math" panose="02040503050406030204" pitchFamily="18" charset="0"/>
                    </a:rPr>
                    <m:t>𝑛</m:t>
                  </m:r>
                  <m:r>
                    <a:rPr lang="es-CO" sz="1400" b="0" i="1">
                      <a:solidFill>
                        <a:schemeClr val="bg1"/>
                      </a:solidFill>
                      <a:latin typeface="Cambria Math" panose="02040503050406030204" pitchFamily="18" charset="0"/>
                      <a:ea typeface="Cambria Math" panose="02040503050406030204" pitchFamily="18" charset="0"/>
                    </a:rPr>
                    <m:t>=|</m:t>
                  </m:r>
                  <m:r>
                    <a:rPr lang="es-CO" sz="1400" b="0" i="1">
                      <a:solidFill>
                        <a:schemeClr val="bg1"/>
                      </a:solidFill>
                      <a:latin typeface="Cambria Math" panose="02040503050406030204" pitchFamily="18" charset="0"/>
                      <a:ea typeface="Cambria Math" panose="02040503050406030204" pitchFamily="18" charset="0"/>
                    </a:rPr>
                    <m:t>𝐸</m:t>
                  </m:r>
                  <m:r>
                    <a:rPr lang="es-CO" sz="1400" b="0" i="1">
                      <a:solidFill>
                        <a:schemeClr val="bg1"/>
                      </a:solidFill>
                      <a:latin typeface="Cambria Math" panose="02040503050406030204" pitchFamily="18" charset="0"/>
                      <a:ea typeface="Cambria Math" panose="02040503050406030204" pitchFamily="18" charset="0"/>
                    </a:rPr>
                    <m:t>|+</m:t>
                  </m:r>
                  <m:r>
                    <a:rPr lang="es-CO" sz="1400" b="0" i="1">
                      <a:solidFill>
                        <a:schemeClr val="bg1"/>
                      </a:solidFill>
                      <a:latin typeface="Cambria Math" panose="02040503050406030204" pitchFamily="18" charset="0"/>
                      <a:ea typeface="Cambria Math" panose="02040503050406030204" pitchFamily="18" charset="0"/>
                    </a:rPr>
                    <m:t>𝑈</m:t>
                  </m:r>
                  <m:r>
                    <a:rPr lang="es-CO" sz="1400" b="0" i="1">
                      <a:solidFill>
                        <a:schemeClr val="bg1"/>
                      </a:solidFill>
                      <a:latin typeface="Cambria Math" panose="02040503050406030204" pitchFamily="18" charset="0"/>
                      <a:ea typeface="Cambria Math" panose="02040503050406030204" pitchFamily="18" charset="0"/>
                    </a:rPr>
                    <m:t>≤</m:t>
                  </m:r>
                  <m:r>
                    <a:rPr lang="es-CO" sz="1400" b="0" i="1">
                      <a:solidFill>
                        <a:schemeClr val="bg1"/>
                      </a:solidFill>
                      <a:latin typeface="Cambria Math" panose="02040503050406030204" pitchFamily="18" charset="0"/>
                      <a:ea typeface="Cambria Math" panose="02040503050406030204" pitchFamily="18" charset="0"/>
                    </a:rPr>
                    <m:t>𝐸𝑀𝑃</m:t>
                  </m:r>
                </m:oMath>
              </a14:m>
              <a:r>
                <a:rPr lang="es-CO" sz="1400">
                  <a:solidFill>
                    <a:schemeClr val="bg1"/>
                  </a:solidFill>
                  <a:latin typeface="Arial" panose="020B0604020202020204" pitchFamily="34" charset="0"/>
                  <a:cs typeface="Arial" panose="020B0604020202020204" pitchFamily="34" charset="0"/>
                </a:rPr>
                <a:t> </a:t>
              </a:r>
              <a:r>
                <a:rPr lang="es-CO" sz="1400" b="0">
                  <a:solidFill>
                    <a:schemeClr val="bg1"/>
                  </a:solidFill>
                  <a:latin typeface="Arial" panose="020B0604020202020204" pitchFamily="34" charset="0"/>
                  <a:cs typeface="Arial" panose="020B0604020202020204" pitchFamily="34" charset="0"/>
                </a:rPr>
                <a:t>= </a:t>
              </a:r>
              <a:r>
                <a:rPr lang="es-CO" sz="1200" b="0" i="0">
                  <a:solidFill>
                    <a:schemeClr val="bg1"/>
                  </a:solidFill>
                  <a:latin typeface="Arial" panose="020B0604020202020204" pitchFamily="34" charset="0"/>
                  <a:cs typeface="Arial" panose="020B0604020202020204" pitchFamily="34" charset="0"/>
                </a:rPr>
                <a:t>CUMPLE</a:t>
              </a:r>
            </a:p>
          </xdr:txBody>
        </xdr:sp>
      </mc:Choice>
      <mc:Fallback xmlns="">
        <xdr:sp macro="" textlink="">
          <xdr:nvSpPr>
            <xdr:cNvPr id="2" name="CuadroTexto 1">
              <a:extLst>
                <a:ext uri="{FF2B5EF4-FFF2-40B4-BE49-F238E27FC236}">
                  <a16:creationId xmlns:a16="http://schemas.microsoft.com/office/drawing/2014/main" xmlns:a14="http://schemas.microsoft.com/office/drawing/2010/main" xmlns="" id="{E66EADB4-BDE0-491F-A7F8-6DC00A2D2555}"/>
                </a:ext>
              </a:extLst>
            </xdr:cNvPr>
            <xdr:cNvSpPr txBox="1"/>
          </xdr:nvSpPr>
          <xdr:spPr>
            <a:xfrm>
              <a:off x="1857375" y="21843206"/>
              <a:ext cx="3692934" cy="210507"/>
            </a:xfrm>
            <a:prstGeom prst="rect">
              <a:avLst/>
            </a:prstGeom>
            <a:solidFill>
              <a:sysClr val="window" lastClr="FFFFFF"/>
            </a:solidFill>
            <a:ln>
              <a:solidFill>
                <a:schemeClr val="bg1"/>
              </a:solidFill>
            </a:ln>
          </xdr:spPr>
          <xdr:style>
            <a:lnRef idx="2">
              <a:schemeClr val="dk1"/>
            </a:lnRef>
            <a:fillRef idx="1">
              <a:schemeClr val="lt1"/>
            </a:fillRef>
            <a:effectRef idx="0">
              <a:schemeClr val="dk1"/>
            </a:effectRef>
            <a:fontRef idx="minor">
              <a:schemeClr val="dk1"/>
            </a:fontRef>
          </xdr:style>
          <xdr:txBody>
            <a:bodyPr vertOverflow="clip" horzOverflow="clip" wrap="none" lIns="0" tIns="0" rIns="0" bIns="0" rtlCol="0" anchor="t">
              <a:spAutoFit/>
            </a:bodyPr>
            <a:lstStyle/>
            <a:p>
              <a:r>
                <a:rPr lang="es-CO" sz="1400" b="0" i="0">
                  <a:solidFill>
                    <a:schemeClr val="bg1"/>
                  </a:solidFill>
                  <a:latin typeface="Cambria Math" panose="02040503050406030204" pitchFamily="18" charset="0"/>
                  <a:ea typeface="Cambria Math" panose="02040503050406030204" pitchFamily="18" charset="0"/>
                </a:rPr>
                <a:t>𝑅𝑒𝑔𝑙𝑎 𝑑𝑒 𝑑𝑒𝑐𝑖𝑠𝑖ó𝑛=|𝐸|+𝑈≤𝐸𝑀𝑃</a:t>
              </a:r>
              <a:r>
                <a:rPr lang="es-CO" sz="1400">
                  <a:solidFill>
                    <a:schemeClr val="bg1"/>
                  </a:solidFill>
                  <a:latin typeface="Arial" panose="020B0604020202020204" pitchFamily="34" charset="0"/>
                  <a:cs typeface="Arial" panose="020B0604020202020204" pitchFamily="34" charset="0"/>
                </a:rPr>
                <a:t> </a:t>
              </a:r>
              <a:r>
                <a:rPr lang="es-CO" sz="1400" b="0">
                  <a:solidFill>
                    <a:schemeClr val="bg1"/>
                  </a:solidFill>
                  <a:latin typeface="Arial" panose="020B0604020202020204" pitchFamily="34" charset="0"/>
                  <a:cs typeface="Arial" panose="020B0604020202020204" pitchFamily="34" charset="0"/>
                </a:rPr>
                <a:t>= </a:t>
              </a:r>
              <a:r>
                <a:rPr lang="es-CO" sz="1200" b="0" i="0">
                  <a:solidFill>
                    <a:schemeClr val="bg1"/>
                  </a:solidFill>
                  <a:latin typeface="Arial" panose="020B0604020202020204" pitchFamily="34" charset="0"/>
                  <a:cs typeface="Arial" panose="020B0604020202020204" pitchFamily="34" charset="0"/>
                </a:rPr>
                <a:t>CUMPLE</a:t>
              </a:r>
            </a:p>
          </xdr:txBody>
        </xdr:sp>
      </mc:Fallback>
    </mc:AlternateContent>
    <xdr:clientData/>
  </xdr:oneCellAnchor>
</xdr:wsDr>
</file>

<file path=xl/drawings/drawing43.xml><?xml version="1.0" encoding="utf-8"?>
<xdr:wsDr xmlns:xdr="http://schemas.openxmlformats.org/drawingml/2006/spreadsheetDrawing" xmlns:a="http://schemas.openxmlformats.org/drawingml/2006/main">
  <xdr:oneCellAnchor>
    <xdr:from>
      <xdr:col>1</xdr:col>
      <xdr:colOff>285935</xdr:colOff>
      <xdr:row>42</xdr:row>
      <xdr:rowOff>169517</xdr:rowOff>
    </xdr:from>
    <xdr:ext cx="177356" cy="176202"/>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00000000-0008-0000-2A00-000003000000}"/>
                </a:ext>
              </a:extLst>
            </xdr:cNvPr>
            <xdr:cNvSpPr txBox="1"/>
          </xdr:nvSpPr>
          <xdr:spPr>
            <a:xfrm>
              <a:off x="1124135" y="14980892"/>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bg1"/>
                            </a:solidFill>
                            <a:latin typeface="Cambria Math" panose="02040503050406030204" pitchFamily="18" charset="0"/>
                          </a:rPr>
                        </m:ctrlPr>
                      </m:accPr>
                      <m:e>
                        <m:r>
                          <a:rPr lang="es-CO" sz="1100" b="1" i="1">
                            <a:solidFill>
                              <a:schemeClr val="bg1"/>
                            </a:solidFill>
                            <a:latin typeface="Cambria Math" panose="02040503050406030204" pitchFamily="18" charset="0"/>
                            <a:ea typeface="Cambria Math" panose="02040503050406030204" pitchFamily="18" charset="0"/>
                          </a:rPr>
                          <m:t>∆</m:t>
                        </m:r>
                        <m:r>
                          <a:rPr lang="es-CO" sz="1100" b="1" i="1">
                            <a:solidFill>
                              <a:schemeClr val="bg1"/>
                            </a:solidFill>
                            <a:latin typeface="Cambria Math" panose="02040503050406030204" pitchFamily="18" charset="0"/>
                            <a:ea typeface="Cambria Math" panose="02040503050406030204" pitchFamily="18" charset="0"/>
                          </a:rPr>
                          <m:t>𝑰</m:t>
                        </m:r>
                      </m:e>
                    </m:acc>
                  </m:oMath>
                </m:oMathPara>
              </a14:m>
              <a:endParaRPr lang="es-CO" sz="1100" b="1">
                <a:solidFill>
                  <a:schemeClr val="bg1"/>
                </a:solidFill>
              </a:endParaRPr>
            </a:p>
          </xdr:txBody>
        </xdr:sp>
      </mc:Choice>
      <mc:Fallback xmlns="">
        <xdr:sp macro="" textlink="">
          <xdr:nvSpPr>
            <xdr:cNvPr id="3" name="CuadroTexto 2">
              <a:extLst>
                <a:ext uri="{FF2B5EF4-FFF2-40B4-BE49-F238E27FC236}">
                  <a16:creationId xmlns="" xmlns:a16="http://schemas.microsoft.com/office/drawing/2014/main" xmlns:a14="http://schemas.microsoft.com/office/drawing/2010/main" id="{00000000-0008-0000-1000-000003000000}"/>
                </a:ext>
              </a:extLst>
            </xdr:cNvPr>
            <xdr:cNvSpPr txBox="1"/>
          </xdr:nvSpPr>
          <xdr:spPr>
            <a:xfrm>
              <a:off x="1124135" y="14980892"/>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bg1"/>
                  </a:solidFill>
                  <a:latin typeface="Cambria Math" panose="02040503050406030204" pitchFamily="18" charset="0"/>
                </a:rPr>
                <a:t>(</a:t>
              </a:r>
              <a:r>
                <a:rPr lang="es-CO" sz="1100" b="1" i="0">
                  <a:solidFill>
                    <a:schemeClr val="bg1"/>
                  </a:solidFill>
                  <a:latin typeface="Cambria Math" panose="02040503050406030204" pitchFamily="18" charset="0"/>
                  <a:ea typeface="Cambria Math" panose="02040503050406030204" pitchFamily="18" charset="0"/>
                </a:rPr>
                <a:t>∆𝑰) ̅</a:t>
              </a:r>
              <a:endParaRPr lang="es-CO" sz="1100" b="1">
                <a:solidFill>
                  <a:schemeClr val="bg1"/>
                </a:solidFill>
              </a:endParaRPr>
            </a:p>
          </xdr:txBody>
        </xdr:sp>
      </mc:Fallback>
    </mc:AlternateContent>
    <xdr:clientData/>
  </xdr:oneCellAnchor>
  <xdr:oneCellAnchor>
    <xdr:from>
      <xdr:col>1</xdr:col>
      <xdr:colOff>136732</xdr:colOff>
      <xdr:row>58</xdr:row>
      <xdr:rowOff>253032</xdr:rowOff>
    </xdr:from>
    <xdr:ext cx="599716" cy="172227"/>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id="{00000000-0008-0000-2A00-000004000000}"/>
                </a:ext>
              </a:extLst>
            </xdr:cNvPr>
            <xdr:cNvSpPr txBox="1"/>
          </xdr:nvSpPr>
          <xdr:spPr>
            <a:xfrm>
              <a:off x="974932" y="20779407"/>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𝒘</m:t>
                        </m:r>
                      </m:sub>
                    </m:sSub>
                    <m:r>
                      <a:rPr lang="es-CO" sz="1100" b="1" i="1">
                        <a:latin typeface="Cambria Math" panose="02040503050406030204" pitchFamily="18" charset="0"/>
                      </a:rPr>
                      <m:t>(</m:t>
                    </m:r>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4" name="CuadroTexto 3">
              <a:extLst>
                <a:ext uri="{FF2B5EF4-FFF2-40B4-BE49-F238E27FC236}">
                  <a16:creationId xmlns="" xmlns:a16="http://schemas.microsoft.com/office/drawing/2014/main" xmlns:a14="http://schemas.microsoft.com/office/drawing/2010/main" id="{00000000-0008-0000-1000-000004000000}"/>
                </a:ext>
              </a:extLst>
            </xdr:cNvPr>
            <xdr:cNvSpPr txBox="1"/>
          </xdr:nvSpPr>
          <xdr:spPr>
            <a:xfrm>
              <a:off x="974932" y="20779407"/>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𝒖_𝒘 (</a:t>
              </a: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1</xdr:col>
      <xdr:colOff>202651</xdr:colOff>
      <xdr:row>61</xdr:row>
      <xdr:rowOff>265287</xdr:rowOff>
    </xdr:from>
    <xdr:ext cx="483915" cy="172227"/>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id="{00000000-0008-0000-2A00-000005000000}"/>
                </a:ext>
              </a:extLst>
            </xdr:cNvPr>
            <xdr:cNvSpPr txBox="1"/>
          </xdr:nvSpPr>
          <xdr:spPr>
            <a:xfrm>
              <a:off x="1040851" y="2299193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5" name="CuadroTexto 4">
              <a:extLst>
                <a:ext uri="{FF2B5EF4-FFF2-40B4-BE49-F238E27FC236}">
                  <a16:creationId xmlns="" xmlns:a16="http://schemas.microsoft.com/office/drawing/2014/main" xmlns:a14="http://schemas.microsoft.com/office/drawing/2010/main" id="{00000000-0008-0000-1000-000005000000}"/>
                </a:ext>
              </a:extLst>
            </xdr:cNvPr>
            <xdr:cNvSpPr txBox="1"/>
          </xdr:nvSpPr>
          <xdr:spPr>
            <a:xfrm>
              <a:off x="1040851" y="2299193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𝒖(𝒎_𝒄𝒓)</a:t>
              </a:r>
              <a:endParaRPr lang="es-CO" sz="1100" b="1"/>
            </a:p>
          </xdr:txBody>
        </xdr:sp>
      </mc:Fallback>
    </mc:AlternateContent>
    <xdr:clientData/>
  </xdr:oneCellAnchor>
  <xdr:oneCellAnchor>
    <xdr:from>
      <xdr:col>1</xdr:col>
      <xdr:colOff>34166</xdr:colOff>
      <xdr:row>60</xdr:row>
      <xdr:rowOff>250203</xdr:rowOff>
    </xdr:from>
    <xdr:ext cx="689483" cy="172227"/>
    <mc:AlternateContent xmlns:mc="http://schemas.openxmlformats.org/markup-compatibility/2006" xmlns:a14="http://schemas.microsoft.com/office/drawing/2010/main">
      <mc:Choice Requires="a14">
        <xdr:sp macro="" textlink="">
          <xdr:nvSpPr>
            <xdr:cNvPr id="6" name="CuadroTexto 5">
              <a:extLst>
                <a:ext uri="{FF2B5EF4-FFF2-40B4-BE49-F238E27FC236}">
                  <a16:creationId xmlns:a16="http://schemas.microsoft.com/office/drawing/2014/main" id="{00000000-0008-0000-2A00-000006000000}"/>
                </a:ext>
              </a:extLst>
            </xdr:cNvPr>
            <xdr:cNvSpPr txBox="1"/>
          </xdr:nvSpPr>
          <xdr:spPr>
            <a:xfrm>
              <a:off x="872366" y="22243428"/>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𝒊𝒏𝒔𝒕</m:t>
                        </m:r>
                      </m:sub>
                    </m:sSub>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0" i="1">
                        <a:latin typeface="Cambria Math" panose="02040503050406030204" pitchFamily="18" charset="0"/>
                      </a:rPr>
                      <m:t>)</m:t>
                    </m:r>
                  </m:oMath>
                </m:oMathPara>
              </a14:m>
              <a:endParaRPr lang="es-CO" sz="1100"/>
            </a:p>
          </xdr:txBody>
        </xdr:sp>
      </mc:Choice>
      <mc:Fallback xmlns="">
        <xdr:sp macro="" textlink="">
          <xdr:nvSpPr>
            <xdr:cNvPr id="6" name="CuadroTexto 5">
              <a:extLst>
                <a:ext uri="{FF2B5EF4-FFF2-40B4-BE49-F238E27FC236}">
                  <a16:creationId xmlns="" xmlns:a16="http://schemas.microsoft.com/office/drawing/2014/main" xmlns:a14="http://schemas.microsoft.com/office/drawing/2010/main" id="{00000000-0008-0000-1000-000006000000}"/>
                </a:ext>
              </a:extLst>
            </xdr:cNvPr>
            <xdr:cNvSpPr txBox="1"/>
          </xdr:nvSpPr>
          <xdr:spPr>
            <a:xfrm>
              <a:off x="872366" y="22243428"/>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𝒖_𝒊𝒏𝒔𝒕 (𝒎_𝒄𝒓</a:t>
              </a:r>
              <a:r>
                <a:rPr lang="es-CO" sz="1100" b="0" i="0">
                  <a:latin typeface="Cambria Math" panose="02040503050406030204" pitchFamily="18" charset="0"/>
                </a:rPr>
                <a:t>)</a:t>
              </a:r>
              <a:endParaRPr lang="es-CO" sz="1100"/>
            </a:p>
          </xdr:txBody>
        </xdr:sp>
      </mc:Fallback>
    </mc:AlternateContent>
    <xdr:clientData/>
  </xdr:oneCellAnchor>
  <xdr:oneCellAnchor>
    <xdr:from>
      <xdr:col>1</xdr:col>
      <xdr:colOff>183870</xdr:colOff>
      <xdr:row>62</xdr:row>
      <xdr:rowOff>264645</xdr:rowOff>
    </xdr:from>
    <xdr:ext cx="397353" cy="172227"/>
    <mc:AlternateContent xmlns:mc="http://schemas.openxmlformats.org/markup-compatibility/2006" xmlns:a14="http://schemas.microsoft.com/office/drawing/2010/main">
      <mc:Choice Requires="a14">
        <xdr:sp macro="" textlink="">
          <xdr:nvSpPr>
            <xdr:cNvPr id="7" name="CuadroTexto 6">
              <a:extLst>
                <a:ext uri="{FF2B5EF4-FFF2-40B4-BE49-F238E27FC236}">
                  <a16:creationId xmlns:a16="http://schemas.microsoft.com/office/drawing/2014/main" id="{00000000-0008-0000-2A00-000007000000}"/>
                </a:ext>
              </a:extLst>
            </xdr:cNvPr>
            <xdr:cNvSpPr txBox="1"/>
          </xdr:nvSpPr>
          <xdr:spPr>
            <a:xfrm>
              <a:off x="1022070" y="23724720"/>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𝒂</m:t>
                        </m:r>
                      </m:sub>
                    </m:sSub>
                    <m:r>
                      <a:rPr lang="es-CO" sz="1100" b="1" i="1">
                        <a:latin typeface="Cambria Math" panose="02040503050406030204" pitchFamily="18" charset="0"/>
                      </a:rPr>
                      <m:t>)</m:t>
                    </m:r>
                  </m:oMath>
                </m:oMathPara>
              </a14:m>
              <a:endParaRPr lang="es-CO" sz="1100" b="1"/>
            </a:p>
          </xdr:txBody>
        </xdr:sp>
      </mc:Choice>
      <mc:Fallback xmlns="">
        <xdr:sp macro="" textlink="">
          <xdr:nvSpPr>
            <xdr:cNvPr id="7" name="CuadroTexto 6">
              <a:extLst>
                <a:ext uri="{FF2B5EF4-FFF2-40B4-BE49-F238E27FC236}">
                  <a16:creationId xmlns="" xmlns:a16="http://schemas.microsoft.com/office/drawing/2014/main" xmlns:a14="http://schemas.microsoft.com/office/drawing/2010/main" id="{00000000-0008-0000-1000-000007000000}"/>
                </a:ext>
              </a:extLst>
            </xdr:cNvPr>
            <xdr:cNvSpPr txBox="1"/>
          </xdr:nvSpPr>
          <xdr:spPr>
            <a:xfrm>
              <a:off x="1022070" y="23724720"/>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𝒂)</a:t>
              </a:r>
              <a:endParaRPr lang="es-CO" sz="1100" b="1"/>
            </a:p>
          </xdr:txBody>
        </xdr:sp>
      </mc:Fallback>
    </mc:AlternateContent>
    <xdr:clientData/>
  </xdr:oneCellAnchor>
  <xdr:oneCellAnchor>
    <xdr:from>
      <xdr:col>1</xdr:col>
      <xdr:colOff>186298</xdr:colOff>
      <xdr:row>63</xdr:row>
      <xdr:rowOff>266606</xdr:rowOff>
    </xdr:from>
    <xdr:ext cx="376642" cy="172227"/>
    <mc:AlternateContent xmlns:mc="http://schemas.openxmlformats.org/markup-compatibility/2006" xmlns:a14="http://schemas.microsoft.com/office/drawing/2010/main">
      <mc:Choice Requires="a14">
        <xdr:sp macro="" textlink="">
          <xdr:nvSpPr>
            <xdr:cNvPr id="8" name="CuadroTexto 7">
              <a:extLst>
                <a:ext uri="{FF2B5EF4-FFF2-40B4-BE49-F238E27FC236}">
                  <a16:creationId xmlns:a16="http://schemas.microsoft.com/office/drawing/2014/main" id="{00000000-0008-0000-2A00-000008000000}"/>
                </a:ext>
              </a:extLst>
            </xdr:cNvPr>
            <xdr:cNvSpPr txBox="1"/>
          </xdr:nvSpPr>
          <xdr:spPr>
            <a:xfrm>
              <a:off x="1024498" y="244601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𝒕</m:t>
                        </m:r>
                      </m:sub>
                    </m:sSub>
                    <m:r>
                      <a:rPr lang="es-CO" sz="1100" b="1" i="1">
                        <a:latin typeface="Cambria Math" panose="02040503050406030204" pitchFamily="18" charset="0"/>
                      </a:rPr>
                      <m:t>)</m:t>
                    </m:r>
                  </m:oMath>
                </m:oMathPara>
              </a14:m>
              <a:endParaRPr lang="es-CO" sz="1100" b="1"/>
            </a:p>
          </xdr:txBody>
        </xdr:sp>
      </mc:Choice>
      <mc:Fallback xmlns="">
        <xdr:sp macro="" textlink="">
          <xdr:nvSpPr>
            <xdr:cNvPr id="8" name="CuadroTexto 7">
              <a:extLst>
                <a:ext uri="{FF2B5EF4-FFF2-40B4-BE49-F238E27FC236}">
                  <a16:creationId xmlns="" xmlns:a16="http://schemas.microsoft.com/office/drawing/2014/main" xmlns:a14="http://schemas.microsoft.com/office/drawing/2010/main" id="{00000000-0008-0000-1000-000008000000}"/>
                </a:ext>
              </a:extLst>
            </xdr:cNvPr>
            <xdr:cNvSpPr txBox="1"/>
          </xdr:nvSpPr>
          <xdr:spPr>
            <a:xfrm>
              <a:off x="1024498" y="244601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𝒕)</a:t>
              </a:r>
              <a:endParaRPr lang="es-CO" sz="1100" b="1"/>
            </a:p>
          </xdr:txBody>
        </xdr:sp>
      </mc:Fallback>
    </mc:AlternateContent>
    <xdr:clientData/>
  </xdr:oneCellAnchor>
  <xdr:oneCellAnchor>
    <xdr:from>
      <xdr:col>1</xdr:col>
      <xdr:colOff>186298</xdr:colOff>
      <xdr:row>64</xdr:row>
      <xdr:rowOff>222250</xdr:rowOff>
    </xdr:from>
    <xdr:ext cx="388696" cy="172227"/>
    <mc:AlternateContent xmlns:mc="http://schemas.openxmlformats.org/markup-compatibility/2006" xmlns:a14="http://schemas.microsoft.com/office/drawing/2010/main">
      <mc:Choice Requires="a14">
        <xdr:sp macro="" textlink="">
          <xdr:nvSpPr>
            <xdr:cNvPr id="9" name="CuadroTexto 8">
              <a:extLst>
                <a:ext uri="{FF2B5EF4-FFF2-40B4-BE49-F238E27FC236}">
                  <a16:creationId xmlns:a16="http://schemas.microsoft.com/office/drawing/2014/main" id="{00000000-0008-0000-2A00-000009000000}"/>
                </a:ext>
              </a:extLst>
            </xdr:cNvPr>
            <xdr:cNvSpPr txBox="1"/>
          </xdr:nvSpPr>
          <xdr:spPr>
            <a:xfrm>
              <a:off x="1024498" y="25149175"/>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9" name="CuadroTexto 8">
              <a:extLst>
                <a:ext uri="{FF2B5EF4-FFF2-40B4-BE49-F238E27FC236}">
                  <a16:creationId xmlns="" xmlns:a16="http://schemas.microsoft.com/office/drawing/2014/main" xmlns:a14="http://schemas.microsoft.com/office/drawing/2010/main" id="{00000000-0008-0000-1000-000009000000}"/>
                </a:ext>
              </a:extLst>
            </xdr:cNvPr>
            <xdr:cNvSpPr txBox="1"/>
          </xdr:nvSpPr>
          <xdr:spPr>
            <a:xfrm>
              <a:off x="1024498" y="25149175"/>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𝒓)</a:t>
              </a:r>
              <a:endParaRPr lang="es-CO" sz="1100" b="1"/>
            </a:p>
          </xdr:txBody>
        </xdr:sp>
      </mc:Fallback>
    </mc:AlternateContent>
    <xdr:clientData/>
  </xdr:oneCellAnchor>
  <xdr:oneCellAnchor>
    <xdr:from>
      <xdr:col>1</xdr:col>
      <xdr:colOff>265579</xdr:colOff>
      <xdr:row>65</xdr:row>
      <xdr:rowOff>288458</xdr:rowOff>
    </xdr:from>
    <xdr:ext cx="191271" cy="172227"/>
    <mc:AlternateContent xmlns:mc="http://schemas.openxmlformats.org/markup-compatibility/2006" xmlns:a14="http://schemas.microsoft.com/office/drawing/2010/main">
      <mc:Choice Requires="a14">
        <xdr:sp macro="" textlink="">
          <xdr:nvSpPr>
            <xdr:cNvPr id="10" name="CuadroTexto 9">
              <a:extLst>
                <a:ext uri="{FF2B5EF4-FFF2-40B4-BE49-F238E27FC236}">
                  <a16:creationId xmlns:a16="http://schemas.microsoft.com/office/drawing/2014/main" id="{00000000-0008-0000-2A00-00000A000000}"/>
                </a:ext>
              </a:extLst>
            </xdr:cNvPr>
            <xdr:cNvSpPr txBox="1"/>
          </xdr:nvSpPr>
          <xdr:spPr>
            <a:xfrm>
              <a:off x="1103779" y="2594880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𝒃</m:t>
                        </m:r>
                      </m:sub>
                    </m:sSub>
                  </m:oMath>
                </m:oMathPara>
              </a14:m>
              <a:endParaRPr lang="es-CO" sz="1100" b="1"/>
            </a:p>
          </xdr:txBody>
        </xdr:sp>
      </mc:Choice>
      <mc:Fallback xmlns="">
        <xdr:sp macro="" textlink="">
          <xdr:nvSpPr>
            <xdr:cNvPr id="10" name="CuadroTexto 9">
              <a:extLst>
                <a:ext uri="{FF2B5EF4-FFF2-40B4-BE49-F238E27FC236}">
                  <a16:creationId xmlns="" xmlns:a16="http://schemas.microsoft.com/office/drawing/2014/main" xmlns:a14="http://schemas.microsoft.com/office/drawing/2010/main" id="{00000000-0008-0000-1000-00000A000000}"/>
                </a:ext>
              </a:extLst>
            </xdr:cNvPr>
            <xdr:cNvSpPr txBox="1"/>
          </xdr:nvSpPr>
          <xdr:spPr>
            <a:xfrm>
              <a:off x="1103779" y="2594880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𝒖_𝒃</a:t>
              </a:r>
              <a:endParaRPr lang="es-CO" sz="1100" b="1"/>
            </a:p>
          </xdr:txBody>
        </xdr:sp>
      </mc:Fallback>
    </mc:AlternateContent>
    <xdr:clientData/>
  </xdr:oneCellAnchor>
  <xdr:oneCellAnchor>
    <xdr:from>
      <xdr:col>1</xdr:col>
      <xdr:colOff>261391</xdr:colOff>
      <xdr:row>66</xdr:row>
      <xdr:rowOff>294234</xdr:rowOff>
    </xdr:from>
    <xdr:ext cx="195053" cy="172227"/>
    <mc:AlternateContent xmlns:mc="http://schemas.openxmlformats.org/markup-compatibility/2006" xmlns:a14="http://schemas.microsoft.com/office/drawing/2010/main">
      <mc:Choice Requires="a14">
        <xdr:sp macro="" textlink="">
          <xdr:nvSpPr>
            <xdr:cNvPr id="11" name="CuadroTexto 10">
              <a:extLst>
                <a:ext uri="{FF2B5EF4-FFF2-40B4-BE49-F238E27FC236}">
                  <a16:creationId xmlns:a16="http://schemas.microsoft.com/office/drawing/2014/main" id="{00000000-0008-0000-2A00-00000B000000}"/>
                </a:ext>
              </a:extLst>
            </xdr:cNvPr>
            <xdr:cNvSpPr txBox="1"/>
          </xdr:nvSpPr>
          <xdr:spPr>
            <a:xfrm>
              <a:off x="1099591" y="26688009"/>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𝒅</m:t>
                        </m:r>
                      </m:sub>
                    </m:sSub>
                  </m:oMath>
                </m:oMathPara>
              </a14:m>
              <a:endParaRPr lang="es-CO" sz="1100" b="1"/>
            </a:p>
          </xdr:txBody>
        </xdr:sp>
      </mc:Choice>
      <mc:Fallback xmlns="">
        <xdr:sp macro="" textlink="">
          <xdr:nvSpPr>
            <xdr:cNvPr id="11" name="CuadroTexto 10">
              <a:extLst>
                <a:ext uri="{FF2B5EF4-FFF2-40B4-BE49-F238E27FC236}">
                  <a16:creationId xmlns="" xmlns:a16="http://schemas.microsoft.com/office/drawing/2014/main" xmlns:a14="http://schemas.microsoft.com/office/drawing/2010/main" id="{00000000-0008-0000-1000-00000B000000}"/>
                </a:ext>
              </a:extLst>
            </xdr:cNvPr>
            <xdr:cNvSpPr txBox="1"/>
          </xdr:nvSpPr>
          <xdr:spPr>
            <a:xfrm>
              <a:off x="1099591" y="26688009"/>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𝒖_𝒅</a:t>
              </a:r>
              <a:endParaRPr lang="es-CO" sz="1100" b="1"/>
            </a:p>
          </xdr:txBody>
        </xdr:sp>
      </mc:Fallback>
    </mc:AlternateContent>
    <xdr:clientData/>
  </xdr:oneCellAnchor>
  <xdr:oneCellAnchor>
    <xdr:from>
      <xdr:col>5</xdr:col>
      <xdr:colOff>203072</xdr:colOff>
      <xdr:row>69</xdr:row>
      <xdr:rowOff>153993</xdr:rowOff>
    </xdr:from>
    <xdr:ext cx="529697" cy="172227"/>
    <mc:AlternateContent xmlns:mc="http://schemas.openxmlformats.org/markup-compatibility/2006" xmlns:a14="http://schemas.microsoft.com/office/drawing/2010/main">
      <mc:Choice Requires="a14">
        <xdr:sp macro="" textlink="">
          <xdr:nvSpPr>
            <xdr:cNvPr id="12" name="CuadroTexto 11">
              <a:extLst>
                <a:ext uri="{FF2B5EF4-FFF2-40B4-BE49-F238E27FC236}">
                  <a16:creationId xmlns:a16="http://schemas.microsoft.com/office/drawing/2014/main" id="{00000000-0008-0000-2A00-00000C000000}"/>
                </a:ext>
              </a:extLst>
            </xdr:cNvPr>
            <xdr:cNvSpPr txBox="1"/>
          </xdr:nvSpPr>
          <xdr:spPr>
            <a:xfrm>
              <a:off x="6743572" y="28649618"/>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𝒄</m:t>
                        </m:r>
                      </m:sub>
                    </m:sSub>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12" name="CuadroTexto 11">
              <a:extLst>
                <a:ext uri="{FF2B5EF4-FFF2-40B4-BE49-F238E27FC236}">
                  <a16:creationId xmlns:a16="http://schemas.microsoft.com/office/drawing/2014/main" id="{00000000-0008-0000-1B00-00000C000000}"/>
                </a:ext>
              </a:extLst>
            </xdr:cNvPr>
            <xdr:cNvSpPr txBox="1"/>
          </xdr:nvSpPr>
          <xdr:spPr>
            <a:xfrm>
              <a:off x="6743572" y="28649618"/>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𝒖_𝒄 (</a:t>
              </a:r>
              <a:r>
                <a:rPr lang="es-CO" sz="1100" b="1" i="0">
                  <a:latin typeface="Cambria Math" panose="02040503050406030204" pitchFamily="18" charset="0"/>
                  <a:ea typeface="Cambria Math" panose="02040503050406030204" pitchFamily="18" charset="0"/>
                </a:rPr>
                <a:t>𝒎_𝒄𝒕)</a:t>
              </a:r>
              <a:endParaRPr lang="es-CO" sz="1100" b="1"/>
            </a:p>
          </xdr:txBody>
        </xdr:sp>
      </mc:Fallback>
    </mc:AlternateContent>
    <xdr:clientData/>
  </xdr:oneCellAnchor>
  <xdr:oneCellAnchor>
    <xdr:from>
      <xdr:col>5</xdr:col>
      <xdr:colOff>69340</xdr:colOff>
      <xdr:row>70</xdr:row>
      <xdr:rowOff>130277</xdr:rowOff>
    </xdr:from>
    <xdr:ext cx="780598" cy="172227"/>
    <mc:AlternateContent xmlns:mc="http://schemas.openxmlformats.org/markup-compatibility/2006" xmlns:a14="http://schemas.microsoft.com/office/drawing/2010/main">
      <mc:Choice Requires="a14">
        <xdr:sp macro="" textlink="">
          <xdr:nvSpPr>
            <xdr:cNvPr id="13" name="CuadroTexto 12">
              <a:extLst>
                <a:ext uri="{FF2B5EF4-FFF2-40B4-BE49-F238E27FC236}">
                  <a16:creationId xmlns:a16="http://schemas.microsoft.com/office/drawing/2014/main" id="{00000000-0008-0000-2A00-00000D000000}"/>
                </a:ext>
              </a:extLst>
            </xdr:cNvPr>
            <xdr:cNvSpPr txBox="1"/>
          </xdr:nvSpPr>
          <xdr:spPr>
            <a:xfrm>
              <a:off x="6609840" y="29070402"/>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100" b="1" i="1">
                      <a:latin typeface="Cambria Math" panose="02040503050406030204" pitchFamily="18" charset="0"/>
                    </a:rPr>
                    <m:t>𝑼</m:t>
                  </m:r>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a14:m>
              <a:r>
                <a:rPr lang="es-CO" sz="1100" b="1"/>
                <a:t> (k=2)</a:t>
              </a:r>
            </a:p>
          </xdr:txBody>
        </xdr:sp>
      </mc:Choice>
      <mc:Fallback xmlns="">
        <xdr:sp macro="" textlink="">
          <xdr:nvSpPr>
            <xdr:cNvPr id="13" name="CuadroTexto 12">
              <a:extLst>
                <a:ext uri="{FF2B5EF4-FFF2-40B4-BE49-F238E27FC236}">
                  <a16:creationId xmlns:a16="http://schemas.microsoft.com/office/drawing/2014/main" id="{00000000-0008-0000-1B00-00000D000000}"/>
                </a:ext>
              </a:extLst>
            </xdr:cNvPr>
            <xdr:cNvSpPr txBox="1"/>
          </xdr:nvSpPr>
          <xdr:spPr>
            <a:xfrm>
              <a:off x="6609840" y="29070402"/>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100" b="1" i="0">
                  <a:latin typeface="Cambria Math" panose="02040503050406030204" pitchFamily="18" charset="0"/>
                </a:rPr>
                <a:t>𝑼(</a:t>
              </a:r>
              <a:r>
                <a:rPr lang="es-CO" sz="1100" b="1" i="0">
                  <a:latin typeface="Cambria Math" panose="02040503050406030204" pitchFamily="18" charset="0"/>
                  <a:ea typeface="Cambria Math" panose="02040503050406030204" pitchFamily="18" charset="0"/>
                </a:rPr>
                <a:t>𝒎_𝒄𝒕)</a:t>
              </a:r>
              <a:r>
                <a:rPr lang="es-CO" sz="1100" b="1"/>
                <a:t> (k=2)</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14" name="CuadroTexto 13">
              <a:extLst>
                <a:ext uri="{FF2B5EF4-FFF2-40B4-BE49-F238E27FC236}">
                  <a16:creationId xmlns:a16="http://schemas.microsoft.com/office/drawing/2014/main" id="{00000000-0008-0000-2A00-00000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14" name="CuadroTexto 13">
              <a:extLst>
                <a:ext uri="{FF2B5EF4-FFF2-40B4-BE49-F238E27FC236}">
                  <a16:creationId xmlns="" xmlns:a16="http://schemas.microsoft.com/office/drawing/2014/main" xmlns:a14="http://schemas.microsoft.com/office/drawing/2010/main" id="{00000000-0008-0000-1000-00000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8</xdr:col>
      <xdr:colOff>541269</xdr:colOff>
      <xdr:row>52</xdr:row>
      <xdr:rowOff>78683</xdr:rowOff>
    </xdr:from>
    <xdr:ext cx="304571" cy="172227"/>
    <mc:AlternateContent xmlns:mc="http://schemas.openxmlformats.org/markup-compatibility/2006" xmlns:a14="http://schemas.microsoft.com/office/drawing/2010/main">
      <mc:Choice Requires="a14">
        <xdr:sp macro="" textlink="">
          <xdr:nvSpPr>
            <xdr:cNvPr id="15" name="CuadroTexto 14">
              <a:extLst>
                <a:ext uri="{FF2B5EF4-FFF2-40B4-BE49-F238E27FC236}">
                  <a16:creationId xmlns:a16="http://schemas.microsoft.com/office/drawing/2014/main" id="{00000000-0008-0000-2A00-00000F000000}"/>
                </a:ext>
              </a:extLst>
            </xdr:cNvPr>
            <xdr:cNvSpPr txBox="1"/>
          </xdr:nvSpPr>
          <xdr:spPr>
            <a:xfrm>
              <a:off x="9313794" y="18623858"/>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oMath>
                </m:oMathPara>
              </a14:m>
              <a:endParaRPr lang="es-CO" sz="1100" b="1"/>
            </a:p>
          </xdr:txBody>
        </xdr:sp>
      </mc:Choice>
      <mc:Fallback xmlns="">
        <xdr:sp macro="" textlink="">
          <xdr:nvSpPr>
            <xdr:cNvPr id="15" name="CuadroTexto 14">
              <a:extLst>
                <a:ext uri="{FF2B5EF4-FFF2-40B4-BE49-F238E27FC236}">
                  <a16:creationId xmlns="" xmlns:a16="http://schemas.microsoft.com/office/drawing/2014/main" xmlns:a14="http://schemas.microsoft.com/office/drawing/2010/main" id="{00000000-0008-0000-1000-00000F000000}"/>
                </a:ext>
              </a:extLst>
            </xdr:cNvPr>
            <xdr:cNvSpPr txBox="1"/>
          </xdr:nvSpPr>
          <xdr:spPr>
            <a:xfrm>
              <a:off x="9313794" y="18623858"/>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4</xdr:col>
      <xdr:colOff>155713</xdr:colOff>
      <xdr:row>39</xdr:row>
      <xdr:rowOff>106017</xdr:rowOff>
    </xdr:from>
    <xdr:ext cx="65" cy="172227"/>
    <xdr:sp macro="" textlink="">
      <xdr:nvSpPr>
        <xdr:cNvPr id="16" name="CuadroTexto 15">
          <a:extLst>
            <a:ext uri="{FF2B5EF4-FFF2-40B4-BE49-F238E27FC236}">
              <a16:creationId xmlns:a16="http://schemas.microsoft.com/office/drawing/2014/main" id="{00000000-0008-0000-2A00-000010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17" name="CuadroTexto 16">
              <a:extLst>
                <a:ext uri="{FF2B5EF4-FFF2-40B4-BE49-F238E27FC236}">
                  <a16:creationId xmlns:a16="http://schemas.microsoft.com/office/drawing/2014/main" id="{00000000-0008-0000-2A00-000011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7" name="CuadroTexto 16">
              <a:extLst>
                <a:ext uri="{FF2B5EF4-FFF2-40B4-BE49-F238E27FC236}">
                  <a16:creationId xmlns="" xmlns:a16="http://schemas.microsoft.com/office/drawing/2014/main" xmlns:a14="http://schemas.microsoft.com/office/drawing/2010/main" id="{00000000-0008-0000-1000-000011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18" name="CuadroTexto 17">
              <a:extLst>
                <a:ext uri="{FF2B5EF4-FFF2-40B4-BE49-F238E27FC236}">
                  <a16:creationId xmlns:a16="http://schemas.microsoft.com/office/drawing/2014/main" id="{00000000-0008-0000-2A00-000012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18" name="CuadroTexto 17">
              <a:extLst>
                <a:ext uri="{FF2B5EF4-FFF2-40B4-BE49-F238E27FC236}">
                  <a16:creationId xmlns="" xmlns:a16="http://schemas.microsoft.com/office/drawing/2014/main" xmlns:a14="http://schemas.microsoft.com/office/drawing/2010/main" id="{00000000-0008-0000-1000-000012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19" name="CuadroTexto 18">
              <a:extLst>
                <a:ext uri="{FF2B5EF4-FFF2-40B4-BE49-F238E27FC236}">
                  <a16:creationId xmlns:a16="http://schemas.microsoft.com/office/drawing/2014/main" id="{00000000-0008-0000-2A00-000013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9" name="CuadroTexto 18">
              <a:extLst>
                <a:ext uri="{FF2B5EF4-FFF2-40B4-BE49-F238E27FC236}">
                  <a16:creationId xmlns="" xmlns:a16="http://schemas.microsoft.com/office/drawing/2014/main" xmlns:a14="http://schemas.microsoft.com/office/drawing/2010/main" id="{00000000-0008-0000-1000-000013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0" name="CuadroTexto 19">
              <a:extLst>
                <a:ext uri="{FF2B5EF4-FFF2-40B4-BE49-F238E27FC236}">
                  <a16:creationId xmlns:a16="http://schemas.microsoft.com/office/drawing/2014/main" id="{00000000-0008-0000-2A00-000014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0" name="CuadroTexto 19">
              <a:extLst>
                <a:ext uri="{FF2B5EF4-FFF2-40B4-BE49-F238E27FC236}">
                  <a16:creationId xmlns="" xmlns:a16="http://schemas.microsoft.com/office/drawing/2014/main" xmlns:a14="http://schemas.microsoft.com/office/drawing/2010/main" id="{00000000-0008-0000-1000-000014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1" name="CuadroTexto 20">
          <a:extLst>
            <a:ext uri="{FF2B5EF4-FFF2-40B4-BE49-F238E27FC236}">
              <a16:creationId xmlns:a16="http://schemas.microsoft.com/office/drawing/2014/main" id="{00000000-0008-0000-2A00-000015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4</xdr:col>
      <xdr:colOff>236456</xdr:colOff>
      <xdr:row>73</xdr:row>
      <xdr:rowOff>141002</xdr:rowOff>
    </xdr:from>
    <xdr:ext cx="730521" cy="219163"/>
    <mc:AlternateContent xmlns:mc="http://schemas.openxmlformats.org/markup-compatibility/2006" xmlns:a14="http://schemas.microsoft.com/office/drawing/2010/main">
      <mc:Choice Requires="a14">
        <xdr:sp macro="" textlink="">
          <xdr:nvSpPr>
            <xdr:cNvPr id="22" name="CuadroTexto 21">
              <a:extLst>
                <a:ext uri="{FF2B5EF4-FFF2-40B4-BE49-F238E27FC236}">
                  <a16:creationId xmlns:a16="http://schemas.microsoft.com/office/drawing/2014/main" id="{00000000-0008-0000-2A00-000016000000}"/>
                </a:ext>
              </a:extLst>
            </xdr:cNvPr>
            <xdr:cNvSpPr txBox="1"/>
          </xdr:nvSpPr>
          <xdr:spPr>
            <a:xfrm>
              <a:off x="2922506" y="30059027"/>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m:t>
                  </m:r>
                  <m:sSub>
                    <m:sSubPr>
                      <m:ctrlPr>
                        <a:rPr lang="es-CO" sz="1400" b="1" i="1">
                          <a:latin typeface="Cambria Math" panose="02040503050406030204" pitchFamily="18" charset="0"/>
                          <a:ea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𝒎</m:t>
                      </m:r>
                    </m:e>
                    <m:sub>
                      <m:r>
                        <a:rPr lang="es-CO" sz="1400" b="1" i="1">
                          <a:latin typeface="Cambria Math" panose="02040503050406030204" pitchFamily="18" charset="0"/>
                          <a:ea typeface="Cambria Math" panose="02040503050406030204" pitchFamily="18" charset="0"/>
                        </a:rPr>
                        <m:t>𝒄</m:t>
                      </m:r>
                    </m:sub>
                  </m:sSub>
                </m:oMath>
              </a14:m>
              <a:r>
                <a:rPr lang="es-CO" sz="1400" b="1" i="1"/>
                <a:t> (mg</a:t>
              </a:r>
              <a:r>
                <a:rPr lang="es-CO" sz="1200" b="1" i="0"/>
                <a:t>)</a:t>
              </a:r>
            </a:p>
          </xdr:txBody>
        </xdr:sp>
      </mc:Choice>
      <mc:Fallback xmlns="">
        <xdr:sp macro="" textlink="">
          <xdr:nvSpPr>
            <xdr:cNvPr id="22" name="CuadroTexto 21">
              <a:extLst>
                <a:ext uri="{FF2B5EF4-FFF2-40B4-BE49-F238E27FC236}">
                  <a16:creationId xmlns:a16="http://schemas.microsoft.com/office/drawing/2014/main" id="{00000000-0008-0000-1B00-000016000000}"/>
                </a:ext>
              </a:extLst>
            </xdr:cNvPr>
            <xdr:cNvSpPr txBox="1"/>
          </xdr:nvSpPr>
          <xdr:spPr>
            <a:xfrm>
              <a:off x="2922506" y="30059027"/>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400" b="1" i="0">
                  <a:latin typeface="Cambria Math" panose="02040503050406030204" pitchFamily="18" charset="0"/>
                  <a:ea typeface="Cambria Math" panose="02040503050406030204" pitchFamily="18" charset="0"/>
                </a:rPr>
                <a:t>∆𝒎_𝒄</a:t>
              </a:r>
              <a:r>
                <a:rPr lang="es-CO" sz="1400" b="1" i="1"/>
                <a:t> (mg</a:t>
              </a:r>
              <a:r>
                <a:rPr lang="es-CO" sz="1200" b="1" i="0"/>
                <a:t>)</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23" name="CuadroTexto 22">
              <a:extLst>
                <a:ext uri="{FF2B5EF4-FFF2-40B4-BE49-F238E27FC236}">
                  <a16:creationId xmlns:a16="http://schemas.microsoft.com/office/drawing/2014/main" id="{00000000-0008-0000-2A00-000017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23" name="CuadroTexto 22">
              <a:extLst>
                <a:ext uri="{FF2B5EF4-FFF2-40B4-BE49-F238E27FC236}">
                  <a16:creationId xmlns="" xmlns:a16="http://schemas.microsoft.com/office/drawing/2014/main" xmlns:a14="http://schemas.microsoft.com/office/drawing/2010/main" id="{00000000-0008-0000-1000-000023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24" name="CuadroTexto 23">
          <a:extLst>
            <a:ext uri="{FF2B5EF4-FFF2-40B4-BE49-F238E27FC236}">
              <a16:creationId xmlns:a16="http://schemas.microsoft.com/office/drawing/2014/main" id="{00000000-0008-0000-2A00-000018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25" name="CuadroTexto 24">
              <a:extLst>
                <a:ext uri="{FF2B5EF4-FFF2-40B4-BE49-F238E27FC236}">
                  <a16:creationId xmlns:a16="http://schemas.microsoft.com/office/drawing/2014/main" id="{00000000-0008-0000-2A00-000019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5" name="CuadroTexto 24">
              <a:extLst>
                <a:ext uri="{FF2B5EF4-FFF2-40B4-BE49-F238E27FC236}">
                  <a16:creationId xmlns="" xmlns:a16="http://schemas.microsoft.com/office/drawing/2014/main" xmlns:a14="http://schemas.microsoft.com/office/drawing/2010/main" id="{00000000-0008-0000-1000-000026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26" name="CuadroTexto 25">
              <a:extLst>
                <a:ext uri="{FF2B5EF4-FFF2-40B4-BE49-F238E27FC236}">
                  <a16:creationId xmlns:a16="http://schemas.microsoft.com/office/drawing/2014/main" id="{00000000-0008-0000-2A00-00001A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6" name="CuadroTexto 25">
              <a:extLst>
                <a:ext uri="{FF2B5EF4-FFF2-40B4-BE49-F238E27FC236}">
                  <a16:creationId xmlns="" xmlns:a16="http://schemas.microsoft.com/office/drawing/2014/main" xmlns:a14="http://schemas.microsoft.com/office/drawing/2010/main" id="{00000000-0008-0000-1000-000027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27" name="CuadroTexto 26">
              <a:extLst>
                <a:ext uri="{FF2B5EF4-FFF2-40B4-BE49-F238E27FC236}">
                  <a16:creationId xmlns:a16="http://schemas.microsoft.com/office/drawing/2014/main" id="{00000000-0008-0000-2A00-00001B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7" name="CuadroTexto 26">
              <a:extLst>
                <a:ext uri="{FF2B5EF4-FFF2-40B4-BE49-F238E27FC236}">
                  <a16:creationId xmlns="" xmlns:a16="http://schemas.microsoft.com/office/drawing/2014/main" xmlns:a14="http://schemas.microsoft.com/office/drawing/2010/main" id="{00000000-0008-0000-1000-000028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8" name="CuadroTexto 27">
              <a:extLst>
                <a:ext uri="{FF2B5EF4-FFF2-40B4-BE49-F238E27FC236}">
                  <a16:creationId xmlns:a16="http://schemas.microsoft.com/office/drawing/2014/main" id="{00000000-0008-0000-2A00-00001C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8" name="CuadroTexto 27">
              <a:extLst>
                <a:ext uri="{FF2B5EF4-FFF2-40B4-BE49-F238E27FC236}">
                  <a16:creationId xmlns="" xmlns:a16="http://schemas.microsoft.com/office/drawing/2014/main" xmlns:a14="http://schemas.microsoft.com/office/drawing/2010/main" id="{00000000-0008-0000-1000-000029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9" name="CuadroTexto 28">
          <a:extLst>
            <a:ext uri="{FF2B5EF4-FFF2-40B4-BE49-F238E27FC236}">
              <a16:creationId xmlns:a16="http://schemas.microsoft.com/office/drawing/2014/main" id="{00000000-0008-0000-2A00-00001D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30" name="CuadroTexto 29">
              <a:extLst>
                <a:ext uri="{FF2B5EF4-FFF2-40B4-BE49-F238E27FC236}">
                  <a16:creationId xmlns:a16="http://schemas.microsoft.com/office/drawing/2014/main" id="{00000000-0008-0000-2A00-00001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30" name="CuadroTexto 29">
              <a:extLst>
                <a:ext uri="{FF2B5EF4-FFF2-40B4-BE49-F238E27FC236}">
                  <a16:creationId xmlns="" xmlns:a16="http://schemas.microsoft.com/office/drawing/2014/main" xmlns:a14="http://schemas.microsoft.com/office/drawing/2010/main" id="{00000000-0008-0000-1000-000038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31" name="CuadroTexto 30">
          <a:extLst>
            <a:ext uri="{FF2B5EF4-FFF2-40B4-BE49-F238E27FC236}">
              <a16:creationId xmlns:a16="http://schemas.microsoft.com/office/drawing/2014/main" id="{00000000-0008-0000-2A00-00001F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32" name="CuadroTexto 31">
              <a:extLst>
                <a:ext uri="{FF2B5EF4-FFF2-40B4-BE49-F238E27FC236}">
                  <a16:creationId xmlns:a16="http://schemas.microsoft.com/office/drawing/2014/main" id="{00000000-0008-0000-2A00-000020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2" name="CuadroTexto 31">
              <a:extLst>
                <a:ext uri="{FF2B5EF4-FFF2-40B4-BE49-F238E27FC236}">
                  <a16:creationId xmlns="" xmlns:a16="http://schemas.microsoft.com/office/drawing/2014/main" xmlns:a14="http://schemas.microsoft.com/office/drawing/2010/main" id="{00000000-0008-0000-1000-00003B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33" name="CuadroTexto 32">
              <a:extLst>
                <a:ext uri="{FF2B5EF4-FFF2-40B4-BE49-F238E27FC236}">
                  <a16:creationId xmlns:a16="http://schemas.microsoft.com/office/drawing/2014/main" id="{00000000-0008-0000-2A00-000021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3" name="CuadroTexto 32">
              <a:extLst>
                <a:ext uri="{FF2B5EF4-FFF2-40B4-BE49-F238E27FC236}">
                  <a16:creationId xmlns="" xmlns:a16="http://schemas.microsoft.com/office/drawing/2014/main" xmlns:a14="http://schemas.microsoft.com/office/drawing/2010/main" id="{00000000-0008-0000-1000-00003C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34" name="CuadroTexto 33">
              <a:extLst>
                <a:ext uri="{FF2B5EF4-FFF2-40B4-BE49-F238E27FC236}">
                  <a16:creationId xmlns:a16="http://schemas.microsoft.com/office/drawing/2014/main" id="{00000000-0008-0000-2A00-000022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4" name="CuadroTexto 33">
              <a:extLst>
                <a:ext uri="{FF2B5EF4-FFF2-40B4-BE49-F238E27FC236}">
                  <a16:creationId xmlns="" xmlns:a16="http://schemas.microsoft.com/office/drawing/2014/main" xmlns:a14="http://schemas.microsoft.com/office/drawing/2010/main" id="{00000000-0008-0000-1000-00003D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35" name="CuadroTexto 34">
              <a:extLst>
                <a:ext uri="{FF2B5EF4-FFF2-40B4-BE49-F238E27FC236}">
                  <a16:creationId xmlns:a16="http://schemas.microsoft.com/office/drawing/2014/main" id="{00000000-0008-0000-2A00-000023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5" name="CuadroTexto 34">
              <a:extLst>
                <a:ext uri="{FF2B5EF4-FFF2-40B4-BE49-F238E27FC236}">
                  <a16:creationId xmlns="" xmlns:a16="http://schemas.microsoft.com/office/drawing/2014/main" xmlns:a14="http://schemas.microsoft.com/office/drawing/2010/main" id="{00000000-0008-0000-1000-00003E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36" name="CuadroTexto 35">
          <a:extLst>
            <a:ext uri="{FF2B5EF4-FFF2-40B4-BE49-F238E27FC236}">
              <a16:creationId xmlns:a16="http://schemas.microsoft.com/office/drawing/2014/main" id="{00000000-0008-0000-2A00-000024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11</xdr:col>
      <xdr:colOff>628650</xdr:colOff>
      <xdr:row>61</xdr:row>
      <xdr:rowOff>0</xdr:rowOff>
    </xdr:from>
    <xdr:ext cx="65" cy="172227"/>
    <xdr:sp macro="" textlink="">
      <xdr:nvSpPr>
        <xdr:cNvPr id="38" name="CuadroTexto 37">
          <a:extLst>
            <a:ext uri="{FF2B5EF4-FFF2-40B4-BE49-F238E27FC236}">
              <a16:creationId xmlns:a16="http://schemas.microsoft.com/office/drawing/2014/main" id="{00000000-0008-0000-2A00-000026000000}"/>
            </a:ext>
          </a:extLst>
        </xdr:cNvPr>
        <xdr:cNvSpPr txBox="1"/>
      </xdr:nvSpPr>
      <xdr:spPr>
        <a:xfrm>
          <a:off x="12001500" y="2272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6</xdr:col>
      <xdr:colOff>539750</xdr:colOff>
      <xdr:row>73</xdr:row>
      <xdr:rowOff>158749</xdr:rowOff>
    </xdr:from>
    <xdr:ext cx="984250" cy="210507"/>
    <mc:AlternateContent xmlns:mc="http://schemas.openxmlformats.org/markup-compatibility/2006" xmlns:a14="http://schemas.microsoft.com/office/drawing/2010/main">
      <mc:Choice Requires="a14">
        <xdr:sp macro="" textlink="">
          <xdr:nvSpPr>
            <xdr:cNvPr id="39" name="CuadroTexto 38">
              <a:extLst>
                <a:ext uri="{FF2B5EF4-FFF2-40B4-BE49-F238E27FC236}">
                  <a16:creationId xmlns:a16="http://schemas.microsoft.com/office/drawing/2014/main" id="{00000000-0008-0000-2A00-000027000000}"/>
                </a:ext>
              </a:extLst>
            </xdr:cNvPr>
            <xdr:cNvSpPr txBox="1"/>
          </xdr:nvSpPr>
          <xdr:spPr>
            <a:xfrm>
              <a:off x="5397500" y="30076774"/>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𝒆</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39" name="CuadroTexto 38">
              <a:extLst>
                <a:ext uri="{FF2B5EF4-FFF2-40B4-BE49-F238E27FC236}">
                  <a16:creationId xmlns:a16="http://schemas.microsoft.com/office/drawing/2014/main" id="{00000000-0008-0000-1B00-000027000000}"/>
                </a:ext>
              </a:extLst>
            </xdr:cNvPr>
            <xdr:cNvSpPr txBox="1"/>
          </xdr:nvSpPr>
          <xdr:spPr>
            <a:xfrm>
              <a:off x="5397500" y="30076774"/>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𝒆 𝒄𝒕</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5</xdr:col>
      <xdr:colOff>52917</xdr:colOff>
      <xdr:row>73</xdr:row>
      <xdr:rowOff>148167</xdr:rowOff>
    </xdr:from>
    <xdr:ext cx="984250" cy="210507"/>
    <mc:AlternateContent xmlns:mc="http://schemas.openxmlformats.org/markup-compatibility/2006" xmlns:a14="http://schemas.microsoft.com/office/drawing/2010/main">
      <mc:Choice Requires="a14">
        <xdr:sp macro="" textlink="">
          <xdr:nvSpPr>
            <xdr:cNvPr id="40" name="CuadroTexto 39">
              <a:extLst>
                <a:ext uri="{FF2B5EF4-FFF2-40B4-BE49-F238E27FC236}">
                  <a16:creationId xmlns:a16="http://schemas.microsoft.com/office/drawing/2014/main" id="{00000000-0008-0000-2A00-000028000000}"/>
                </a:ext>
              </a:extLst>
            </xdr:cNvPr>
            <xdr:cNvSpPr txBox="1"/>
          </xdr:nvSpPr>
          <xdr:spPr>
            <a:xfrm>
              <a:off x="3872442" y="30066192"/>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0" name="CuadroTexto 39">
              <a:extLst>
                <a:ext uri="{FF2B5EF4-FFF2-40B4-BE49-F238E27FC236}">
                  <a16:creationId xmlns:a16="http://schemas.microsoft.com/office/drawing/2014/main" id="{00000000-0008-0000-1B00-000028000000}"/>
                </a:ext>
              </a:extLst>
            </xdr:cNvPr>
            <xdr:cNvSpPr txBox="1"/>
          </xdr:nvSpPr>
          <xdr:spPr>
            <a:xfrm>
              <a:off x="3872442" y="30066192"/>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𝒄𝒕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2</xdr:col>
      <xdr:colOff>23812</xdr:colOff>
      <xdr:row>73</xdr:row>
      <xdr:rowOff>95250</xdr:rowOff>
    </xdr:from>
    <xdr:ext cx="724958" cy="210507"/>
    <mc:AlternateContent xmlns:mc="http://schemas.openxmlformats.org/markup-compatibility/2006" xmlns:a14="http://schemas.microsoft.com/office/drawing/2010/main">
      <mc:Choice Requires="a14">
        <xdr:sp macro="" textlink="">
          <xdr:nvSpPr>
            <xdr:cNvPr id="42" name="CuadroTexto 41">
              <a:extLst>
                <a:ext uri="{FF2B5EF4-FFF2-40B4-BE49-F238E27FC236}">
                  <a16:creationId xmlns:a16="http://schemas.microsoft.com/office/drawing/2014/main" id="{00000000-0008-0000-2A00-00002A000000}"/>
                </a:ext>
              </a:extLst>
            </xdr:cNvPr>
            <xdr:cNvSpPr txBox="1"/>
          </xdr:nvSpPr>
          <xdr:spPr>
            <a:xfrm>
              <a:off x="1000125" y="30206156"/>
              <a:ext cx="724958"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𝑵𝒓</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2" name="CuadroTexto 41">
              <a:extLst>
                <a:ext uri="{FF2B5EF4-FFF2-40B4-BE49-F238E27FC236}">
                  <a16:creationId xmlns:a16="http://schemas.microsoft.com/office/drawing/2014/main" id="{00000000-0008-0000-1B00-00002A000000}"/>
                </a:ext>
              </a:extLst>
            </xdr:cNvPr>
            <xdr:cNvSpPr txBox="1"/>
          </xdr:nvSpPr>
          <xdr:spPr>
            <a:xfrm>
              <a:off x="1000125" y="30206156"/>
              <a:ext cx="724958"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𝑵𝒓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9</xdr:col>
      <xdr:colOff>624417</xdr:colOff>
      <xdr:row>73</xdr:row>
      <xdr:rowOff>206376</xdr:rowOff>
    </xdr:from>
    <xdr:ext cx="1524000" cy="210507"/>
    <mc:AlternateContent xmlns:mc="http://schemas.openxmlformats.org/markup-compatibility/2006" xmlns:a14="http://schemas.microsoft.com/office/drawing/2010/main">
      <mc:Choice Requires="a14">
        <xdr:sp macro="" textlink="">
          <xdr:nvSpPr>
            <xdr:cNvPr id="43" name="CuadroTexto 42">
              <a:extLst>
                <a:ext uri="{FF2B5EF4-FFF2-40B4-BE49-F238E27FC236}">
                  <a16:creationId xmlns:a16="http://schemas.microsoft.com/office/drawing/2014/main" id="{00000000-0008-0000-2A00-00002B000000}"/>
                </a:ext>
              </a:extLst>
            </xdr:cNvPr>
            <xdr:cNvSpPr txBox="1"/>
          </xdr:nvSpPr>
          <xdr:spPr>
            <a:xfrm>
              <a:off x="10935230" y="30535564"/>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𝑼</m:t>
                  </m:r>
                  <m:r>
                    <a:rPr lang="es-CO" sz="1400" b="1" i="1">
                      <a:latin typeface="Cambria Math" panose="02040503050406030204" pitchFamily="18" charset="0"/>
                      <a:ea typeface="Cambria Math" panose="02040503050406030204" pitchFamily="18" charset="0"/>
                    </a:rPr>
                    <m:t> </m:t>
                  </m:r>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 </m:t>
                  </m:r>
                  <m:r>
                    <a:rPr lang="es-CO" sz="1400" b="1" i="1">
                      <a:latin typeface="Cambria Math" panose="02040503050406030204" pitchFamily="18" charset="0"/>
                      <a:ea typeface="Cambria Math" panose="02040503050406030204" pitchFamily="18" charset="0"/>
                    </a:rPr>
                    <m:t>𝒌</m:t>
                  </m:r>
                  <m:r>
                    <a:rPr lang="es-CO" sz="1400" b="1" i="1">
                      <a:latin typeface="Cambria Math" panose="02040503050406030204" pitchFamily="18" charset="0"/>
                      <a:ea typeface="Cambria Math" panose="02040503050406030204" pitchFamily="18" charset="0"/>
                    </a:rPr>
                    <m:t>=</m:t>
                  </m:r>
                  <m:r>
                    <a:rPr lang="es-CO" sz="1400" b="1" i="1">
                      <a:latin typeface="Cambria Math" panose="02040503050406030204" pitchFamily="18" charset="0"/>
                      <a:ea typeface="Cambria Math" panose="02040503050406030204" pitchFamily="18" charset="0"/>
                    </a:rPr>
                    <m:t>𝟐</m:t>
                  </m:r>
                </m:oMath>
              </a14:m>
              <a:r>
                <a:rPr lang="es-CO" sz="1400" b="1" i="1">
                  <a:latin typeface="Arial" panose="020B0604020202020204" pitchFamily="34" charset="0"/>
                  <a:cs typeface="Arial" panose="020B0604020202020204" pitchFamily="34" charset="0"/>
                </a:rPr>
                <a:t>)</a:t>
              </a:r>
            </a:p>
          </xdr:txBody>
        </xdr:sp>
      </mc:Choice>
      <mc:Fallback xmlns="">
        <xdr:sp macro="" textlink="">
          <xdr:nvSpPr>
            <xdr:cNvPr id="43" name="CuadroTexto 42">
              <a:extLst>
                <a:ext uri="{FF2B5EF4-FFF2-40B4-BE49-F238E27FC236}">
                  <a16:creationId xmlns:a16="http://schemas.microsoft.com/office/drawing/2014/main" id="{00000000-0008-0000-1B00-00002B000000}"/>
                </a:ext>
              </a:extLst>
            </xdr:cNvPr>
            <xdr:cNvSpPr txBox="1"/>
          </xdr:nvSpPr>
          <xdr:spPr>
            <a:xfrm>
              <a:off x="10935230" y="30535564"/>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0">
                  <a:latin typeface="Cambria Math" panose="02040503050406030204" pitchFamily="18" charset="0"/>
                  <a:ea typeface="Cambria Math" panose="02040503050406030204" pitchFamily="18" charset="0"/>
                </a:rPr>
                <a:t>𝑼 ( 𝒎 𝒄𝒕 )  ( 𝒌=𝟐</a:t>
              </a:r>
              <a:r>
                <a:rPr lang="es-CO" sz="1400" b="1" i="1">
                  <a:latin typeface="Arial" panose="020B0604020202020204" pitchFamily="34" charset="0"/>
                  <a:cs typeface="Arial" panose="020B0604020202020204" pitchFamily="34" charset="0"/>
                </a:rPr>
                <a:t>)</a:t>
              </a:r>
            </a:p>
          </xdr:txBody>
        </xdr:sp>
      </mc:Fallback>
    </mc:AlternateContent>
    <xdr:clientData/>
  </xdr:oneCellAnchor>
  <xdr:oneCellAnchor>
    <xdr:from>
      <xdr:col>10</xdr:col>
      <xdr:colOff>603252</xdr:colOff>
      <xdr:row>74</xdr:row>
      <xdr:rowOff>84667</xdr:rowOff>
    </xdr:from>
    <xdr:ext cx="465666" cy="219163"/>
    <xdr:sp macro="" textlink="">
      <xdr:nvSpPr>
        <xdr:cNvPr id="44" name="CuadroTexto 43">
          <a:extLst>
            <a:ext uri="{FF2B5EF4-FFF2-40B4-BE49-F238E27FC236}">
              <a16:creationId xmlns:a16="http://schemas.microsoft.com/office/drawing/2014/main" id="{00000000-0008-0000-2A00-00002C000000}"/>
            </a:ext>
          </a:extLst>
        </xdr:cNvPr>
        <xdr:cNvSpPr txBox="1"/>
      </xdr:nvSpPr>
      <xdr:spPr>
        <a:xfrm>
          <a:off x="10299702" y="30517042"/>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10</xdr:col>
      <xdr:colOff>571499</xdr:colOff>
      <xdr:row>75</xdr:row>
      <xdr:rowOff>116416</xdr:rowOff>
    </xdr:from>
    <xdr:ext cx="359835" cy="219163"/>
    <xdr:sp macro="" textlink="">
      <xdr:nvSpPr>
        <xdr:cNvPr id="45" name="CuadroTexto 44">
          <a:extLst>
            <a:ext uri="{FF2B5EF4-FFF2-40B4-BE49-F238E27FC236}">
              <a16:creationId xmlns:a16="http://schemas.microsoft.com/office/drawing/2014/main" id="{00000000-0008-0000-2A00-00002D000000}"/>
            </a:ext>
          </a:extLst>
        </xdr:cNvPr>
        <xdr:cNvSpPr txBox="1"/>
      </xdr:nvSpPr>
      <xdr:spPr>
        <a:xfrm>
          <a:off x="10267949" y="30986941"/>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7</xdr:col>
      <xdr:colOff>275167</xdr:colOff>
      <xdr:row>74</xdr:row>
      <xdr:rowOff>148166</xdr:rowOff>
    </xdr:from>
    <xdr:ext cx="465666" cy="219163"/>
    <xdr:sp macro="" textlink="">
      <xdr:nvSpPr>
        <xdr:cNvPr id="46" name="CuadroTexto 45">
          <a:extLst>
            <a:ext uri="{FF2B5EF4-FFF2-40B4-BE49-F238E27FC236}">
              <a16:creationId xmlns:a16="http://schemas.microsoft.com/office/drawing/2014/main" id="{00000000-0008-0000-2A00-00002E000000}"/>
            </a:ext>
          </a:extLst>
        </xdr:cNvPr>
        <xdr:cNvSpPr txBox="1"/>
      </xdr:nvSpPr>
      <xdr:spPr>
        <a:xfrm>
          <a:off x="6371167" y="30580541"/>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7</xdr:col>
      <xdr:colOff>328083</xdr:colOff>
      <xdr:row>75</xdr:row>
      <xdr:rowOff>84667</xdr:rowOff>
    </xdr:from>
    <xdr:ext cx="359835" cy="219163"/>
    <xdr:sp macro="" textlink="">
      <xdr:nvSpPr>
        <xdr:cNvPr id="47" name="CuadroTexto 46">
          <a:extLst>
            <a:ext uri="{FF2B5EF4-FFF2-40B4-BE49-F238E27FC236}">
              <a16:creationId xmlns:a16="http://schemas.microsoft.com/office/drawing/2014/main" id="{00000000-0008-0000-2A00-00002F000000}"/>
            </a:ext>
          </a:extLst>
        </xdr:cNvPr>
        <xdr:cNvSpPr txBox="1"/>
      </xdr:nvSpPr>
      <xdr:spPr>
        <a:xfrm>
          <a:off x="6424083" y="30955192"/>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4</xdr:col>
      <xdr:colOff>560916</xdr:colOff>
      <xdr:row>72</xdr:row>
      <xdr:rowOff>74084</xdr:rowOff>
    </xdr:from>
    <xdr:ext cx="1524000" cy="210507"/>
    <mc:AlternateContent xmlns:mc="http://schemas.openxmlformats.org/markup-compatibility/2006" xmlns:a14="http://schemas.microsoft.com/office/drawing/2010/main">
      <mc:Choice Requires="a14">
        <xdr:sp macro="" textlink="">
          <xdr:nvSpPr>
            <xdr:cNvPr id="48" name="CuadroTexto 47">
              <a:extLst>
                <a:ext uri="{FF2B5EF4-FFF2-40B4-BE49-F238E27FC236}">
                  <a16:creationId xmlns:a16="http://schemas.microsoft.com/office/drawing/2014/main" id="{00000000-0008-0000-2A00-000030000000}"/>
                </a:ext>
              </a:extLst>
            </xdr:cNvPr>
            <xdr:cNvSpPr txBox="1"/>
          </xdr:nvSpPr>
          <xdr:spPr>
            <a:xfrm>
              <a:off x="3246966" y="29553959"/>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m:t>
                    </m:r>
                  </m:oMath>
                </m:oMathPara>
              </a14:m>
              <a:endParaRPr lang="es-CO" sz="1400" b="1" i="1">
                <a:latin typeface="Arial" panose="020B0604020202020204" pitchFamily="34" charset="0"/>
                <a:cs typeface="Arial" panose="020B0604020202020204" pitchFamily="34" charset="0"/>
              </a:endParaRPr>
            </a:p>
          </xdr:txBody>
        </xdr:sp>
      </mc:Choice>
      <mc:Fallback xmlns="">
        <xdr:sp macro="" textlink="">
          <xdr:nvSpPr>
            <xdr:cNvPr id="48" name="CuadroTexto 47">
              <a:extLst>
                <a:ext uri="{FF2B5EF4-FFF2-40B4-BE49-F238E27FC236}">
                  <a16:creationId xmlns:a16="http://schemas.microsoft.com/office/drawing/2014/main" id="{00000000-0008-0000-1B00-000030000000}"/>
                </a:ext>
              </a:extLst>
            </xdr:cNvPr>
            <xdr:cNvSpPr txBox="1"/>
          </xdr:nvSpPr>
          <xdr:spPr>
            <a:xfrm>
              <a:off x="3246966" y="29553959"/>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 𝒎 𝒄𝒕 )   </a:t>
              </a:r>
              <a:endParaRPr lang="es-CO" sz="1400" b="1" i="1">
                <a:latin typeface="Arial" panose="020B0604020202020204" pitchFamily="34" charset="0"/>
                <a:cs typeface="Arial" panose="020B0604020202020204" pitchFamily="34" charset="0"/>
              </a:endParaRPr>
            </a:p>
          </xdr:txBody>
        </xdr:sp>
      </mc:Fallback>
    </mc:AlternateContent>
    <xdr:clientData/>
  </xdr:oneCellAnchor>
  <xdr:oneCellAnchor>
    <xdr:from>
      <xdr:col>8</xdr:col>
      <xdr:colOff>411956</xdr:colOff>
      <xdr:row>71</xdr:row>
      <xdr:rowOff>406003</xdr:rowOff>
    </xdr:from>
    <xdr:ext cx="65" cy="172227"/>
    <xdr:sp macro="" textlink="">
      <xdr:nvSpPr>
        <xdr:cNvPr id="49" name="CuadroTexto 48">
          <a:extLst>
            <a:ext uri="{FF2B5EF4-FFF2-40B4-BE49-F238E27FC236}">
              <a16:creationId xmlns:a16="http://schemas.microsoft.com/office/drawing/2014/main" id="{00000000-0008-0000-2A00-000031000000}"/>
            </a:ext>
          </a:extLst>
        </xdr:cNvPr>
        <xdr:cNvSpPr txBox="1"/>
      </xdr:nvSpPr>
      <xdr:spPr>
        <a:xfrm>
          <a:off x="7555706" y="29457253"/>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51" name="CuadroTexto 50">
              <a:extLst>
                <a:ext uri="{FF2B5EF4-FFF2-40B4-BE49-F238E27FC236}">
                  <a16:creationId xmlns:a16="http://schemas.microsoft.com/office/drawing/2014/main" id="{00000000-0008-0000-2A00-000033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51" name="CuadroTexto 50">
              <a:extLst>
                <a:ext uri="{FF2B5EF4-FFF2-40B4-BE49-F238E27FC236}">
                  <a16:creationId xmlns:a16="http://schemas.microsoft.com/office/drawing/2014/main" id="{699BD3F3-5E6A-4166-A481-A975E8DD9EA5}"/>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twoCellAnchor>
    <xdr:from>
      <xdr:col>7</xdr:col>
      <xdr:colOff>889000</xdr:colOff>
      <xdr:row>62</xdr:row>
      <xdr:rowOff>277813</xdr:rowOff>
    </xdr:from>
    <xdr:to>
      <xdr:col>12</xdr:col>
      <xdr:colOff>23812</xdr:colOff>
      <xdr:row>64</xdr:row>
      <xdr:rowOff>547688</xdr:rowOff>
    </xdr:to>
    <xdr:graphicFrame macro="">
      <xdr:nvGraphicFramePr>
        <xdr:cNvPr id="50" name="Gráfico 49">
          <a:extLst>
            <a:ext uri="{FF2B5EF4-FFF2-40B4-BE49-F238E27FC236}">
              <a16:creationId xmlns:a16="http://schemas.microsoft.com/office/drawing/2014/main" id="{00000000-0008-0000-2A00-00003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214313</xdr:colOff>
      <xdr:row>0</xdr:row>
      <xdr:rowOff>71438</xdr:rowOff>
    </xdr:from>
    <xdr:to>
      <xdr:col>1</xdr:col>
      <xdr:colOff>609719</xdr:colOff>
      <xdr:row>0</xdr:row>
      <xdr:rowOff>711573</xdr:rowOff>
    </xdr:to>
    <xdr:pic>
      <xdr:nvPicPr>
        <xdr:cNvPr id="52" name="51 Imagen">
          <a:extLst>
            <a:ext uri="{FF2B5EF4-FFF2-40B4-BE49-F238E27FC236}">
              <a16:creationId xmlns:a16="http://schemas.microsoft.com/office/drawing/2014/main" id="{00000000-0008-0000-2A00-000034000000}"/>
            </a:ext>
          </a:extLst>
        </xdr:cNvPr>
        <xdr:cNvPicPr>
          <a:picLocks noChangeAspect="1"/>
        </xdr:cNvPicPr>
      </xdr:nvPicPr>
      <xdr:blipFill>
        <a:blip xmlns:r="http://schemas.openxmlformats.org/officeDocument/2006/relationships" r:embed="rId2"/>
        <a:stretch>
          <a:fillRect/>
        </a:stretch>
      </xdr:blipFill>
      <xdr:spPr>
        <a:xfrm>
          <a:off x="214313" y="71438"/>
          <a:ext cx="1371719" cy="640135"/>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oneCellAnchor>
    <xdr:from>
      <xdr:col>2</xdr:col>
      <xdr:colOff>392907</xdr:colOff>
      <xdr:row>62</xdr:row>
      <xdr:rowOff>114300</xdr:rowOff>
    </xdr:from>
    <xdr:ext cx="3692934" cy="210507"/>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00000000-0008-0000-2B00-000002000000}"/>
                </a:ext>
              </a:extLst>
            </xdr:cNvPr>
            <xdr:cNvSpPr txBox="1"/>
          </xdr:nvSpPr>
          <xdr:spPr>
            <a:xfrm>
              <a:off x="1845470" y="21914644"/>
              <a:ext cx="3692934" cy="210507"/>
            </a:xfrm>
            <a:prstGeom prst="rect">
              <a:avLst/>
            </a:prstGeom>
            <a:solidFill>
              <a:sysClr val="window" lastClr="FFFFFF"/>
            </a:solidFill>
            <a:ln>
              <a:solidFill>
                <a:schemeClr val="bg1"/>
              </a:solidFill>
            </a:ln>
          </xdr:spPr>
          <xdr:style>
            <a:lnRef idx="2">
              <a:schemeClr val="dk1"/>
            </a:lnRef>
            <a:fillRef idx="1">
              <a:schemeClr val="lt1"/>
            </a:fillRef>
            <a:effectRef idx="0">
              <a:schemeClr val="dk1"/>
            </a:effectRef>
            <a:fontRef idx="minor">
              <a:schemeClr val="dk1"/>
            </a:fontRef>
          </xdr:style>
          <xdr:txBody>
            <a:bodyPr vertOverflow="clip" horzOverflow="clip" wrap="none" lIns="0" tIns="0" rIns="0" bIns="0" rtlCol="0" anchor="t">
              <a:spAutoFit/>
            </a:bodyPr>
            <a:lstStyle/>
            <a:p>
              <a14:m>
                <m:oMath xmlns:m="http://schemas.openxmlformats.org/officeDocument/2006/math">
                  <m:r>
                    <a:rPr lang="es-CO" sz="1400" b="0" i="1">
                      <a:solidFill>
                        <a:schemeClr val="bg1"/>
                      </a:solidFill>
                      <a:latin typeface="Cambria Math" panose="02040503050406030204" pitchFamily="18" charset="0"/>
                      <a:ea typeface="Cambria Math" panose="02040503050406030204" pitchFamily="18" charset="0"/>
                    </a:rPr>
                    <m:t>𝑅𝑒𝑔𝑙𝑎</m:t>
                  </m:r>
                  <m:r>
                    <a:rPr lang="es-CO" sz="1400" b="0" i="1">
                      <a:solidFill>
                        <a:schemeClr val="bg1"/>
                      </a:solidFill>
                      <a:latin typeface="Cambria Math" panose="02040503050406030204" pitchFamily="18" charset="0"/>
                      <a:ea typeface="Cambria Math" panose="02040503050406030204" pitchFamily="18" charset="0"/>
                    </a:rPr>
                    <m:t> </m:t>
                  </m:r>
                  <m:r>
                    <a:rPr lang="es-CO" sz="1400" b="0" i="1">
                      <a:solidFill>
                        <a:schemeClr val="bg1"/>
                      </a:solidFill>
                      <a:latin typeface="Cambria Math" panose="02040503050406030204" pitchFamily="18" charset="0"/>
                      <a:ea typeface="Cambria Math" panose="02040503050406030204" pitchFamily="18" charset="0"/>
                    </a:rPr>
                    <m:t>𝑑𝑒</m:t>
                  </m:r>
                  <m:r>
                    <a:rPr lang="es-CO" sz="1400" b="0" i="1">
                      <a:solidFill>
                        <a:schemeClr val="bg1"/>
                      </a:solidFill>
                      <a:latin typeface="Cambria Math" panose="02040503050406030204" pitchFamily="18" charset="0"/>
                      <a:ea typeface="Cambria Math" panose="02040503050406030204" pitchFamily="18" charset="0"/>
                    </a:rPr>
                    <m:t> </m:t>
                  </m:r>
                  <m:r>
                    <a:rPr lang="es-CO" sz="1400" b="0" i="1">
                      <a:solidFill>
                        <a:schemeClr val="bg1"/>
                      </a:solidFill>
                      <a:latin typeface="Cambria Math" panose="02040503050406030204" pitchFamily="18" charset="0"/>
                      <a:ea typeface="Cambria Math" panose="02040503050406030204" pitchFamily="18" charset="0"/>
                    </a:rPr>
                    <m:t>𝑑𝑒𝑐𝑖𝑠𝑖</m:t>
                  </m:r>
                  <m:r>
                    <a:rPr lang="es-CO" sz="1400" b="0" i="1">
                      <a:solidFill>
                        <a:schemeClr val="bg1"/>
                      </a:solidFill>
                      <a:latin typeface="Cambria Math" panose="02040503050406030204" pitchFamily="18" charset="0"/>
                      <a:ea typeface="Cambria Math" panose="02040503050406030204" pitchFamily="18" charset="0"/>
                    </a:rPr>
                    <m:t>ó</m:t>
                  </m:r>
                  <m:r>
                    <a:rPr lang="es-CO" sz="1400" b="0" i="1">
                      <a:solidFill>
                        <a:schemeClr val="bg1"/>
                      </a:solidFill>
                      <a:latin typeface="Cambria Math" panose="02040503050406030204" pitchFamily="18" charset="0"/>
                      <a:ea typeface="Cambria Math" panose="02040503050406030204" pitchFamily="18" charset="0"/>
                    </a:rPr>
                    <m:t>𝑛</m:t>
                  </m:r>
                  <m:r>
                    <a:rPr lang="es-CO" sz="1400" b="0" i="1">
                      <a:solidFill>
                        <a:schemeClr val="bg1"/>
                      </a:solidFill>
                      <a:latin typeface="Cambria Math" panose="02040503050406030204" pitchFamily="18" charset="0"/>
                      <a:ea typeface="Cambria Math" panose="02040503050406030204" pitchFamily="18" charset="0"/>
                    </a:rPr>
                    <m:t>=|</m:t>
                  </m:r>
                  <m:r>
                    <a:rPr lang="es-CO" sz="1400" b="0" i="1">
                      <a:solidFill>
                        <a:schemeClr val="bg1"/>
                      </a:solidFill>
                      <a:latin typeface="Cambria Math" panose="02040503050406030204" pitchFamily="18" charset="0"/>
                      <a:ea typeface="Cambria Math" panose="02040503050406030204" pitchFamily="18" charset="0"/>
                    </a:rPr>
                    <m:t>𝐸</m:t>
                  </m:r>
                  <m:r>
                    <a:rPr lang="es-CO" sz="1400" b="0" i="1">
                      <a:solidFill>
                        <a:schemeClr val="bg1"/>
                      </a:solidFill>
                      <a:latin typeface="Cambria Math" panose="02040503050406030204" pitchFamily="18" charset="0"/>
                      <a:ea typeface="Cambria Math" panose="02040503050406030204" pitchFamily="18" charset="0"/>
                    </a:rPr>
                    <m:t>|+</m:t>
                  </m:r>
                  <m:r>
                    <a:rPr lang="es-CO" sz="1400" b="0" i="1">
                      <a:solidFill>
                        <a:schemeClr val="bg1"/>
                      </a:solidFill>
                      <a:latin typeface="Cambria Math" panose="02040503050406030204" pitchFamily="18" charset="0"/>
                      <a:ea typeface="Cambria Math" panose="02040503050406030204" pitchFamily="18" charset="0"/>
                    </a:rPr>
                    <m:t>𝑈</m:t>
                  </m:r>
                  <m:r>
                    <a:rPr lang="es-CO" sz="1400" b="0" i="1">
                      <a:solidFill>
                        <a:schemeClr val="bg1"/>
                      </a:solidFill>
                      <a:latin typeface="Cambria Math" panose="02040503050406030204" pitchFamily="18" charset="0"/>
                      <a:ea typeface="Cambria Math" panose="02040503050406030204" pitchFamily="18" charset="0"/>
                    </a:rPr>
                    <m:t>≤</m:t>
                  </m:r>
                  <m:r>
                    <a:rPr lang="es-CO" sz="1400" b="0" i="1">
                      <a:solidFill>
                        <a:schemeClr val="bg1"/>
                      </a:solidFill>
                      <a:latin typeface="Cambria Math" panose="02040503050406030204" pitchFamily="18" charset="0"/>
                      <a:ea typeface="Cambria Math" panose="02040503050406030204" pitchFamily="18" charset="0"/>
                    </a:rPr>
                    <m:t>𝐸𝑀𝑃</m:t>
                  </m:r>
                </m:oMath>
              </a14:m>
              <a:r>
                <a:rPr lang="es-CO" sz="1400">
                  <a:solidFill>
                    <a:schemeClr val="bg1"/>
                  </a:solidFill>
                  <a:latin typeface="Arial" panose="020B0604020202020204" pitchFamily="34" charset="0"/>
                  <a:cs typeface="Arial" panose="020B0604020202020204" pitchFamily="34" charset="0"/>
                </a:rPr>
                <a:t> </a:t>
              </a:r>
              <a:r>
                <a:rPr lang="es-CO" sz="1400" b="0">
                  <a:solidFill>
                    <a:schemeClr val="bg1"/>
                  </a:solidFill>
                  <a:latin typeface="Arial" panose="020B0604020202020204" pitchFamily="34" charset="0"/>
                  <a:cs typeface="Arial" panose="020B0604020202020204" pitchFamily="34" charset="0"/>
                </a:rPr>
                <a:t>= </a:t>
              </a:r>
              <a:r>
                <a:rPr lang="es-CO" sz="1200" b="0" i="0">
                  <a:solidFill>
                    <a:schemeClr val="bg1"/>
                  </a:solidFill>
                  <a:latin typeface="Arial" panose="020B0604020202020204" pitchFamily="34" charset="0"/>
                  <a:cs typeface="Arial" panose="020B0604020202020204" pitchFamily="34" charset="0"/>
                </a:rPr>
                <a:t>CUMPLE</a:t>
              </a:r>
            </a:p>
          </xdr:txBody>
        </xdr:sp>
      </mc:Choice>
      <mc:Fallback xmlns="">
        <xdr:sp macro="" textlink="">
          <xdr:nvSpPr>
            <xdr:cNvPr id="2" name="CuadroTexto 1">
              <a:extLst>
                <a:ext uri="{FF2B5EF4-FFF2-40B4-BE49-F238E27FC236}">
                  <a16:creationId xmlns:a16="http://schemas.microsoft.com/office/drawing/2014/main" xmlns:a14="http://schemas.microsoft.com/office/drawing/2010/main" xmlns="" id="{FF34451F-C500-4838-8918-F2BF3ECA1EBE}"/>
                </a:ext>
              </a:extLst>
            </xdr:cNvPr>
            <xdr:cNvSpPr txBox="1"/>
          </xdr:nvSpPr>
          <xdr:spPr>
            <a:xfrm>
              <a:off x="1845470" y="21914644"/>
              <a:ext cx="3692934" cy="210507"/>
            </a:xfrm>
            <a:prstGeom prst="rect">
              <a:avLst/>
            </a:prstGeom>
            <a:solidFill>
              <a:sysClr val="window" lastClr="FFFFFF"/>
            </a:solidFill>
            <a:ln>
              <a:solidFill>
                <a:schemeClr val="bg1"/>
              </a:solidFill>
            </a:ln>
          </xdr:spPr>
          <xdr:style>
            <a:lnRef idx="2">
              <a:schemeClr val="dk1"/>
            </a:lnRef>
            <a:fillRef idx="1">
              <a:schemeClr val="lt1"/>
            </a:fillRef>
            <a:effectRef idx="0">
              <a:schemeClr val="dk1"/>
            </a:effectRef>
            <a:fontRef idx="minor">
              <a:schemeClr val="dk1"/>
            </a:fontRef>
          </xdr:style>
          <xdr:txBody>
            <a:bodyPr vertOverflow="clip" horzOverflow="clip" wrap="none" lIns="0" tIns="0" rIns="0" bIns="0" rtlCol="0" anchor="t">
              <a:spAutoFit/>
            </a:bodyPr>
            <a:lstStyle/>
            <a:p>
              <a:r>
                <a:rPr lang="es-CO" sz="1400" b="0" i="0">
                  <a:solidFill>
                    <a:schemeClr val="bg1"/>
                  </a:solidFill>
                  <a:latin typeface="Cambria Math" panose="02040503050406030204" pitchFamily="18" charset="0"/>
                  <a:ea typeface="Cambria Math" panose="02040503050406030204" pitchFamily="18" charset="0"/>
                </a:rPr>
                <a:t>𝑅𝑒𝑔𝑙𝑎 𝑑𝑒 𝑑𝑒𝑐𝑖𝑠𝑖ó𝑛=|𝐸|+𝑈≤𝐸𝑀𝑃</a:t>
              </a:r>
              <a:r>
                <a:rPr lang="es-CO" sz="1400">
                  <a:solidFill>
                    <a:schemeClr val="bg1"/>
                  </a:solidFill>
                  <a:latin typeface="Arial" panose="020B0604020202020204" pitchFamily="34" charset="0"/>
                  <a:cs typeface="Arial" panose="020B0604020202020204" pitchFamily="34" charset="0"/>
                </a:rPr>
                <a:t> </a:t>
              </a:r>
              <a:r>
                <a:rPr lang="es-CO" sz="1400" b="0">
                  <a:solidFill>
                    <a:schemeClr val="bg1"/>
                  </a:solidFill>
                  <a:latin typeface="Arial" panose="020B0604020202020204" pitchFamily="34" charset="0"/>
                  <a:cs typeface="Arial" panose="020B0604020202020204" pitchFamily="34" charset="0"/>
                </a:rPr>
                <a:t>= </a:t>
              </a:r>
              <a:r>
                <a:rPr lang="es-CO" sz="1200" b="0" i="0">
                  <a:solidFill>
                    <a:schemeClr val="bg1"/>
                  </a:solidFill>
                  <a:latin typeface="Arial" panose="020B0604020202020204" pitchFamily="34" charset="0"/>
                  <a:cs typeface="Arial" panose="020B0604020202020204" pitchFamily="34" charset="0"/>
                </a:rPr>
                <a:t>CUMPLE</a:t>
              </a:r>
            </a:p>
          </xdr:txBody>
        </xdr:sp>
      </mc:Fallback>
    </mc:AlternateContent>
    <xdr:clientData/>
  </xdr:oneCellAnchor>
</xdr:wsDr>
</file>

<file path=xl/drawings/drawing45.xml><?xml version="1.0" encoding="utf-8"?>
<xdr:wsDr xmlns:xdr="http://schemas.openxmlformats.org/drawingml/2006/spreadsheetDrawing" xmlns:a="http://schemas.openxmlformats.org/drawingml/2006/main">
  <xdr:oneCellAnchor>
    <xdr:from>
      <xdr:col>3</xdr:col>
      <xdr:colOff>508000</xdr:colOff>
      <xdr:row>74</xdr:row>
      <xdr:rowOff>193674</xdr:rowOff>
    </xdr:from>
    <xdr:ext cx="3692934" cy="210507"/>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00000000-0008-0000-2C00-000002000000}"/>
                </a:ext>
              </a:extLst>
            </xdr:cNvPr>
            <xdr:cNvSpPr txBox="1"/>
          </xdr:nvSpPr>
          <xdr:spPr>
            <a:xfrm>
              <a:off x="2441575" y="30311724"/>
              <a:ext cx="3692934" cy="210507"/>
            </a:xfrm>
            <a:prstGeom prst="rect">
              <a:avLst/>
            </a:prstGeom>
            <a:solidFill>
              <a:sysClr val="window" lastClr="FFFFFF"/>
            </a:solidFill>
            <a:ln>
              <a:noFill/>
            </a:ln>
          </xdr:spPr>
          <xdr:style>
            <a:lnRef idx="2">
              <a:schemeClr val="dk1"/>
            </a:lnRef>
            <a:fillRef idx="1">
              <a:schemeClr val="lt1"/>
            </a:fillRef>
            <a:effectRef idx="0">
              <a:schemeClr val="dk1"/>
            </a:effectRef>
            <a:fontRef idx="minor">
              <a:schemeClr val="dk1"/>
            </a:fontRef>
          </xdr:style>
          <xdr:txBody>
            <a:bodyPr vertOverflow="clip" horzOverflow="clip" wrap="none" lIns="0" tIns="0" rIns="0" bIns="0" rtlCol="0" anchor="t">
              <a:spAutoFit/>
            </a:bodyPr>
            <a:lstStyle/>
            <a:p>
              <a14:m>
                <m:oMath xmlns:m="http://schemas.openxmlformats.org/officeDocument/2006/math">
                  <m:r>
                    <a:rPr lang="es-CO" sz="1400" b="0" i="1">
                      <a:solidFill>
                        <a:schemeClr val="bg1"/>
                      </a:solidFill>
                      <a:latin typeface="Cambria Math" panose="02040503050406030204" pitchFamily="18" charset="0"/>
                      <a:ea typeface="Cambria Math" panose="02040503050406030204" pitchFamily="18" charset="0"/>
                    </a:rPr>
                    <m:t>𝑅𝑒𝑔𝑙𝑎</m:t>
                  </m:r>
                  <m:r>
                    <a:rPr lang="es-CO" sz="1400" b="0" i="1">
                      <a:solidFill>
                        <a:schemeClr val="bg1"/>
                      </a:solidFill>
                      <a:latin typeface="Cambria Math" panose="02040503050406030204" pitchFamily="18" charset="0"/>
                      <a:ea typeface="Cambria Math" panose="02040503050406030204" pitchFamily="18" charset="0"/>
                    </a:rPr>
                    <m:t> </m:t>
                  </m:r>
                  <m:r>
                    <a:rPr lang="es-CO" sz="1400" b="0" i="1">
                      <a:solidFill>
                        <a:schemeClr val="bg1"/>
                      </a:solidFill>
                      <a:latin typeface="Cambria Math" panose="02040503050406030204" pitchFamily="18" charset="0"/>
                      <a:ea typeface="Cambria Math" panose="02040503050406030204" pitchFamily="18" charset="0"/>
                    </a:rPr>
                    <m:t>𝑑𝑒</m:t>
                  </m:r>
                  <m:r>
                    <a:rPr lang="es-CO" sz="1400" b="0" i="1">
                      <a:solidFill>
                        <a:schemeClr val="bg1"/>
                      </a:solidFill>
                      <a:latin typeface="Cambria Math" panose="02040503050406030204" pitchFamily="18" charset="0"/>
                      <a:ea typeface="Cambria Math" panose="02040503050406030204" pitchFamily="18" charset="0"/>
                    </a:rPr>
                    <m:t> </m:t>
                  </m:r>
                  <m:r>
                    <a:rPr lang="es-CO" sz="1400" b="0" i="1">
                      <a:solidFill>
                        <a:schemeClr val="bg1"/>
                      </a:solidFill>
                      <a:latin typeface="Cambria Math" panose="02040503050406030204" pitchFamily="18" charset="0"/>
                      <a:ea typeface="Cambria Math" panose="02040503050406030204" pitchFamily="18" charset="0"/>
                    </a:rPr>
                    <m:t>𝑑𝑒𝑐𝑖𝑠𝑖</m:t>
                  </m:r>
                  <m:r>
                    <a:rPr lang="es-CO" sz="1400" b="0" i="1">
                      <a:solidFill>
                        <a:schemeClr val="bg1"/>
                      </a:solidFill>
                      <a:latin typeface="Cambria Math" panose="02040503050406030204" pitchFamily="18" charset="0"/>
                      <a:ea typeface="Cambria Math" panose="02040503050406030204" pitchFamily="18" charset="0"/>
                    </a:rPr>
                    <m:t>ó</m:t>
                  </m:r>
                  <m:r>
                    <a:rPr lang="es-CO" sz="1400" b="0" i="1">
                      <a:solidFill>
                        <a:schemeClr val="bg1"/>
                      </a:solidFill>
                      <a:latin typeface="Cambria Math" panose="02040503050406030204" pitchFamily="18" charset="0"/>
                      <a:ea typeface="Cambria Math" panose="02040503050406030204" pitchFamily="18" charset="0"/>
                    </a:rPr>
                    <m:t>𝑛</m:t>
                  </m:r>
                  <m:r>
                    <a:rPr lang="es-CO" sz="1400" b="0" i="1">
                      <a:solidFill>
                        <a:schemeClr val="bg1"/>
                      </a:solidFill>
                      <a:latin typeface="Cambria Math" panose="02040503050406030204" pitchFamily="18" charset="0"/>
                      <a:ea typeface="Cambria Math" panose="02040503050406030204" pitchFamily="18" charset="0"/>
                    </a:rPr>
                    <m:t>=|</m:t>
                  </m:r>
                  <m:r>
                    <a:rPr lang="es-CO" sz="1400" b="0" i="1">
                      <a:solidFill>
                        <a:schemeClr val="bg1"/>
                      </a:solidFill>
                      <a:latin typeface="Cambria Math" panose="02040503050406030204" pitchFamily="18" charset="0"/>
                      <a:ea typeface="Cambria Math" panose="02040503050406030204" pitchFamily="18" charset="0"/>
                    </a:rPr>
                    <m:t>𝐸</m:t>
                  </m:r>
                  <m:r>
                    <a:rPr lang="es-CO" sz="1400" b="0" i="1">
                      <a:solidFill>
                        <a:schemeClr val="bg1"/>
                      </a:solidFill>
                      <a:latin typeface="Cambria Math" panose="02040503050406030204" pitchFamily="18" charset="0"/>
                      <a:ea typeface="Cambria Math" panose="02040503050406030204" pitchFamily="18" charset="0"/>
                    </a:rPr>
                    <m:t>|+</m:t>
                  </m:r>
                  <m:r>
                    <a:rPr lang="es-CO" sz="1400" b="0" i="1">
                      <a:solidFill>
                        <a:schemeClr val="bg1"/>
                      </a:solidFill>
                      <a:latin typeface="Cambria Math" panose="02040503050406030204" pitchFamily="18" charset="0"/>
                      <a:ea typeface="Cambria Math" panose="02040503050406030204" pitchFamily="18" charset="0"/>
                    </a:rPr>
                    <m:t>𝑈</m:t>
                  </m:r>
                  <m:r>
                    <a:rPr lang="es-CO" sz="1400" b="0" i="1">
                      <a:solidFill>
                        <a:schemeClr val="bg1"/>
                      </a:solidFill>
                      <a:latin typeface="Cambria Math" panose="02040503050406030204" pitchFamily="18" charset="0"/>
                      <a:ea typeface="Cambria Math" panose="02040503050406030204" pitchFamily="18" charset="0"/>
                    </a:rPr>
                    <m:t>≤</m:t>
                  </m:r>
                  <m:r>
                    <a:rPr lang="es-CO" sz="1400" b="0" i="1">
                      <a:solidFill>
                        <a:schemeClr val="bg1"/>
                      </a:solidFill>
                      <a:latin typeface="Cambria Math" panose="02040503050406030204" pitchFamily="18" charset="0"/>
                      <a:ea typeface="Cambria Math" panose="02040503050406030204" pitchFamily="18" charset="0"/>
                    </a:rPr>
                    <m:t>𝐸𝑀𝑃</m:t>
                  </m:r>
                </m:oMath>
              </a14:m>
              <a:r>
                <a:rPr lang="es-CO" sz="1400">
                  <a:solidFill>
                    <a:schemeClr val="bg1"/>
                  </a:solidFill>
                  <a:latin typeface="Arial" panose="020B0604020202020204" pitchFamily="34" charset="0"/>
                  <a:cs typeface="Arial" panose="020B0604020202020204" pitchFamily="34" charset="0"/>
                </a:rPr>
                <a:t> </a:t>
              </a:r>
              <a:r>
                <a:rPr lang="es-CO" sz="1400" b="0">
                  <a:solidFill>
                    <a:schemeClr val="bg1"/>
                  </a:solidFill>
                  <a:latin typeface="Arial" panose="020B0604020202020204" pitchFamily="34" charset="0"/>
                  <a:cs typeface="Arial" panose="020B0604020202020204" pitchFamily="34" charset="0"/>
                </a:rPr>
                <a:t>= </a:t>
              </a:r>
              <a:r>
                <a:rPr lang="es-CO" sz="1200" b="0" i="0">
                  <a:solidFill>
                    <a:schemeClr val="bg1"/>
                  </a:solidFill>
                  <a:latin typeface="Arial" panose="020B0604020202020204" pitchFamily="34" charset="0"/>
                  <a:cs typeface="Arial" panose="020B0604020202020204" pitchFamily="34" charset="0"/>
                </a:rPr>
                <a:t>CUMPLE</a:t>
              </a:r>
            </a:p>
          </xdr:txBody>
        </xdr:sp>
      </mc:Choice>
      <mc:Fallback xmlns="">
        <xdr:sp macro="" textlink="">
          <xdr:nvSpPr>
            <xdr:cNvPr id="2" name="CuadroTexto 1">
              <a:extLst>
                <a:ext uri="{FF2B5EF4-FFF2-40B4-BE49-F238E27FC236}">
                  <a16:creationId xmlns="" xmlns:a16="http://schemas.microsoft.com/office/drawing/2014/main" xmlns:a14="http://schemas.microsoft.com/office/drawing/2010/main" id="{6CD1BDD8-42AD-4B58-A707-633E30C53F51}"/>
                </a:ext>
              </a:extLst>
            </xdr:cNvPr>
            <xdr:cNvSpPr txBox="1"/>
          </xdr:nvSpPr>
          <xdr:spPr>
            <a:xfrm>
              <a:off x="2441575" y="30311724"/>
              <a:ext cx="3692934" cy="210507"/>
            </a:xfrm>
            <a:prstGeom prst="rect">
              <a:avLst/>
            </a:prstGeom>
            <a:solidFill>
              <a:sysClr val="window" lastClr="FFFFFF"/>
            </a:solidFill>
            <a:ln>
              <a:noFill/>
            </a:ln>
          </xdr:spPr>
          <xdr:style>
            <a:lnRef idx="2">
              <a:schemeClr val="dk1"/>
            </a:lnRef>
            <a:fillRef idx="1">
              <a:schemeClr val="lt1"/>
            </a:fillRef>
            <a:effectRef idx="0">
              <a:schemeClr val="dk1"/>
            </a:effectRef>
            <a:fontRef idx="minor">
              <a:schemeClr val="dk1"/>
            </a:fontRef>
          </xdr:style>
          <xdr:txBody>
            <a:bodyPr vertOverflow="clip" horzOverflow="clip" wrap="none" lIns="0" tIns="0" rIns="0" bIns="0" rtlCol="0" anchor="t">
              <a:spAutoFit/>
            </a:bodyPr>
            <a:lstStyle/>
            <a:p>
              <a:r>
                <a:rPr lang="es-CO" sz="1400" b="0" i="0">
                  <a:solidFill>
                    <a:schemeClr val="bg1"/>
                  </a:solidFill>
                  <a:latin typeface="Cambria Math" panose="02040503050406030204" pitchFamily="18" charset="0"/>
                  <a:ea typeface="Cambria Math" panose="02040503050406030204" pitchFamily="18" charset="0"/>
                </a:rPr>
                <a:t>𝑅𝑒𝑔𝑙𝑎 𝑑𝑒 𝑑𝑒𝑐𝑖𝑠𝑖ó𝑛=|𝐸|+𝑈≤𝐸𝑀𝑃</a:t>
              </a:r>
              <a:r>
                <a:rPr lang="es-CO" sz="1400">
                  <a:solidFill>
                    <a:schemeClr val="bg1"/>
                  </a:solidFill>
                  <a:latin typeface="Arial" panose="020B0604020202020204" pitchFamily="34" charset="0"/>
                  <a:cs typeface="Arial" panose="020B0604020202020204" pitchFamily="34" charset="0"/>
                </a:rPr>
                <a:t> </a:t>
              </a:r>
              <a:r>
                <a:rPr lang="es-CO" sz="1400" b="0">
                  <a:solidFill>
                    <a:schemeClr val="bg1"/>
                  </a:solidFill>
                  <a:latin typeface="Arial" panose="020B0604020202020204" pitchFamily="34" charset="0"/>
                  <a:cs typeface="Arial" panose="020B0604020202020204" pitchFamily="34" charset="0"/>
                </a:rPr>
                <a:t>= </a:t>
              </a:r>
              <a:r>
                <a:rPr lang="es-CO" sz="1200" b="0" i="0">
                  <a:solidFill>
                    <a:schemeClr val="bg1"/>
                  </a:solidFill>
                  <a:latin typeface="Arial" panose="020B0604020202020204" pitchFamily="34" charset="0"/>
                  <a:cs typeface="Arial" panose="020B0604020202020204" pitchFamily="34" charset="0"/>
                </a:rPr>
                <a:t>CUMPLE</a:t>
              </a:r>
            </a:p>
          </xdr:txBody>
        </xdr:sp>
      </mc:Fallback>
    </mc:AlternateContent>
    <xdr:clientData/>
  </xdr:oneCellAnchor>
</xdr:wsDr>
</file>

<file path=xl/drawings/drawing46.xml><?xml version="1.0" encoding="utf-8"?>
<xdr:wsDr xmlns:xdr="http://schemas.openxmlformats.org/drawingml/2006/spreadsheetDrawing" xmlns:a="http://schemas.openxmlformats.org/drawingml/2006/main">
  <xdr:oneCellAnchor>
    <xdr:from>
      <xdr:col>2</xdr:col>
      <xdr:colOff>476250</xdr:colOff>
      <xdr:row>89</xdr:row>
      <xdr:rowOff>161925</xdr:rowOff>
    </xdr:from>
    <xdr:ext cx="3692934" cy="210507"/>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00000000-0008-0000-2D00-000002000000}"/>
                </a:ext>
              </a:extLst>
            </xdr:cNvPr>
            <xdr:cNvSpPr txBox="1"/>
          </xdr:nvSpPr>
          <xdr:spPr>
            <a:xfrm>
              <a:off x="2305050" y="36014025"/>
              <a:ext cx="3692934" cy="210507"/>
            </a:xfrm>
            <a:prstGeom prst="rect">
              <a:avLst/>
            </a:prstGeom>
            <a:solidFill>
              <a:sysClr val="window" lastClr="FFFFFF"/>
            </a:solidFill>
            <a:ln>
              <a:noFill/>
            </a:ln>
          </xdr:spPr>
          <xdr:style>
            <a:lnRef idx="2">
              <a:schemeClr val="dk1"/>
            </a:lnRef>
            <a:fillRef idx="1">
              <a:schemeClr val="lt1"/>
            </a:fillRef>
            <a:effectRef idx="0">
              <a:schemeClr val="dk1"/>
            </a:effectRef>
            <a:fontRef idx="minor">
              <a:schemeClr val="dk1"/>
            </a:fontRef>
          </xdr:style>
          <xdr:txBody>
            <a:bodyPr vertOverflow="clip" horzOverflow="clip" wrap="none" lIns="0" tIns="0" rIns="0" bIns="0" rtlCol="0" anchor="t">
              <a:spAutoFit/>
            </a:bodyPr>
            <a:lstStyle/>
            <a:p>
              <a14:m>
                <m:oMath xmlns:m="http://schemas.openxmlformats.org/officeDocument/2006/math">
                  <m:r>
                    <a:rPr lang="es-CO" sz="1400" b="0" i="1">
                      <a:solidFill>
                        <a:schemeClr val="bg1"/>
                      </a:solidFill>
                      <a:latin typeface="Cambria Math" panose="02040503050406030204" pitchFamily="18" charset="0"/>
                      <a:ea typeface="Cambria Math" panose="02040503050406030204" pitchFamily="18" charset="0"/>
                    </a:rPr>
                    <m:t>𝑅𝑒𝑔𝑙𝑎</m:t>
                  </m:r>
                  <m:r>
                    <a:rPr lang="es-CO" sz="1400" b="0" i="1">
                      <a:solidFill>
                        <a:schemeClr val="bg1"/>
                      </a:solidFill>
                      <a:latin typeface="Cambria Math" panose="02040503050406030204" pitchFamily="18" charset="0"/>
                      <a:ea typeface="Cambria Math" panose="02040503050406030204" pitchFamily="18" charset="0"/>
                    </a:rPr>
                    <m:t> </m:t>
                  </m:r>
                  <m:r>
                    <a:rPr lang="es-CO" sz="1400" b="0" i="1">
                      <a:solidFill>
                        <a:schemeClr val="bg1"/>
                      </a:solidFill>
                      <a:latin typeface="Cambria Math" panose="02040503050406030204" pitchFamily="18" charset="0"/>
                      <a:ea typeface="Cambria Math" panose="02040503050406030204" pitchFamily="18" charset="0"/>
                    </a:rPr>
                    <m:t>𝑑𝑒</m:t>
                  </m:r>
                  <m:r>
                    <a:rPr lang="es-CO" sz="1400" b="0" i="1">
                      <a:solidFill>
                        <a:schemeClr val="bg1"/>
                      </a:solidFill>
                      <a:latin typeface="Cambria Math" panose="02040503050406030204" pitchFamily="18" charset="0"/>
                      <a:ea typeface="Cambria Math" panose="02040503050406030204" pitchFamily="18" charset="0"/>
                    </a:rPr>
                    <m:t> </m:t>
                  </m:r>
                  <m:r>
                    <a:rPr lang="es-CO" sz="1400" b="0" i="1">
                      <a:solidFill>
                        <a:schemeClr val="bg1"/>
                      </a:solidFill>
                      <a:latin typeface="Cambria Math" panose="02040503050406030204" pitchFamily="18" charset="0"/>
                      <a:ea typeface="Cambria Math" panose="02040503050406030204" pitchFamily="18" charset="0"/>
                    </a:rPr>
                    <m:t>𝑑𝑒𝑐𝑖𝑠𝑖</m:t>
                  </m:r>
                  <m:r>
                    <a:rPr lang="es-CO" sz="1400" b="0" i="1">
                      <a:solidFill>
                        <a:schemeClr val="bg1"/>
                      </a:solidFill>
                      <a:latin typeface="Cambria Math" panose="02040503050406030204" pitchFamily="18" charset="0"/>
                      <a:ea typeface="Cambria Math" panose="02040503050406030204" pitchFamily="18" charset="0"/>
                    </a:rPr>
                    <m:t>ó</m:t>
                  </m:r>
                  <m:r>
                    <a:rPr lang="es-CO" sz="1400" b="0" i="1">
                      <a:solidFill>
                        <a:schemeClr val="bg1"/>
                      </a:solidFill>
                      <a:latin typeface="Cambria Math" panose="02040503050406030204" pitchFamily="18" charset="0"/>
                      <a:ea typeface="Cambria Math" panose="02040503050406030204" pitchFamily="18" charset="0"/>
                    </a:rPr>
                    <m:t>𝑛</m:t>
                  </m:r>
                  <m:r>
                    <a:rPr lang="es-CO" sz="1400" b="0" i="1">
                      <a:solidFill>
                        <a:schemeClr val="bg1"/>
                      </a:solidFill>
                      <a:latin typeface="Cambria Math" panose="02040503050406030204" pitchFamily="18" charset="0"/>
                      <a:ea typeface="Cambria Math" panose="02040503050406030204" pitchFamily="18" charset="0"/>
                    </a:rPr>
                    <m:t>=|</m:t>
                  </m:r>
                  <m:r>
                    <a:rPr lang="es-CO" sz="1400" b="0" i="1">
                      <a:solidFill>
                        <a:schemeClr val="bg1"/>
                      </a:solidFill>
                      <a:latin typeface="Cambria Math" panose="02040503050406030204" pitchFamily="18" charset="0"/>
                      <a:ea typeface="Cambria Math" panose="02040503050406030204" pitchFamily="18" charset="0"/>
                    </a:rPr>
                    <m:t>𝐸</m:t>
                  </m:r>
                  <m:r>
                    <a:rPr lang="es-CO" sz="1400" b="0" i="1">
                      <a:solidFill>
                        <a:schemeClr val="bg1"/>
                      </a:solidFill>
                      <a:latin typeface="Cambria Math" panose="02040503050406030204" pitchFamily="18" charset="0"/>
                      <a:ea typeface="Cambria Math" panose="02040503050406030204" pitchFamily="18" charset="0"/>
                    </a:rPr>
                    <m:t>|+</m:t>
                  </m:r>
                  <m:r>
                    <a:rPr lang="es-CO" sz="1400" b="0" i="1">
                      <a:solidFill>
                        <a:schemeClr val="bg1"/>
                      </a:solidFill>
                      <a:latin typeface="Cambria Math" panose="02040503050406030204" pitchFamily="18" charset="0"/>
                      <a:ea typeface="Cambria Math" panose="02040503050406030204" pitchFamily="18" charset="0"/>
                    </a:rPr>
                    <m:t>𝑈</m:t>
                  </m:r>
                  <m:r>
                    <a:rPr lang="es-CO" sz="1400" b="0" i="1">
                      <a:solidFill>
                        <a:schemeClr val="bg1"/>
                      </a:solidFill>
                      <a:latin typeface="Cambria Math" panose="02040503050406030204" pitchFamily="18" charset="0"/>
                      <a:ea typeface="Cambria Math" panose="02040503050406030204" pitchFamily="18" charset="0"/>
                    </a:rPr>
                    <m:t>≤</m:t>
                  </m:r>
                  <m:r>
                    <a:rPr lang="es-CO" sz="1400" b="0" i="1">
                      <a:solidFill>
                        <a:schemeClr val="bg1"/>
                      </a:solidFill>
                      <a:latin typeface="Cambria Math" panose="02040503050406030204" pitchFamily="18" charset="0"/>
                      <a:ea typeface="Cambria Math" panose="02040503050406030204" pitchFamily="18" charset="0"/>
                    </a:rPr>
                    <m:t>𝐸𝑀𝑃</m:t>
                  </m:r>
                </m:oMath>
              </a14:m>
              <a:r>
                <a:rPr lang="es-CO" sz="1400">
                  <a:solidFill>
                    <a:schemeClr val="bg1"/>
                  </a:solidFill>
                  <a:latin typeface="Arial" panose="020B0604020202020204" pitchFamily="34" charset="0"/>
                  <a:cs typeface="Arial" panose="020B0604020202020204" pitchFamily="34" charset="0"/>
                </a:rPr>
                <a:t> </a:t>
              </a:r>
              <a:r>
                <a:rPr lang="es-CO" sz="1400" b="0">
                  <a:solidFill>
                    <a:schemeClr val="bg1"/>
                  </a:solidFill>
                  <a:latin typeface="Arial" panose="020B0604020202020204" pitchFamily="34" charset="0"/>
                  <a:cs typeface="Arial" panose="020B0604020202020204" pitchFamily="34" charset="0"/>
                </a:rPr>
                <a:t>= </a:t>
              </a:r>
              <a:r>
                <a:rPr lang="es-CO" sz="1200" b="0" i="0">
                  <a:solidFill>
                    <a:schemeClr val="bg1"/>
                  </a:solidFill>
                  <a:latin typeface="Arial" panose="020B0604020202020204" pitchFamily="34" charset="0"/>
                  <a:cs typeface="Arial" panose="020B0604020202020204" pitchFamily="34" charset="0"/>
                </a:rPr>
                <a:t>CUMPLE</a:t>
              </a:r>
            </a:p>
          </xdr:txBody>
        </xdr:sp>
      </mc:Choice>
      <mc:Fallback xmlns="">
        <xdr:sp macro="" textlink="">
          <xdr:nvSpPr>
            <xdr:cNvPr id="2" name="CuadroTexto 1">
              <a:extLst>
                <a:ext uri="{FF2B5EF4-FFF2-40B4-BE49-F238E27FC236}">
                  <a16:creationId xmlns:a16="http://schemas.microsoft.com/office/drawing/2014/main" id="{5FCEEB00-E3F2-467E-AD3B-150F59CB96E9}"/>
                </a:ext>
              </a:extLst>
            </xdr:cNvPr>
            <xdr:cNvSpPr txBox="1"/>
          </xdr:nvSpPr>
          <xdr:spPr>
            <a:xfrm>
              <a:off x="2305050" y="36014025"/>
              <a:ext cx="3692934" cy="210507"/>
            </a:xfrm>
            <a:prstGeom prst="rect">
              <a:avLst/>
            </a:prstGeom>
            <a:solidFill>
              <a:sysClr val="window" lastClr="FFFFFF"/>
            </a:solidFill>
            <a:ln>
              <a:noFill/>
            </a:ln>
          </xdr:spPr>
          <xdr:style>
            <a:lnRef idx="2">
              <a:schemeClr val="dk1"/>
            </a:lnRef>
            <a:fillRef idx="1">
              <a:schemeClr val="lt1"/>
            </a:fillRef>
            <a:effectRef idx="0">
              <a:schemeClr val="dk1"/>
            </a:effectRef>
            <a:fontRef idx="minor">
              <a:schemeClr val="dk1"/>
            </a:fontRef>
          </xdr:style>
          <xdr:txBody>
            <a:bodyPr vertOverflow="clip" horzOverflow="clip" wrap="none" lIns="0" tIns="0" rIns="0" bIns="0" rtlCol="0" anchor="t">
              <a:spAutoFit/>
            </a:bodyPr>
            <a:lstStyle/>
            <a:p>
              <a:r>
                <a:rPr lang="es-CO" sz="1400" b="0" i="0">
                  <a:solidFill>
                    <a:schemeClr val="bg1"/>
                  </a:solidFill>
                  <a:latin typeface="Cambria Math" panose="02040503050406030204" pitchFamily="18" charset="0"/>
                  <a:ea typeface="Cambria Math" panose="02040503050406030204" pitchFamily="18" charset="0"/>
                </a:rPr>
                <a:t>𝑅𝑒𝑔𝑙𝑎 𝑑𝑒 𝑑𝑒𝑐𝑖𝑠𝑖ó𝑛=|𝐸|+𝑈≤𝐸𝑀𝑃</a:t>
              </a:r>
              <a:r>
                <a:rPr lang="es-CO" sz="1400">
                  <a:solidFill>
                    <a:schemeClr val="bg1"/>
                  </a:solidFill>
                  <a:latin typeface="Arial" panose="020B0604020202020204" pitchFamily="34" charset="0"/>
                  <a:cs typeface="Arial" panose="020B0604020202020204" pitchFamily="34" charset="0"/>
                </a:rPr>
                <a:t> </a:t>
              </a:r>
              <a:r>
                <a:rPr lang="es-CO" sz="1400" b="0">
                  <a:solidFill>
                    <a:schemeClr val="bg1"/>
                  </a:solidFill>
                  <a:latin typeface="Arial" panose="020B0604020202020204" pitchFamily="34" charset="0"/>
                  <a:cs typeface="Arial" panose="020B0604020202020204" pitchFamily="34" charset="0"/>
                </a:rPr>
                <a:t>= </a:t>
              </a:r>
              <a:r>
                <a:rPr lang="es-CO" sz="1200" b="0" i="0">
                  <a:solidFill>
                    <a:schemeClr val="bg1"/>
                  </a:solidFill>
                  <a:latin typeface="Arial" panose="020B0604020202020204" pitchFamily="34" charset="0"/>
                  <a:cs typeface="Arial" panose="020B0604020202020204" pitchFamily="34" charset="0"/>
                </a:rPr>
                <a:t>CUMPLE</a:t>
              </a:r>
            </a:p>
          </xdr:txBody>
        </xdr:sp>
      </mc:Fallback>
    </mc:AlternateContent>
    <xdr:clientData/>
  </xdr:oneCellAnchor>
</xdr:wsDr>
</file>

<file path=xl/drawings/drawing5.xml><?xml version="1.0" encoding="utf-8"?>
<xdr:wsDr xmlns:xdr="http://schemas.openxmlformats.org/drawingml/2006/spreadsheetDrawing" xmlns:a="http://schemas.openxmlformats.org/drawingml/2006/main">
  <xdr:oneCellAnchor>
    <xdr:from>
      <xdr:col>1</xdr:col>
      <xdr:colOff>285935</xdr:colOff>
      <xdr:row>42</xdr:row>
      <xdr:rowOff>169517</xdr:rowOff>
    </xdr:from>
    <xdr:ext cx="177356" cy="176202"/>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00000000-0008-0000-0400-000003000000}"/>
                </a:ext>
              </a:extLst>
            </xdr:cNvPr>
            <xdr:cNvSpPr txBox="1"/>
          </xdr:nvSpPr>
          <xdr:spPr>
            <a:xfrm>
              <a:off x="1314635" y="14958667"/>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bg1"/>
                            </a:solidFill>
                            <a:latin typeface="Cambria Math" panose="02040503050406030204" pitchFamily="18" charset="0"/>
                          </a:rPr>
                        </m:ctrlPr>
                      </m:accPr>
                      <m:e>
                        <m:r>
                          <a:rPr lang="es-CO" sz="1100" b="1" i="1">
                            <a:solidFill>
                              <a:schemeClr val="bg1"/>
                            </a:solidFill>
                            <a:latin typeface="Cambria Math" panose="02040503050406030204" pitchFamily="18" charset="0"/>
                            <a:ea typeface="Cambria Math" panose="02040503050406030204" pitchFamily="18" charset="0"/>
                          </a:rPr>
                          <m:t>∆</m:t>
                        </m:r>
                        <m:r>
                          <a:rPr lang="es-CO" sz="1100" b="1" i="1">
                            <a:solidFill>
                              <a:schemeClr val="bg1"/>
                            </a:solidFill>
                            <a:latin typeface="Cambria Math" panose="02040503050406030204" pitchFamily="18" charset="0"/>
                            <a:ea typeface="Cambria Math" panose="02040503050406030204" pitchFamily="18" charset="0"/>
                          </a:rPr>
                          <m:t>𝑰</m:t>
                        </m:r>
                      </m:e>
                    </m:acc>
                  </m:oMath>
                </m:oMathPara>
              </a14:m>
              <a:endParaRPr lang="es-CO" sz="1100" b="1">
                <a:solidFill>
                  <a:schemeClr val="bg1"/>
                </a:solidFill>
              </a:endParaRPr>
            </a:p>
          </xdr:txBody>
        </xdr:sp>
      </mc:Choice>
      <mc:Fallback xmlns="">
        <xdr:sp macro="" textlink="">
          <xdr:nvSpPr>
            <xdr:cNvPr id="3" name="CuadroTexto 2">
              <a:extLst>
                <a:ext uri="{FF2B5EF4-FFF2-40B4-BE49-F238E27FC236}">
                  <a16:creationId xmlns:a16="http://schemas.microsoft.com/office/drawing/2014/main" id="{ED023BE8-3628-4CB7-9106-8B52C52AF78B}"/>
                </a:ext>
              </a:extLst>
            </xdr:cNvPr>
            <xdr:cNvSpPr txBox="1"/>
          </xdr:nvSpPr>
          <xdr:spPr>
            <a:xfrm>
              <a:off x="1314635" y="14958667"/>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bg1"/>
                  </a:solidFill>
                  <a:latin typeface="Cambria Math" panose="02040503050406030204" pitchFamily="18" charset="0"/>
                </a:rPr>
                <a:t>(</a:t>
              </a:r>
              <a:r>
                <a:rPr lang="es-CO" sz="1100" b="1" i="0">
                  <a:solidFill>
                    <a:schemeClr val="bg1"/>
                  </a:solidFill>
                  <a:latin typeface="Cambria Math" panose="02040503050406030204" pitchFamily="18" charset="0"/>
                  <a:ea typeface="Cambria Math" panose="02040503050406030204" pitchFamily="18" charset="0"/>
                </a:rPr>
                <a:t>∆𝑰) ̅</a:t>
              </a:r>
              <a:endParaRPr lang="es-CO" sz="1100" b="1">
                <a:solidFill>
                  <a:schemeClr val="bg1"/>
                </a:solidFill>
              </a:endParaRPr>
            </a:p>
          </xdr:txBody>
        </xdr:sp>
      </mc:Fallback>
    </mc:AlternateContent>
    <xdr:clientData/>
  </xdr:oneCellAnchor>
  <xdr:oneCellAnchor>
    <xdr:from>
      <xdr:col>1</xdr:col>
      <xdr:colOff>136732</xdr:colOff>
      <xdr:row>58</xdr:row>
      <xdr:rowOff>253032</xdr:rowOff>
    </xdr:from>
    <xdr:ext cx="599716" cy="172227"/>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id="{00000000-0008-0000-0400-000004000000}"/>
                </a:ext>
              </a:extLst>
            </xdr:cNvPr>
            <xdr:cNvSpPr txBox="1"/>
          </xdr:nvSpPr>
          <xdr:spPr>
            <a:xfrm>
              <a:off x="1165432" y="20750832"/>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𝒘</m:t>
                        </m:r>
                      </m:sub>
                    </m:sSub>
                    <m:r>
                      <a:rPr lang="es-CO" sz="1100" b="1" i="1">
                        <a:latin typeface="Cambria Math" panose="02040503050406030204" pitchFamily="18" charset="0"/>
                      </a:rPr>
                      <m:t>(</m:t>
                    </m:r>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4" name="CuadroTexto 3">
              <a:extLst>
                <a:ext uri="{FF2B5EF4-FFF2-40B4-BE49-F238E27FC236}">
                  <a16:creationId xmlns:a16="http://schemas.microsoft.com/office/drawing/2014/main" id="{3FBA4683-F806-4254-8D20-94D7BF11A660}"/>
                </a:ext>
              </a:extLst>
            </xdr:cNvPr>
            <xdr:cNvSpPr txBox="1"/>
          </xdr:nvSpPr>
          <xdr:spPr>
            <a:xfrm>
              <a:off x="1165432" y="20750832"/>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𝒖_𝒘 (</a:t>
              </a: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1</xdr:col>
      <xdr:colOff>202651</xdr:colOff>
      <xdr:row>61</xdr:row>
      <xdr:rowOff>265287</xdr:rowOff>
    </xdr:from>
    <xdr:ext cx="483915" cy="172227"/>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id="{00000000-0008-0000-0400-000005000000}"/>
                </a:ext>
              </a:extLst>
            </xdr:cNvPr>
            <xdr:cNvSpPr txBox="1"/>
          </xdr:nvSpPr>
          <xdr:spPr>
            <a:xfrm>
              <a:off x="1231351" y="2297288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5" name="CuadroTexto 4">
              <a:extLst>
                <a:ext uri="{FF2B5EF4-FFF2-40B4-BE49-F238E27FC236}">
                  <a16:creationId xmlns:a16="http://schemas.microsoft.com/office/drawing/2014/main" id="{B0B7E9EA-19F0-4350-911F-9E5B0CFDC0E5}"/>
                </a:ext>
              </a:extLst>
            </xdr:cNvPr>
            <xdr:cNvSpPr txBox="1"/>
          </xdr:nvSpPr>
          <xdr:spPr>
            <a:xfrm>
              <a:off x="1231351" y="2297288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𝒖(𝒎_𝒄𝒓)</a:t>
              </a:r>
              <a:endParaRPr lang="es-CO" sz="1100" b="1"/>
            </a:p>
          </xdr:txBody>
        </xdr:sp>
      </mc:Fallback>
    </mc:AlternateContent>
    <xdr:clientData/>
  </xdr:oneCellAnchor>
  <xdr:oneCellAnchor>
    <xdr:from>
      <xdr:col>1</xdr:col>
      <xdr:colOff>34166</xdr:colOff>
      <xdr:row>60</xdr:row>
      <xdr:rowOff>250203</xdr:rowOff>
    </xdr:from>
    <xdr:ext cx="689483" cy="172227"/>
    <mc:AlternateContent xmlns:mc="http://schemas.openxmlformats.org/markup-compatibility/2006" xmlns:a14="http://schemas.microsoft.com/office/drawing/2010/main">
      <mc:Choice Requires="a14">
        <xdr:sp macro="" textlink="">
          <xdr:nvSpPr>
            <xdr:cNvPr id="6" name="CuadroTexto 5">
              <a:extLst>
                <a:ext uri="{FF2B5EF4-FFF2-40B4-BE49-F238E27FC236}">
                  <a16:creationId xmlns:a16="http://schemas.microsoft.com/office/drawing/2014/main" id="{00000000-0008-0000-0400-000006000000}"/>
                </a:ext>
              </a:extLst>
            </xdr:cNvPr>
            <xdr:cNvSpPr txBox="1"/>
          </xdr:nvSpPr>
          <xdr:spPr>
            <a:xfrm>
              <a:off x="1062866" y="22221203"/>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𝒊𝒏𝒔𝒕</m:t>
                        </m:r>
                      </m:sub>
                    </m:sSub>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0" i="1">
                        <a:latin typeface="Cambria Math" panose="02040503050406030204" pitchFamily="18" charset="0"/>
                      </a:rPr>
                      <m:t>)</m:t>
                    </m:r>
                  </m:oMath>
                </m:oMathPara>
              </a14:m>
              <a:endParaRPr lang="es-CO" sz="1100"/>
            </a:p>
          </xdr:txBody>
        </xdr:sp>
      </mc:Choice>
      <mc:Fallback xmlns="">
        <xdr:sp macro="" textlink="">
          <xdr:nvSpPr>
            <xdr:cNvPr id="6" name="CuadroTexto 5">
              <a:extLst>
                <a:ext uri="{FF2B5EF4-FFF2-40B4-BE49-F238E27FC236}">
                  <a16:creationId xmlns:a16="http://schemas.microsoft.com/office/drawing/2014/main" id="{16016417-5A32-408B-9816-92C930C38974}"/>
                </a:ext>
              </a:extLst>
            </xdr:cNvPr>
            <xdr:cNvSpPr txBox="1"/>
          </xdr:nvSpPr>
          <xdr:spPr>
            <a:xfrm>
              <a:off x="1062866" y="22221203"/>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𝒖_𝒊𝒏𝒔𝒕 (𝒎_𝒄𝒓</a:t>
              </a:r>
              <a:r>
                <a:rPr lang="es-CO" sz="1100" b="0" i="0">
                  <a:latin typeface="Cambria Math" panose="02040503050406030204" pitchFamily="18" charset="0"/>
                </a:rPr>
                <a:t>)</a:t>
              </a:r>
              <a:endParaRPr lang="es-CO" sz="1100"/>
            </a:p>
          </xdr:txBody>
        </xdr:sp>
      </mc:Fallback>
    </mc:AlternateContent>
    <xdr:clientData/>
  </xdr:oneCellAnchor>
  <xdr:oneCellAnchor>
    <xdr:from>
      <xdr:col>1</xdr:col>
      <xdr:colOff>183870</xdr:colOff>
      <xdr:row>62</xdr:row>
      <xdr:rowOff>264645</xdr:rowOff>
    </xdr:from>
    <xdr:ext cx="397353" cy="172227"/>
    <mc:AlternateContent xmlns:mc="http://schemas.openxmlformats.org/markup-compatibility/2006" xmlns:a14="http://schemas.microsoft.com/office/drawing/2010/main">
      <mc:Choice Requires="a14">
        <xdr:sp macro="" textlink="">
          <xdr:nvSpPr>
            <xdr:cNvPr id="7" name="CuadroTexto 6">
              <a:extLst>
                <a:ext uri="{FF2B5EF4-FFF2-40B4-BE49-F238E27FC236}">
                  <a16:creationId xmlns:a16="http://schemas.microsoft.com/office/drawing/2014/main" id="{00000000-0008-0000-0400-000007000000}"/>
                </a:ext>
              </a:extLst>
            </xdr:cNvPr>
            <xdr:cNvSpPr txBox="1"/>
          </xdr:nvSpPr>
          <xdr:spPr>
            <a:xfrm>
              <a:off x="1212570" y="23708845"/>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𝒂</m:t>
                        </m:r>
                      </m:sub>
                    </m:sSub>
                    <m:r>
                      <a:rPr lang="es-CO" sz="1100" b="1" i="1">
                        <a:latin typeface="Cambria Math" panose="02040503050406030204" pitchFamily="18" charset="0"/>
                      </a:rPr>
                      <m:t>)</m:t>
                    </m:r>
                  </m:oMath>
                </m:oMathPara>
              </a14:m>
              <a:endParaRPr lang="es-CO" sz="1100" b="1"/>
            </a:p>
          </xdr:txBody>
        </xdr:sp>
      </mc:Choice>
      <mc:Fallback xmlns="">
        <xdr:sp macro="" textlink="">
          <xdr:nvSpPr>
            <xdr:cNvPr id="7" name="CuadroTexto 6">
              <a:extLst>
                <a:ext uri="{FF2B5EF4-FFF2-40B4-BE49-F238E27FC236}">
                  <a16:creationId xmlns:a16="http://schemas.microsoft.com/office/drawing/2014/main" id="{201C3550-1C44-42B8-AD66-75DA06D66682}"/>
                </a:ext>
              </a:extLst>
            </xdr:cNvPr>
            <xdr:cNvSpPr txBox="1"/>
          </xdr:nvSpPr>
          <xdr:spPr>
            <a:xfrm>
              <a:off x="1212570" y="23708845"/>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𝒂)</a:t>
              </a:r>
              <a:endParaRPr lang="es-CO" sz="1100" b="1"/>
            </a:p>
          </xdr:txBody>
        </xdr:sp>
      </mc:Fallback>
    </mc:AlternateContent>
    <xdr:clientData/>
  </xdr:oneCellAnchor>
  <xdr:oneCellAnchor>
    <xdr:from>
      <xdr:col>1</xdr:col>
      <xdr:colOff>186298</xdr:colOff>
      <xdr:row>63</xdr:row>
      <xdr:rowOff>266606</xdr:rowOff>
    </xdr:from>
    <xdr:ext cx="376642" cy="172227"/>
    <mc:AlternateContent xmlns:mc="http://schemas.openxmlformats.org/markup-compatibility/2006" xmlns:a14="http://schemas.microsoft.com/office/drawing/2010/main">
      <mc:Choice Requires="a14">
        <xdr:sp macro="" textlink="">
          <xdr:nvSpPr>
            <xdr:cNvPr id="8" name="CuadroTexto 7">
              <a:extLst>
                <a:ext uri="{FF2B5EF4-FFF2-40B4-BE49-F238E27FC236}">
                  <a16:creationId xmlns:a16="http://schemas.microsoft.com/office/drawing/2014/main" id="{00000000-0008-0000-0400-000008000000}"/>
                </a:ext>
              </a:extLst>
            </xdr:cNvPr>
            <xdr:cNvSpPr txBox="1"/>
          </xdr:nvSpPr>
          <xdr:spPr>
            <a:xfrm>
              <a:off x="1214998" y="244474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𝒕</m:t>
                        </m:r>
                      </m:sub>
                    </m:sSub>
                    <m:r>
                      <a:rPr lang="es-CO" sz="1100" b="1" i="1">
                        <a:latin typeface="Cambria Math" panose="02040503050406030204" pitchFamily="18" charset="0"/>
                      </a:rPr>
                      <m:t>)</m:t>
                    </m:r>
                  </m:oMath>
                </m:oMathPara>
              </a14:m>
              <a:endParaRPr lang="es-CO" sz="1100" b="1"/>
            </a:p>
          </xdr:txBody>
        </xdr:sp>
      </mc:Choice>
      <mc:Fallback xmlns="">
        <xdr:sp macro="" textlink="">
          <xdr:nvSpPr>
            <xdr:cNvPr id="8" name="CuadroTexto 7">
              <a:extLst>
                <a:ext uri="{FF2B5EF4-FFF2-40B4-BE49-F238E27FC236}">
                  <a16:creationId xmlns:a16="http://schemas.microsoft.com/office/drawing/2014/main" id="{804D67C1-FF13-4C1A-A72F-C37994DD63DB}"/>
                </a:ext>
              </a:extLst>
            </xdr:cNvPr>
            <xdr:cNvSpPr txBox="1"/>
          </xdr:nvSpPr>
          <xdr:spPr>
            <a:xfrm>
              <a:off x="1214998" y="244474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𝒕)</a:t>
              </a:r>
              <a:endParaRPr lang="es-CO" sz="1100" b="1"/>
            </a:p>
          </xdr:txBody>
        </xdr:sp>
      </mc:Fallback>
    </mc:AlternateContent>
    <xdr:clientData/>
  </xdr:oneCellAnchor>
  <xdr:oneCellAnchor>
    <xdr:from>
      <xdr:col>1</xdr:col>
      <xdr:colOff>186298</xdr:colOff>
      <xdr:row>64</xdr:row>
      <xdr:rowOff>222250</xdr:rowOff>
    </xdr:from>
    <xdr:ext cx="388696" cy="172227"/>
    <mc:AlternateContent xmlns:mc="http://schemas.openxmlformats.org/markup-compatibility/2006" xmlns:a14="http://schemas.microsoft.com/office/drawing/2010/main">
      <mc:Choice Requires="a14">
        <xdr:sp macro="" textlink="">
          <xdr:nvSpPr>
            <xdr:cNvPr id="9" name="CuadroTexto 8">
              <a:extLst>
                <a:ext uri="{FF2B5EF4-FFF2-40B4-BE49-F238E27FC236}">
                  <a16:creationId xmlns:a16="http://schemas.microsoft.com/office/drawing/2014/main" id="{00000000-0008-0000-0400-000009000000}"/>
                </a:ext>
              </a:extLst>
            </xdr:cNvPr>
            <xdr:cNvSpPr txBox="1"/>
          </xdr:nvSpPr>
          <xdr:spPr>
            <a:xfrm>
              <a:off x="1214998" y="25139650"/>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9" name="CuadroTexto 8">
              <a:extLst>
                <a:ext uri="{FF2B5EF4-FFF2-40B4-BE49-F238E27FC236}">
                  <a16:creationId xmlns:a16="http://schemas.microsoft.com/office/drawing/2014/main" id="{FEA52BC1-0352-4A1D-B687-E721FC351952}"/>
                </a:ext>
              </a:extLst>
            </xdr:cNvPr>
            <xdr:cNvSpPr txBox="1"/>
          </xdr:nvSpPr>
          <xdr:spPr>
            <a:xfrm>
              <a:off x="1214998" y="25139650"/>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𝒓)</a:t>
              </a:r>
              <a:endParaRPr lang="es-CO" sz="1100" b="1"/>
            </a:p>
          </xdr:txBody>
        </xdr:sp>
      </mc:Fallback>
    </mc:AlternateContent>
    <xdr:clientData/>
  </xdr:oneCellAnchor>
  <xdr:oneCellAnchor>
    <xdr:from>
      <xdr:col>1</xdr:col>
      <xdr:colOff>265579</xdr:colOff>
      <xdr:row>65</xdr:row>
      <xdr:rowOff>288458</xdr:rowOff>
    </xdr:from>
    <xdr:ext cx="191271" cy="172227"/>
    <mc:AlternateContent xmlns:mc="http://schemas.openxmlformats.org/markup-compatibility/2006" xmlns:a14="http://schemas.microsoft.com/office/drawing/2010/main">
      <mc:Choice Requires="a14">
        <xdr:sp macro="" textlink="">
          <xdr:nvSpPr>
            <xdr:cNvPr id="10" name="CuadroTexto 9">
              <a:extLst>
                <a:ext uri="{FF2B5EF4-FFF2-40B4-BE49-F238E27FC236}">
                  <a16:creationId xmlns:a16="http://schemas.microsoft.com/office/drawing/2014/main" id="{00000000-0008-0000-0400-00000A000000}"/>
                </a:ext>
              </a:extLst>
            </xdr:cNvPr>
            <xdr:cNvSpPr txBox="1"/>
          </xdr:nvSpPr>
          <xdr:spPr>
            <a:xfrm>
              <a:off x="1294279" y="2594245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𝒃</m:t>
                        </m:r>
                      </m:sub>
                    </m:sSub>
                  </m:oMath>
                </m:oMathPara>
              </a14:m>
              <a:endParaRPr lang="es-CO" sz="1100" b="1"/>
            </a:p>
          </xdr:txBody>
        </xdr:sp>
      </mc:Choice>
      <mc:Fallback xmlns="">
        <xdr:sp macro="" textlink="">
          <xdr:nvSpPr>
            <xdr:cNvPr id="10" name="CuadroTexto 9">
              <a:extLst>
                <a:ext uri="{FF2B5EF4-FFF2-40B4-BE49-F238E27FC236}">
                  <a16:creationId xmlns:a16="http://schemas.microsoft.com/office/drawing/2014/main" id="{6B6C573F-68F0-4872-8BD1-50BAFDABE9C8}"/>
                </a:ext>
              </a:extLst>
            </xdr:cNvPr>
            <xdr:cNvSpPr txBox="1"/>
          </xdr:nvSpPr>
          <xdr:spPr>
            <a:xfrm>
              <a:off x="1294279" y="2594245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𝒖_𝒃</a:t>
              </a:r>
              <a:endParaRPr lang="es-CO" sz="1100" b="1"/>
            </a:p>
          </xdr:txBody>
        </xdr:sp>
      </mc:Fallback>
    </mc:AlternateContent>
    <xdr:clientData/>
  </xdr:oneCellAnchor>
  <xdr:oneCellAnchor>
    <xdr:from>
      <xdr:col>1</xdr:col>
      <xdr:colOff>261391</xdr:colOff>
      <xdr:row>66</xdr:row>
      <xdr:rowOff>294234</xdr:rowOff>
    </xdr:from>
    <xdr:ext cx="195053" cy="172227"/>
    <mc:AlternateContent xmlns:mc="http://schemas.openxmlformats.org/markup-compatibility/2006" xmlns:a14="http://schemas.microsoft.com/office/drawing/2010/main">
      <mc:Choice Requires="a14">
        <xdr:sp macro="" textlink="">
          <xdr:nvSpPr>
            <xdr:cNvPr id="11" name="CuadroTexto 10">
              <a:extLst>
                <a:ext uri="{FF2B5EF4-FFF2-40B4-BE49-F238E27FC236}">
                  <a16:creationId xmlns:a16="http://schemas.microsoft.com/office/drawing/2014/main" id="{00000000-0008-0000-0400-00000B000000}"/>
                </a:ext>
              </a:extLst>
            </xdr:cNvPr>
            <xdr:cNvSpPr txBox="1"/>
          </xdr:nvSpPr>
          <xdr:spPr>
            <a:xfrm>
              <a:off x="1290091" y="26684834"/>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𝒅</m:t>
                        </m:r>
                      </m:sub>
                    </m:sSub>
                  </m:oMath>
                </m:oMathPara>
              </a14:m>
              <a:endParaRPr lang="es-CO" sz="1100" b="1"/>
            </a:p>
          </xdr:txBody>
        </xdr:sp>
      </mc:Choice>
      <mc:Fallback xmlns="">
        <xdr:sp macro="" textlink="">
          <xdr:nvSpPr>
            <xdr:cNvPr id="11" name="CuadroTexto 10">
              <a:extLst>
                <a:ext uri="{FF2B5EF4-FFF2-40B4-BE49-F238E27FC236}">
                  <a16:creationId xmlns:a16="http://schemas.microsoft.com/office/drawing/2014/main" id="{C4A9B1A1-F234-40BD-B771-D34310D5DE86}"/>
                </a:ext>
              </a:extLst>
            </xdr:cNvPr>
            <xdr:cNvSpPr txBox="1"/>
          </xdr:nvSpPr>
          <xdr:spPr>
            <a:xfrm>
              <a:off x="1290091" y="26684834"/>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𝒖_𝒅</a:t>
              </a:r>
              <a:endParaRPr lang="es-CO" sz="1100" b="1"/>
            </a:p>
          </xdr:txBody>
        </xdr:sp>
      </mc:Fallback>
    </mc:AlternateContent>
    <xdr:clientData/>
  </xdr:oneCellAnchor>
  <xdr:oneCellAnchor>
    <xdr:from>
      <xdr:col>5</xdr:col>
      <xdr:colOff>393571</xdr:colOff>
      <xdr:row>69</xdr:row>
      <xdr:rowOff>265119</xdr:rowOff>
    </xdr:from>
    <xdr:ext cx="529697" cy="172227"/>
    <mc:AlternateContent xmlns:mc="http://schemas.openxmlformats.org/markup-compatibility/2006" xmlns:a14="http://schemas.microsoft.com/office/drawing/2010/main">
      <mc:Choice Requires="a14">
        <xdr:sp macro="" textlink="">
          <xdr:nvSpPr>
            <xdr:cNvPr id="12" name="CuadroTexto 11">
              <a:extLst>
                <a:ext uri="{FF2B5EF4-FFF2-40B4-BE49-F238E27FC236}">
                  <a16:creationId xmlns:a16="http://schemas.microsoft.com/office/drawing/2014/main" id="{00000000-0008-0000-0400-00000C000000}"/>
                </a:ext>
              </a:extLst>
            </xdr:cNvPr>
            <xdr:cNvSpPr txBox="1"/>
          </xdr:nvSpPr>
          <xdr:spPr>
            <a:xfrm>
              <a:off x="5632321" y="28217819"/>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𝒄</m:t>
                        </m:r>
                      </m:sub>
                    </m:sSub>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12" name="CuadroTexto 11">
              <a:extLst>
                <a:ext uri="{FF2B5EF4-FFF2-40B4-BE49-F238E27FC236}">
                  <a16:creationId xmlns:a16="http://schemas.microsoft.com/office/drawing/2014/main" id="{7AD90CB2-095F-48C3-8A5A-335C528ECAA3}"/>
                </a:ext>
              </a:extLst>
            </xdr:cNvPr>
            <xdr:cNvSpPr txBox="1"/>
          </xdr:nvSpPr>
          <xdr:spPr>
            <a:xfrm>
              <a:off x="5632321" y="28217819"/>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𝒖_𝒄 (</a:t>
              </a:r>
              <a:r>
                <a:rPr lang="es-CO" sz="1100" b="1" i="0">
                  <a:latin typeface="Cambria Math" panose="02040503050406030204" pitchFamily="18" charset="0"/>
                  <a:ea typeface="Cambria Math" panose="02040503050406030204" pitchFamily="18" charset="0"/>
                </a:rPr>
                <a:t>𝒎_𝒄𝒕)</a:t>
              </a:r>
              <a:endParaRPr lang="es-CO" sz="1100" b="1"/>
            </a:p>
          </xdr:txBody>
        </xdr:sp>
      </mc:Fallback>
    </mc:AlternateContent>
    <xdr:clientData/>
  </xdr:oneCellAnchor>
  <xdr:oneCellAnchor>
    <xdr:from>
      <xdr:col>5</xdr:col>
      <xdr:colOff>243965</xdr:colOff>
      <xdr:row>70</xdr:row>
      <xdr:rowOff>130277</xdr:rowOff>
    </xdr:from>
    <xdr:ext cx="780598" cy="172227"/>
    <mc:AlternateContent xmlns:mc="http://schemas.openxmlformats.org/markup-compatibility/2006" xmlns:a14="http://schemas.microsoft.com/office/drawing/2010/main">
      <mc:Choice Requires="a14">
        <xdr:sp macro="" textlink="">
          <xdr:nvSpPr>
            <xdr:cNvPr id="13" name="CuadroTexto 12">
              <a:extLst>
                <a:ext uri="{FF2B5EF4-FFF2-40B4-BE49-F238E27FC236}">
                  <a16:creationId xmlns:a16="http://schemas.microsoft.com/office/drawing/2014/main" id="{00000000-0008-0000-0400-00000D000000}"/>
                </a:ext>
              </a:extLst>
            </xdr:cNvPr>
            <xdr:cNvSpPr txBox="1"/>
          </xdr:nvSpPr>
          <xdr:spPr>
            <a:xfrm>
              <a:off x="5482715" y="2873702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100" b="1" i="1">
                      <a:latin typeface="Cambria Math" panose="02040503050406030204" pitchFamily="18" charset="0"/>
                    </a:rPr>
                    <m:t>𝑼</m:t>
                  </m:r>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a14:m>
              <a:r>
                <a:rPr lang="es-CO" sz="1100" b="1"/>
                <a:t> (k=2)</a:t>
              </a:r>
            </a:p>
          </xdr:txBody>
        </xdr:sp>
      </mc:Choice>
      <mc:Fallback xmlns="">
        <xdr:sp macro="" textlink="">
          <xdr:nvSpPr>
            <xdr:cNvPr id="13" name="CuadroTexto 12">
              <a:extLst>
                <a:ext uri="{FF2B5EF4-FFF2-40B4-BE49-F238E27FC236}">
                  <a16:creationId xmlns:a16="http://schemas.microsoft.com/office/drawing/2014/main" id="{45E57050-1372-48F3-8C40-0CAC0D24A189}"/>
                </a:ext>
              </a:extLst>
            </xdr:cNvPr>
            <xdr:cNvSpPr txBox="1"/>
          </xdr:nvSpPr>
          <xdr:spPr>
            <a:xfrm>
              <a:off x="5482715" y="2873702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100" b="1" i="0">
                  <a:latin typeface="Cambria Math" panose="02040503050406030204" pitchFamily="18" charset="0"/>
                </a:rPr>
                <a:t>𝑼(</a:t>
              </a:r>
              <a:r>
                <a:rPr lang="es-CO" sz="1100" b="1" i="0">
                  <a:latin typeface="Cambria Math" panose="02040503050406030204" pitchFamily="18" charset="0"/>
                  <a:ea typeface="Cambria Math" panose="02040503050406030204" pitchFamily="18" charset="0"/>
                </a:rPr>
                <a:t>𝒎_𝒄𝒕)</a:t>
              </a:r>
              <a:r>
                <a:rPr lang="es-CO" sz="1100" b="1"/>
                <a:t> (k=2)</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14" name="CuadroTexto 13">
              <a:extLst>
                <a:ext uri="{FF2B5EF4-FFF2-40B4-BE49-F238E27FC236}">
                  <a16:creationId xmlns:a16="http://schemas.microsoft.com/office/drawing/2014/main" id="{00000000-0008-0000-0400-00000E000000}"/>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14" name="CuadroTexto 13">
              <a:extLst>
                <a:ext uri="{FF2B5EF4-FFF2-40B4-BE49-F238E27FC236}">
                  <a16:creationId xmlns:a16="http://schemas.microsoft.com/office/drawing/2014/main" id="{7EDBEE1D-7AE3-4905-B163-5FD96C3C5039}"/>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8</xdr:col>
      <xdr:colOff>541269</xdr:colOff>
      <xdr:row>52</xdr:row>
      <xdr:rowOff>78683</xdr:rowOff>
    </xdr:from>
    <xdr:ext cx="304571" cy="172227"/>
    <mc:AlternateContent xmlns:mc="http://schemas.openxmlformats.org/markup-compatibility/2006" xmlns:a14="http://schemas.microsoft.com/office/drawing/2010/main">
      <mc:Choice Requires="a14">
        <xdr:sp macro="" textlink="">
          <xdr:nvSpPr>
            <xdr:cNvPr id="15" name="CuadroTexto 14">
              <a:extLst>
                <a:ext uri="{FF2B5EF4-FFF2-40B4-BE49-F238E27FC236}">
                  <a16:creationId xmlns:a16="http://schemas.microsoft.com/office/drawing/2014/main" id="{00000000-0008-0000-0400-00000F000000}"/>
                </a:ext>
              </a:extLst>
            </xdr:cNvPr>
            <xdr:cNvSpPr txBox="1"/>
          </xdr:nvSpPr>
          <xdr:spPr>
            <a:xfrm>
              <a:off x="9882119" y="18595283"/>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oMath>
                </m:oMathPara>
              </a14:m>
              <a:endParaRPr lang="es-CO" sz="1100" b="1"/>
            </a:p>
          </xdr:txBody>
        </xdr:sp>
      </mc:Choice>
      <mc:Fallback xmlns="">
        <xdr:sp macro="" textlink="">
          <xdr:nvSpPr>
            <xdr:cNvPr id="15" name="CuadroTexto 14">
              <a:extLst>
                <a:ext uri="{FF2B5EF4-FFF2-40B4-BE49-F238E27FC236}">
                  <a16:creationId xmlns:a16="http://schemas.microsoft.com/office/drawing/2014/main" id="{AF50DC6B-3336-4418-8AC1-EA2851B02019}"/>
                </a:ext>
              </a:extLst>
            </xdr:cNvPr>
            <xdr:cNvSpPr txBox="1"/>
          </xdr:nvSpPr>
          <xdr:spPr>
            <a:xfrm>
              <a:off x="9882119" y="18595283"/>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4</xdr:col>
      <xdr:colOff>155713</xdr:colOff>
      <xdr:row>39</xdr:row>
      <xdr:rowOff>106017</xdr:rowOff>
    </xdr:from>
    <xdr:ext cx="65" cy="172227"/>
    <xdr:sp macro="" textlink="">
      <xdr:nvSpPr>
        <xdr:cNvPr id="16" name="CuadroTexto 15">
          <a:extLst>
            <a:ext uri="{FF2B5EF4-FFF2-40B4-BE49-F238E27FC236}">
              <a16:creationId xmlns:a16="http://schemas.microsoft.com/office/drawing/2014/main" id="{00000000-0008-0000-0400-000010000000}"/>
            </a:ext>
          </a:extLst>
        </xdr:cNvPr>
        <xdr:cNvSpPr txBox="1"/>
      </xdr:nvSpPr>
      <xdr:spPr>
        <a:xfrm>
          <a:off x="4308613" y="1369501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17" name="CuadroTexto 16">
              <a:extLst>
                <a:ext uri="{FF2B5EF4-FFF2-40B4-BE49-F238E27FC236}">
                  <a16:creationId xmlns:a16="http://schemas.microsoft.com/office/drawing/2014/main" id="{00000000-0008-0000-0400-000011000000}"/>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7" name="CuadroTexto 16">
              <a:extLst>
                <a:ext uri="{FF2B5EF4-FFF2-40B4-BE49-F238E27FC236}">
                  <a16:creationId xmlns:a16="http://schemas.microsoft.com/office/drawing/2014/main" id="{CDEF87A4-FD2B-4C0F-9D00-FA8E4B864A26}"/>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18" name="CuadroTexto 17">
              <a:extLst>
                <a:ext uri="{FF2B5EF4-FFF2-40B4-BE49-F238E27FC236}">
                  <a16:creationId xmlns:a16="http://schemas.microsoft.com/office/drawing/2014/main" id="{00000000-0008-0000-0400-000012000000}"/>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18" name="CuadroTexto 17">
              <a:extLst>
                <a:ext uri="{FF2B5EF4-FFF2-40B4-BE49-F238E27FC236}">
                  <a16:creationId xmlns:a16="http://schemas.microsoft.com/office/drawing/2014/main" id="{CE93384B-7FE2-4081-957D-43049CA5597D}"/>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19" name="CuadroTexto 18">
              <a:extLst>
                <a:ext uri="{FF2B5EF4-FFF2-40B4-BE49-F238E27FC236}">
                  <a16:creationId xmlns:a16="http://schemas.microsoft.com/office/drawing/2014/main" id="{00000000-0008-0000-0400-000013000000}"/>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9" name="CuadroTexto 18">
              <a:extLst>
                <a:ext uri="{FF2B5EF4-FFF2-40B4-BE49-F238E27FC236}">
                  <a16:creationId xmlns:a16="http://schemas.microsoft.com/office/drawing/2014/main" id="{3C3C6AB2-C039-491F-B636-9FF9370C624D}"/>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0" name="CuadroTexto 19">
              <a:extLst>
                <a:ext uri="{FF2B5EF4-FFF2-40B4-BE49-F238E27FC236}">
                  <a16:creationId xmlns:a16="http://schemas.microsoft.com/office/drawing/2014/main" id="{00000000-0008-0000-0400-000014000000}"/>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0" name="CuadroTexto 19">
              <a:extLst>
                <a:ext uri="{FF2B5EF4-FFF2-40B4-BE49-F238E27FC236}">
                  <a16:creationId xmlns:a16="http://schemas.microsoft.com/office/drawing/2014/main" id="{28299E78-D03B-4983-B5D0-53D4BF3E8A82}"/>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1" name="CuadroTexto 20">
          <a:extLst>
            <a:ext uri="{FF2B5EF4-FFF2-40B4-BE49-F238E27FC236}">
              <a16:creationId xmlns:a16="http://schemas.microsoft.com/office/drawing/2014/main" id="{00000000-0008-0000-0400-000015000000}"/>
            </a:ext>
          </a:extLst>
        </xdr:cNvPr>
        <xdr:cNvSpPr txBox="1"/>
      </xdr:nvSpPr>
      <xdr:spPr>
        <a:xfrm>
          <a:off x="1376572" y="14521621"/>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3</xdr:col>
      <xdr:colOff>236456</xdr:colOff>
      <xdr:row>73</xdr:row>
      <xdr:rowOff>141002</xdr:rowOff>
    </xdr:from>
    <xdr:ext cx="730521" cy="219163"/>
    <mc:AlternateContent xmlns:mc="http://schemas.openxmlformats.org/markup-compatibility/2006" xmlns:a14="http://schemas.microsoft.com/office/drawing/2010/main">
      <mc:Choice Requires="a14">
        <xdr:sp macro="" textlink="">
          <xdr:nvSpPr>
            <xdr:cNvPr id="22" name="CuadroTexto 21">
              <a:extLst>
                <a:ext uri="{FF2B5EF4-FFF2-40B4-BE49-F238E27FC236}">
                  <a16:creationId xmlns:a16="http://schemas.microsoft.com/office/drawing/2014/main" id="{00000000-0008-0000-0400-000016000000}"/>
                </a:ext>
              </a:extLst>
            </xdr:cNvPr>
            <xdr:cNvSpPr txBox="1"/>
          </xdr:nvSpPr>
          <xdr:spPr>
            <a:xfrm>
              <a:off x="3201906" y="30062202"/>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m:t>
                  </m:r>
                  <m:sSub>
                    <m:sSubPr>
                      <m:ctrlPr>
                        <a:rPr lang="es-CO" sz="1400" b="1" i="1">
                          <a:latin typeface="Cambria Math" panose="02040503050406030204" pitchFamily="18" charset="0"/>
                          <a:ea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𝒎</m:t>
                      </m:r>
                    </m:e>
                    <m:sub>
                      <m:r>
                        <a:rPr lang="es-CO" sz="1400" b="1" i="1">
                          <a:latin typeface="Cambria Math" panose="02040503050406030204" pitchFamily="18" charset="0"/>
                          <a:ea typeface="Cambria Math" panose="02040503050406030204" pitchFamily="18" charset="0"/>
                        </a:rPr>
                        <m:t>𝒄</m:t>
                      </m:r>
                    </m:sub>
                  </m:sSub>
                </m:oMath>
              </a14:m>
              <a:r>
                <a:rPr lang="es-CO" sz="1400" b="1" i="1"/>
                <a:t> (mg</a:t>
              </a:r>
              <a:r>
                <a:rPr lang="es-CO" sz="1200" b="1" i="0"/>
                <a:t>)</a:t>
              </a:r>
            </a:p>
          </xdr:txBody>
        </xdr:sp>
      </mc:Choice>
      <mc:Fallback xmlns="">
        <xdr:sp macro="" textlink="">
          <xdr:nvSpPr>
            <xdr:cNvPr id="22" name="CuadroTexto 21">
              <a:extLst>
                <a:ext uri="{FF2B5EF4-FFF2-40B4-BE49-F238E27FC236}">
                  <a16:creationId xmlns:a16="http://schemas.microsoft.com/office/drawing/2014/main" id="{F1300491-4B26-4F57-A1E0-DD3E56E59FBE}"/>
                </a:ext>
              </a:extLst>
            </xdr:cNvPr>
            <xdr:cNvSpPr txBox="1"/>
          </xdr:nvSpPr>
          <xdr:spPr>
            <a:xfrm>
              <a:off x="3201906" y="30062202"/>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400" b="1" i="0">
                  <a:latin typeface="Cambria Math" panose="02040503050406030204" pitchFamily="18" charset="0"/>
                  <a:ea typeface="Cambria Math" panose="02040503050406030204" pitchFamily="18" charset="0"/>
                </a:rPr>
                <a:t>∆𝒎_𝒄</a:t>
              </a:r>
              <a:r>
                <a:rPr lang="es-CO" sz="1400" b="1" i="1"/>
                <a:t> (mg</a:t>
              </a:r>
              <a:r>
                <a:rPr lang="es-CO" sz="1200" b="1" i="0"/>
                <a:t>)</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23" name="CuadroTexto 22">
              <a:extLst>
                <a:ext uri="{FF2B5EF4-FFF2-40B4-BE49-F238E27FC236}">
                  <a16:creationId xmlns:a16="http://schemas.microsoft.com/office/drawing/2014/main" id="{00000000-0008-0000-0400-000017000000}"/>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23" name="CuadroTexto 22">
              <a:extLst>
                <a:ext uri="{FF2B5EF4-FFF2-40B4-BE49-F238E27FC236}">
                  <a16:creationId xmlns:a16="http://schemas.microsoft.com/office/drawing/2014/main" id="{62268918-8812-42A5-877F-6F3ECBFD3A76}"/>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24" name="CuadroTexto 23">
          <a:extLst>
            <a:ext uri="{FF2B5EF4-FFF2-40B4-BE49-F238E27FC236}">
              <a16:creationId xmlns:a16="http://schemas.microsoft.com/office/drawing/2014/main" id="{00000000-0008-0000-0400-000018000000}"/>
            </a:ext>
          </a:extLst>
        </xdr:cNvPr>
        <xdr:cNvSpPr txBox="1"/>
      </xdr:nvSpPr>
      <xdr:spPr>
        <a:xfrm>
          <a:off x="4308613" y="1369501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25" name="CuadroTexto 24">
              <a:extLst>
                <a:ext uri="{FF2B5EF4-FFF2-40B4-BE49-F238E27FC236}">
                  <a16:creationId xmlns:a16="http://schemas.microsoft.com/office/drawing/2014/main" id="{00000000-0008-0000-0400-000019000000}"/>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5" name="CuadroTexto 24">
              <a:extLst>
                <a:ext uri="{FF2B5EF4-FFF2-40B4-BE49-F238E27FC236}">
                  <a16:creationId xmlns:a16="http://schemas.microsoft.com/office/drawing/2014/main" id="{B9D398FD-F197-4D13-9CCC-FCB03F3E6004}"/>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26" name="CuadroTexto 25">
              <a:extLst>
                <a:ext uri="{FF2B5EF4-FFF2-40B4-BE49-F238E27FC236}">
                  <a16:creationId xmlns:a16="http://schemas.microsoft.com/office/drawing/2014/main" id="{00000000-0008-0000-0400-00001A000000}"/>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6" name="CuadroTexto 25">
              <a:extLst>
                <a:ext uri="{FF2B5EF4-FFF2-40B4-BE49-F238E27FC236}">
                  <a16:creationId xmlns:a16="http://schemas.microsoft.com/office/drawing/2014/main" id="{A8C68BA1-4EBD-40FE-856A-B9BDB5C2E36F}"/>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27" name="CuadroTexto 26">
              <a:extLst>
                <a:ext uri="{FF2B5EF4-FFF2-40B4-BE49-F238E27FC236}">
                  <a16:creationId xmlns:a16="http://schemas.microsoft.com/office/drawing/2014/main" id="{00000000-0008-0000-0400-00001B000000}"/>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7" name="CuadroTexto 26">
              <a:extLst>
                <a:ext uri="{FF2B5EF4-FFF2-40B4-BE49-F238E27FC236}">
                  <a16:creationId xmlns:a16="http://schemas.microsoft.com/office/drawing/2014/main" id="{73B54C0C-F985-41F2-8878-F64C126226CA}"/>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8" name="CuadroTexto 27">
              <a:extLst>
                <a:ext uri="{FF2B5EF4-FFF2-40B4-BE49-F238E27FC236}">
                  <a16:creationId xmlns:a16="http://schemas.microsoft.com/office/drawing/2014/main" id="{00000000-0008-0000-0400-00001C000000}"/>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8" name="CuadroTexto 27">
              <a:extLst>
                <a:ext uri="{FF2B5EF4-FFF2-40B4-BE49-F238E27FC236}">
                  <a16:creationId xmlns:a16="http://schemas.microsoft.com/office/drawing/2014/main" id="{212AF373-5A78-49A4-8262-E04BA3C86185}"/>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9" name="CuadroTexto 28">
          <a:extLst>
            <a:ext uri="{FF2B5EF4-FFF2-40B4-BE49-F238E27FC236}">
              <a16:creationId xmlns:a16="http://schemas.microsoft.com/office/drawing/2014/main" id="{00000000-0008-0000-0400-00001D000000}"/>
            </a:ext>
          </a:extLst>
        </xdr:cNvPr>
        <xdr:cNvSpPr txBox="1"/>
      </xdr:nvSpPr>
      <xdr:spPr>
        <a:xfrm>
          <a:off x="1376572" y="14521621"/>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30" name="CuadroTexto 29">
              <a:extLst>
                <a:ext uri="{FF2B5EF4-FFF2-40B4-BE49-F238E27FC236}">
                  <a16:creationId xmlns:a16="http://schemas.microsoft.com/office/drawing/2014/main" id="{00000000-0008-0000-0400-00001E000000}"/>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30" name="CuadroTexto 29">
              <a:extLst>
                <a:ext uri="{FF2B5EF4-FFF2-40B4-BE49-F238E27FC236}">
                  <a16:creationId xmlns:a16="http://schemas.microsoft.com/office/drawing/2014/main" id="{FA81ED64-7A18-4E92-8472-6E499B55A609}"/>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31" name="CuadroTexto 30">
          <a:extLst>
            <a:ext uri="{FF2B5EF4-FFF2-40B4-BE49-F238E27FC236}">
              <a16:creationId xmlns:a16="http://schemas.microsoft.com/office/drawing/2014/main" id="{00000000-0008-0000-0400-00001F000000}"/>
            </a:ext>
          </a:extLst>
        </xdr:cNvPr>
        <xdr:cNvSpPr txBox="1"/>
      </xdr:nvSpPr>
      <xdr:spPr>
        <a:xfrm>
          <a:off x="4308613" y="1369501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32" name="CuadroTexto 31">
              <a:extLst>
                <a:ext uri="{FF2B5EF4-FFF2-40B4-BE49-F238E27FC236}">
                  <a16:creationId xmlns:a16="http://schemas.microsoft.com/office/drawing/2014/main" id="{00000000-0008-0000-0400-000020000000}"/>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2" name="CuadroTexto 31">
              <a:extLst>
                <a:ext uri="{FF2B5EF4-FFF2-40B4-BE49-F238E27FC236}">
                  <a16:creationId xmlns:a16="http://schemas.microsoft.com/office/drawing/2014/main" id="{E769B55B-C362-4C81-BF95-769072FC7116}"/>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33" name="CuadroTexto 32">
              <a:extLst>
                <a:ext uri="{FF2B5EF4-FFF2-40B4-BE49-F238E27FC236}">
                  <a16:creationId xmlns:a16="http://schemas.microsoft.com/office/drawing/2014/main" id="{00000000-0008-0000-0400-000021000000}"/>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3" name="CuadroTexto 32">
              <a:extLst>
                <a:ext uri="{FF2B5EF4-FFF2-40B4-BE49-F238E27FC236}">
                  <a16:creationId xmlns:a16="http://schemas.microsoft.com/office/drawing/2014/main" id="{581B09B2-4584-418C-A8F3-A63B18EF6ABD}"/>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34" name="CuadroTexto 33">
              <a:extLst>
                <a:ext uri="{FF2B5EF4-FFF2-40B4-BE49-F238E27FC236}">
                  <a16:creationId xmlns:a16="http://schemas.microsoft.com/office/drawing/2014/main" id="{00000000-0008-0000-0400-000022000000}"/>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4" name="CuadroTexto 33">
              <a:extLst>
                <a:ext uri="{FF2B5EF4-FFF2-40B4-BE49-F238E27FC236}">
                  <a16:creationId xmlns:a16="http://schemas.microsoft.com/office/drawing/2014/main" id="{2AB0A243-C8E6-4DB6-AE78-F5E36A35E3ED}"/>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35" name="CuadroTexto 34">
              <a:extLst>
                <a:ext uri="{FF2B5EF4-FFF2-40B4-BE49-F238E27FC236}">
                  <a16:creationId xmlns:a16="http://schemas.microsoft.com/office/drawing/2014/main" id="{00000000-0008-0000-0400-000023000000}"/>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5" name="CuadroTexto 34">
              <a:extLst>
                <a:ext uri="{FF2B5EF4-FFF2-40B4-BE49-F238E27FC236}">
                  <a16:creationId xmlns:a16="http://schemas.microsoft.com/office/drawing/2014/main" id="{E0EDA39D-90A4-419D-A6C4-5DCE8E5BE040}"/>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36" name="CuadroTexto 35">
          <a:extLst>
            <a:ext uri="{FF2B5EF4-FFF2-40B4-BE49-F238E27FC236}">
              <a16:creationId xmlns:a16="http://schemas.microsoft.com/office/drawing/2014/main" id="{00000000-0008-0000-0400-000024000000}"/>
            </a:ext>
          </a:extLst>
        </xdr:cNvPr>
        <xdr:cNvSpPr txBox="1"/>
      </xdr:nvSpPr>
      <xdr:spPr>
        <a:xfrm>
          <a:off x="1376572" y="14521621"/>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11</xdr:col>
      <xdr:colOff>628650</xdr:colOff>
      <xdr:row>61</xdr:row>
      <xdr:rowOff>0</xdr:rowOff>
    </xdr:from>
    <xdr:ext cx="65" cy="172227"/>
    <xdr:sp macro="" textlink="">
      <xdr:nvSpPr>
        <xdr:cNvPr id="37" name="CuadroTexto 36">
          <a:extLst>
            <a:ext uri="{FF2B5EF4-FFF2-40B4-BE49-F238E27FC236}">
              <a16:creationId xmlns:a16="http://schemas.microsoft.com/office/drawing/2014/main" id="{00000000-0008-0000-0400-000025000000}"/>
            </a:ext>
          </a:extLst>
        </xdr:cNvPr>
        <xdr:cNvSpPr txBox="1"/>
      </xdr:nvSpPr>
      <xdr:spPr>
        <a:xfrm>
          <a:off x="12693650" y="22707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5</xdr:col>
      <xdr:colOff>539750</xdr:colOff>
      <xdr:row>73</xdr:row>
      <xdr:rowOff>158749</xdr:rowOff>
    </xdr:from>
    <xdr:ext cx="984250" cy="210507"/>
    <mc:AlternateContent xmlns:mc="http://schemas.openxmlformats.org/markup-compatibility/2006" xmlns:a14="http://schemas.microsoft.com/office/drawing/2010/main">
      <mc:Choice Requires="a14">
        <xdr:sp macro="" textlink="">
          <xdr:nvSpPr>
            <xdr:cNvPr id="38" name="CuadroTexto 37">
              <a:extLst>
                <a:ext uri="{FF2B5EF4-FFF2-40B4-BE49-F238E27FC236}">
                  <a16:creationId xmlns:a16="http://schemas.microsoft.com/office/drawing/2014/main" id="{00000000-0008-0000-0400-000026000000}"/>
                </a:ext>
              </a:extLst>
            </xdr:cNvPr>
            <xdr:cNvSpPr txBox="1"/>
          </xdr:nvSpPr>
          <xdr:spPr>
            <a:xfrm>
              <a:off x="5778500" y="30079949"/>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𝒆</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38" name="CuadroTexto 37">
              <a:extLst>
                <a:ext uri="{FF2B5EF4-FFF2-40B4-BE49-F238E27FC236}">
                  <a16:creationId xmlns:a16="http://schemas.microsoft.com/office/drawing/2014/main" id="{E326412B-3BB6-4DA4-BC18-E4AE1E4D37A6}"/>
                </a:ext>
              </a:extLst>
            </xdr:cNvPr>
            <xdr:cNvSpPr txBox="1"/>
          </xdr:nvSpPr>
          <xdr:spPr>
            <a:xfrm>
              <a:off x="5778500" y="30079949"/>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𝒆 𝒄𝒕</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4</xdr:col>
      <xdr:colOff>52917</xdr:colOff>
      <xdr:row>73</xdr:row>
      <xdr:rowOff>148167</xdr:rowOff>
    </xdr:from>
    <xdr:ext cx="984250" cy="210507"/>
    <mc:AlternateContent xmlns:mc="http://schemas.openxmlformats.org/markup-compatibility/2006" xmlns:a14="http://schemas.microsoft.com/office/drawing/2010/main">
      <mc:Choice Requires="a14">
        <xdr:sp macro="" textlink="">
          <xdr:nvSpPr>
            <xdr:cNvPr id="39" name="CuadroTexto 38">
              <a:extLst>
                <a:ext uri="{FF2B5EF4-FFF2-40B4-BE49-F238E27FC236}">
                  <a16:creationId xmlns:a16="http://schemas.microsoft.com/office/drawing/2014/main" id="{00000000-0008-0000-0400-000027000000}"/>
                </a:ext>
              </a:extLst>
            </xdr:cNvPr>
            <xdr:cNvSpPr txBox="1"/>
          </xdr:nvSpPr>
          <xdr:spPr>
            <a:xfrm>
              <a:off x="4205817" y="30069367"/>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39" name="CuadroTexto 38">
              <a:extLst>
                <a:ext uri="{FF2B5EF4-FFF2-40B4-BE49-F238E27FC236}">
                  <a16:creationId xmlns:a16="http://schemas.microsoft.com/office/drawing/2014/main" id="{5336C162-E0FE-461A-B061-FCFE0316F741}"/>
                </a:ext>
              </a:extLst>
            </xdr:cNvPr>
            <xdr:cNvSpPr txBox="1"/>
          </xdr:nvSpPr>
          <xdr:spPr>
            <a:xfrm>
              <a:off x="4205817" y="30069367"/>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𝒄𝒕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0</xdr:col>
      <xdr:colOff>976311</xdr:colOff>
      <xdr:row>73</xdr:row>
      <xdr:rowOff>95250</xdr:rowOff>
    </xdr:from>
    <xdr:ext cx="976314" cy="210507"/>
    <mc:AlternateContent xmlns:mc="http://schemas.openxmlformats.org/markup-compatibility/2006" xmlns:a14="http://schemas.microsoft.com/office/drawing/2010/main">
      <mc:Choice Requires="a14">
        <xdr:sp macro="" textlink="">
          <xdr:nvSpPr>
            <xdr:cNvPr id="40" name="CuadroTexto 39">
              <a:extLst>
                <a:ext uri="{FF2B5EF4-FFF2-40B4-BE49-F238E27FC236}">
                  <a16:creationId xmlns:a16="http://schemas.microsoft.com/office/drawing/2014/main" id="{00000000-0008-0000-0400-000028000000}"/>
                </a:ext>
              </a:extLst>
            </xdr:cNvPr>
            <xdr:cNvSpPr txBox="1"/>
          </xdr:nvSpPr>
          <xdr:spPr>
            <a:xfrm>
              <a:off x="976311" y="29908500"/>
              <a:ext cx="976314"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𝑵𝒓</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0" name="CuadroTexto 39">
              <a:extLst>
                <a:ext uri="{FF2B5EF4-FFF2-40B4-BE49-F238E27FC236}">
                  <a16:creationId xmlns:a16="http://schemas.microsoft.com/office/drawing/2014/main" id="{2626CADD-8A7E-41EB-A62B-20DE4F6BFB07}"/>
                </a:ext>
              </a:extLst>
            </xdr:cNvPr>
            <xdr:cNvSpPr txBox="1"/>
          </xdr:nvSpPr>
          <xdr:spPr>
            <a:xfrm>
              <a:off x="976311" y="29908500"/>
              <a:ext cx="976314"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𝑵𝒓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8</xdr:col>
      <xdr:colOff>624417</xdr:colOff>
      <xdr:row>73</xdr:row>
      <xdr:rowOff>285751</xdr:rowOff>
    </xdr:from>
    <xdr:ext cx="1524000" cy="210507"/>
    <mc:AlternateContent xmlns:mc="http://schemas.openxmlformats.org/markup-compatibility/2006" xmlns:a14="http://schemas.microsoft.com/office/drawing/2010/main">
      <mc:Choice Requires="a14">
        <xdr:sp macro="" textlink="">
          <xdr:nvSpPr>
            <xdr:cNvPr id="41" name="CuadroTexto 40">
              <a:extLst>
                <a:ext uri="{FF2B5EF4-FFF2-40B4-BE49-F238E27FC236}">
                  <a16:creationId xmlns:a16="http://schemas.microsoft.com/office/drawing/2014/main" id="{00000000-0008-0000-0400-000029000000}"/>
                </a:ext>
              </a:extLst>
            </xdr:cNvPr>
            <xdr:cNvSpPr txBox="1"/>
          </xdr:nvSpPr>
          <xdr:spPr>
            <a:xfrm>
              <a:off x="9965267" y="30206951"/>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𝑼</m:t>
                  </m:r>
                  <m:r>
                    <a:rPr lang="es-CO" sz="1400" b="1" i="1">
                      <a:latin typeface="Cambria Math" panose="02040503050406030204" pitchFamily="18" charset="0"/>
                      <a:ea typeface="Cambria Math" panose="02040503050406030204" pitchFamily="18" charset="0"/>
                    </a:rPr>
                    <m:t> </m:t>
                  </m:r>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 </m:t>
                  </m:r>
                  <m:r>
                    <a:rPr lang="es-CO" sz="1400" b="1" i="1">
                      <a:latin typeface="Cambria Math" panose="02040503050406030204" pitchFamily="18" charset="0"/>
                      <a:ea typeface="Cambria Math" panose="02040503050406030204" pitchFamily="18" charset="0"/>
                    </a:rPr>
                    <m:t>𝒌</m:t>
                  </m:r>
                  <m:r>
                    <a:rPr lang="es-CO" sz="1400" b="1" i="1">
                      <a:latin typeface="Cambria Math" panose="02040503050406030204" pitchFamily="18" charset="0"/>
                      <a:ea typeface="Cambria Math" panose="02040503050406030204" pitchFamily="18" charset="0"/>
                    </a:rPr>
                    <m:t>=</m:t>
                  </m:r>
                  <m:r>
                    <a:rPr lang="es-CO" sz="1400" b="1" i="1">
                      <a:latin typeface="Cambria Math" panose="02040503050406030204" pitchFamily="18" charset="0"/>
                      <a:ea typeface="Cambria Math" panose="02040503050406030204" pitchFamily="18" charset="0"/>
                    </a:rPr>
                    <m:t>𝟐</m:t>
                  </m:r>
                </m:oMath>
              </a14:m>
              <a:r>
                <a:rPr lang="es-CO" sz="1400" b="1" i="1">
                  <a:latin typeface="Arial" panose="020B0604020202020204" pitchFamily="34" charset="0"/>
                  <a:cs typeface="Arial" panose="020B0604020202020204" pitchFamily="34" charset="0"/>
                </a:rPr>
                <a:t>)</a:t>
              </a:r>
            </a:p>
          </xdr:txBody>
        </xdr:sp>
      </mc:Choice>
      <mc:Fallback xmlns="">
        <xdr:sp macro="" textlink="">
          <xdr:nvSpPr>
            <xdr:cNvPr id="41" name="CuadroTexto 40">
              <a:extLst>
                <a:ext uri="{FF2B5EF4-FFF2-40B4-BE49-F238E27FC236}">
                  <a16:creationId xmlns:a16="http://schemas.microsoft.com/office/drawing/2014/main" id="{BEEB8AD5-C096-4E50-9A0E-8BA62E152248}"/>
                </a:ext>
              </a:extLst>
            </xdr:cNvPr>
            <xdr:cNvSpPr txBox="1"/>
          </xdr:nvSpPr>
          <xdr:spPr>
            <a:xfrm>
              <a:off x="9965267" y="30206951"/>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0">
                  <a:latin typeface="Cambria Math" panose="02040503050406030204" pitchFamily="18" charset="0"/>
                  <a:ea typeface="Cambria Math" panose="02040503050406030204" pitchFamily="18" charset="0"/>
                </a:rPr>
                <a:t>𝑼 ( 𝒎 𝒄𝒕 )  ( 𝒌=𝟐</a:t>
              </a:r>
              <a:r>
                <a:rPr lang="es-CO" sz="1400" b="1" i="1">
                  <a:latin typeface="Arial" panose="020B0604020202020204" pitchFamily="34" charset="0"/>
                  <a:cs typeface="Arial" panose="020B0604020202020204" pitchFamily="34" charset="0"/>
                </a:rPr>
                <a:t>)</a:t>
              </a:r>
            </a:p>
          </xdr:txBody>
        </xdr:sp>
      </mc:Fallback>
    </mc:AlternateContent>
    <xdr:clientData/>
  </xdr:oneCellAnchor>
  <xdr:oneCellAnchor>
    <xdr:from>
      <xdr:col>9</xdr:col>
      <xdr:colOff>603252</xdr:colOff>
      <xdr:row>74</xdr:row>
      <xdr:rowOff>84667</xdr:rowOff>
    </xdr:from>
    <xdr:ext cx="465666" cy="219163"/>
    <xdr:sp macro="" textlink="">
      <xdr:nvSpPr>
        <xdr:cNvPr id="42" name="CuadroTexto 41">
          <a:extLst>
            <a:ext uri="{FF2B5EF4-FFF2-40B4-BE49-F238E27FC236}">
              <a16:creationId xmlns:a16="http://schemas.microsoft.com/office/drawing/2014/main" id="{00000000-0008-0000-0400-00002A000000}"/>
            </a:ext>
          </a:extLst>
        </xdr:cNvPr>
        <xdr:cNvSpPr txBox="1"/>
      </xdr:nvSpPr>
      <xdr:spPr>
        <a:xfrm>
          <a:off x="10909302" y="30520217"/>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9</xdr:col>
      <xdr:colOff>571499</xdr:colOff>
      <xdr:row>75</xdr:row>
      <xdr:rowOff>116416</xdr:rowOff>
    </xdr:from>
    <xdr:ext cx="359835" cy="219163"/>
    <xdr:sp macro="" textlink="">
      <xdr:nvSpPr>
        <xdr:cNvPr id="43" name="CuadroTexto 42">
          <a:extLst>
            <a:ext uri="{FF2B5EF4-FFF2-40B4-BE49-F238E27FC236}">
              <a16:creationId xmlns:a16="http://schemas.microsoft.com/office/drawing/2014/main" id="{00000000-0008-0000-0400-00002B000000}"/>
            </a:ext>
          </a:extLst>
        </xdr:cNvPr>
        <xdr:cNvSpPr txBox="1"/>
      </xdr:nvSpPr>
      <xdr:spPr>
        <a:xfrm>
          <a:off x="10877549" y="30996466"/>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6</xdr:col>
      <xdr:colOff>275167</xdr:colOff>
      <xdr:row>74</xdr:row>
      <xdr:rowOff>148166</xdr:rowOff>
    </xdr:from>
    <xdr:ext cx="465666" cy="219163"/>
    <xdr:sp macro="" textlink="">
      <xdr:nvSpPr>
        <xdr:cNvPr id="44" name="CuadroTexto 43">
          <a:extLst>
            <a:ext uri="{FF2B5EF4-FFF2-40B4-BE49-F238E27FC236}">
              <a16:creationId xmlns:a16="http://schemas.microsoft.com/office/drawing/2014/main" id="{00000000-0008-0000-0400-00002C000000}"/>
            </a:ext>
          </a:extLst>
        </xdr:cNvPr>
        <xdr:cNvSpPr txBox="1"/>
      </xdr:nvSpPr>
      <xdr:spPr>
        <a:xfrm>
          <a:off x="6809317" y="30583716"/>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6</xdr:col>
      <xdr:colOff>328083</xdr:colOff>
      <xdr:row>75</xdr:row>
      <xdr:rowOff>84667</xdr:rowOff>
    </xdr:from>
    <xdr:ext cx="359835" cy="219163"/>
    <xdr:sp macro="" textlink="">
      <xdr:nvSpPr>
        <xdr:cNvPr id="45" name="CuadroTexto 44">
          <a:extLst>
            <a:ext uri="{FF2B5EF4-FFF2-40B4-BE49-F238E27FC236}">
              <a16:creationId xmlns:a16="http://schemas.microsoft.com/office/drawing/2014/main" id="{00000000-0008-0000-0400-00002D000000}"/>
            </a:ext>
          </a:extLst>
        </xdr:cNvPr>
        <xdr:cNvSpPr txBox="1"/>
      </xdr:nvSpPr>
      <xdr:spPr>
        <a:xfrm>
          <a:off x="6862233" y="30964717"/>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3</xdr:col>
      <xdr:colOff>560916</xdr:colOff>
      <xdr:row>72</xdr:row>
      <xdr:rowOff>74084</xdr:rowOff>
    </xdr:from>
    <xdr:ext cx="1524000" cy="210507"/>
    <mc:AlternateContent xmlns:mc="http://schemas.openxmlformats.org/markup-compatibility/2006" xmlns:a14="http://schemas.microsoft.com/office/drawing/2010/main">
      <mc:Choice Requires="a14">
        <xdr:sp macro="" textlink="">
          <xdr:nvSpPr>
            <xdr:cNvPr id="46" name="CuadroTexto 45">
              <a:extLst>
                <a:ext uri="{FF2B5EF4-FFF2-40B4-BE49-F238E27FC236}">
                  <a16:creationId xmlns:a16="http://schemas.microsoft.com/office/drawing/2014/main" id="{00000000-0008-0000-0400-00002E000000}"/>
                </a:ext>
              </a:extLst>
            </xdr:cNvPr>
            <xdr:cNvSpPr txBox="1"/>
          </xdr:nvSpPr>
          <xdr:spPr>
            <a:xfrm>
              <a:off x="3526366" y="29550784"/>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m:t>
                    </m:r>
                  </m:oMath>
                </m:oMathPara>
              </a14:m>
              <a:endParaRPr lang="es-CO" sz="1400" b="1" i="1">
                <a:latin typeface="Arial" panose="020B0604020202020204" pitchFamily="34" charset="0"/>
                <a:cs typeface="Arial" panose="020B0604020202020204" pitchFamily="34" charset="0"/>
              </a:endParaRPr>
            </a:p>
          </xdr:txBody>
        </xdr:sp>
      </mc:Choice>
      <mc:Fallback xmlns="">
        <xdr:sp macro="" textlink="">
          <xdr:nvSpPr>
            <xdr:cNvPr id="46" name="CuadroTexto 45">
              <a:extLst>
                <a:ext uri="{FF2B5EF4-FFF2-40B4-BE49-F238E27FC236}">
                  <a16:creationId xmlns:a16="http://schemas.microsoft.com/office/drawing/2014/main" id="{EA29F3C3-4941-4FDD-A832-D35C69E5E27A}"/>
                </a:ext>
              </a:extLst>
            </xdr:cNvPr>
            <xdr:cNvSpPr txBox="1"/>
          </xdr:nvSpPr>
          <xdr:spPr>
            <a:xfrm>
              <a:off x="3526366" y="29550784"/>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 𝒎 𝒄𝒕 )   </a:t>
              </a:r>
              <a:endParaRPr lang="es-CO" sz="1400" b="1" i="1">
                <a:latin typeface="Arial" panose="020B0604020202020204" pitchFamily="34" charset="0"/>
                <a:cs typeface="Arial" panose="020B0604020202020204" pitchFamily="34" charset="0"/>
              </a:endParaRPr>
            </a:p>
          </xdr:txBody>
        </xdr:sp>
      </mc:Fallback>
    </mc:AlternateContent>
    <xdr:clientData/>
  </xdr:oneCellAnchor>
  <xdr:oneCellAnchor>
    <xdr:from>
      <xdr:col>7</xdr:col>
      <xdr:colOff>411956</xdr:colOff>
      <xdr:row>71</xdr:row>
      <xdr:rowOff>406003</xdr:rowOff>
    </xdr:from>
    <xdr:ext cx="65" cy="172227"/>
    <xdr:sp macro="" textlink="">
      <xdr:nvSpPr>
        <xdr:cNvPr id="47" name="CuadroTexto 46">
          <a:extLst>
            <a:ext uri="{FF2B5EF4-FFF2-40B4-BE49-F238E27FC236}">
              <a16:creationId xmlns:a16="http://schemas.microsoft.com/office/drawing/2014/main" id="{00000000-0008-0000-0400-00002F000000}"/>
            </a:ext>
          </a:extLst>
        </xdr:cNvPr>
        <xdr:cNvSpPr txBox="1"/>
      </xdr:nvSpPr>
      <xdr:spPr>
        <a:xfrm>
          <a:off x="8044656" y="29457253"/>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190499</xdr:colOff>
      <xdr:row>67</xdr:row>
      <xdr:rowOff>293688</xdr:rowOff>
    </xdr:from>
    <xdr:ext cx="420688" cy="333375"/>
    <mc:AlternateContent xmlns:mc="http://schemas.openxmlformats.org/markup-compatibility/2006" xmlns:a14="http://schemas.microsoft.com/office/drawing/2010/main">
      <mc:Choice Requires="a14">
        <xdr:sp macro="" textlink="">
          <xdr:nvSpPr>
            <xdr:cNvPr id="49" name="CuadroTexto 48">
              <a:extLst>
                <a:ext uri="{FF2B5EF4-FFF2-40B4-BE49-F238E27FC236}">
                  <a16:creationId xmlns:a16="http://schemas.microsoft.com/office/drawing/2014/main" id="{00000000-0008-0000-0400-000031000000}"/>
                </a:ext>
              </a:extLst>
            </xdr:cNvPr>
            <xdr:cNvSpPr txBox="1"/>
          </xdr:nvSpPr>
          <xdr:spPr>
            <a:xfrm>
              <a:off x="1222374" y="27312938"/>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49" name="CuadroTexto 48">
              <a:extLst>
                <a:ext uri="{FF2B5EF4-FFF2-40B4-BE49-F238E27FC236}">
                  <a16:creationId xmlns:a16="http://schemas.microsoft.com/office/drawing/2014/main" id="{47C08128-615C-4260-A8A7-3E6E47CE4EA4}"/>
                </a:ext>
              </a:extLst>
            </xdr:cNvPr>
            <xdr:cNvSpPr txBox="1"/>
          </xdr:nvSpPr>
          <xdr:spPr>
            <a:xfrm>
              <a:off x="1222374" y="27312938"/>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50" name="CuadroTexto 49">
              <a:extLst>
                <a:ext uri="{FF2B5EF4-FFF2-40B4-BE49-F238E27FC236}">
                  <a16:creationId xmlns:a16="http://schemas.microsoft.com/office/drawing/2014/main" id="{00000000-0008-0000-0400-000032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50" name="CuadroTexto 49">
              <a:extLst>
                <a:ext uri="{FF2B5EF4-FFF2-40B4-BE49-F238E27FC236}">
                  <a16:creationId xmlns:a16="http://schemas.microsoft.com/office/drawing/2014/main" id="{7CDEE71F-7729-490E-8D6B-1DCFEBE19A1D}"/>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twoCellAnchor>
    <xdr:from>
      <xdr:col>7</xdr:col>
      <xdr:colOff>857250</xdr:colOff>
      <xdr:row>62</xdr:row>
      <xdr:rowOff>277813</xdr:rowOff>
    </xdr:from>
    <xdr:to>
      <xdr:col>11</xdr:col>
      <xdr:colOff>793749</xdr:colOff>
      <xdr:row>64</xdr:row>
      <xdr:rowOff>547688</xdr:rowOff>
    </xdr:to>
    <xdr:graphicFrame macro="">
      <xdr:nvGraphicFramePr>
        <xdr:cNvPr id="52" name="Gráfico 51">
          <a:extLst>
            <a:ext uri="{FF2B5EF4-FFF2-40B4-BE49-F238E27FC236}">
              <a16:creationId xmlns:a16="http://schemas.microsoft.com/office/drawing/2014/main" id="{00000000-0008-0000-0400-00003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190500</xdr:colOff>
      <xdr:row>0</xdr:row>
      <xdr:rowOff>95249</xdr:rowOff>
    </xdr:from>
    <xdr:to>
      <xdr:col>1</xdr:col>
      <xdr:colOff>531037</xdr:colOff>
      <xdr:row>0</xdr:row>
      <xdr:rowOff>710998</xdr:rowOff>
    </xdr:to>
    <xdr:pic>
      <xdr:nvPicPr>
        <xdr:cNvPr id="48" name="47 Imagen">
          <a:extLst>
            <a:ext uri="{FF2B5EF4-FFF2-40B4-BE49-F238E27FC236}">
              <a16:creationId xmlns:a16="http://schemas.microsoft.com/office/drawing/2014/main" id="{00000000-0008-0000-0400-000030000000}"/>
            </a:ext>
          </a:extLst>
        </xdr:cNvPr>
        <xdr:cNvPicPr>
          <a:picLocks noChangeAspect="1"/>
        </xdr:cNvPicPr>
      </xdr:nvPicPr>
      <xdr:blipFill>
        <a:blip xmlns:r="http://schemas.openxmlformats.org/officeDocument/2006/relationships" r:embed="rId2"/>
        <a:stretch>
          <a:fillRect/>
        </a:stretch>
      </xdr:blipFill>
      <xdr:spPr>
        <a:xfrm>
          <a:off x="190500" y="95249"/>
          <a:ext cx="1316850" cy="61574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oneCellAnchor>
    <xdr:from>
      <xdr:col>1</xdr:col>
      <xdr:colOff>285935</xdr:colOff>
      <xdr:row>42</xdr:row>
      <xdr:rowOff>169517</xdr:rowOff>
    </xdr:from>
    <xdr:ext cx="177356" cy="176202"/>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00000000-0008-0000-0500-000003000000}"/>
                </a:ext>
              </a:extLst>
            </xdr:cNvPr>
            <xdr:cNvSpPr txBox="1"/>
          </xdr:nvSpPr>
          <xdr:spPr>
            <a:xfrm>
              <a:off x="1314635" y="14958667"/>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bg1"/>
                            </a:solidFill>
                            <a:latin typeface="Cambria Math" panose="02040503050406030204" pitchFamily="18" charset="0"/>
                          </a:rPr>
                        </m:ctrlPr>
                      </m:accPr>
                      <m:e>
                        <m:r>
                          <a:rPr lang="es-CO" sz="1100" b="1" i="1">
                            <a:solidFill>
                              <a:schemeClr val="bg1"/>
                            </a:solidFill>
                            <a:latin typeface="Cambria Math" panose="02040503050406030204" pitchFamily="18" charset="0"/>
                            <a:ea typeface="Cambria Math" panose="02040503050406030204" pitchFamily="18" charset="0"/>
                          </a:rPr>
                          <m:t>∆</m:t>
                        </m:r>
                        <m:r>
                          <a:rPr lang="es-CO" sz="1100" b="1" i="1">
                            <a:solidFill>
                              <a:schemeClr val="bg1"/>
                            </a:solidFill>
                            <a:latin typeface="Cambria Math" panose="02040503050406030204" pitchFamily="18" charset="0"/>
                            <a:ea typeface="Cambria Math" panose="02040503050406030204" pitchFamily="18" charset="0"/>
                          </a:rPr>
                          <m:t>𝑰</m:t>
                        </m:r>
                      </m:e>
                    </m:acc>
                  </m:oMath>
                </m:oMathPara>
              </a14:m>
              <a:endParaRPr lang="es-CO" sz="1100" b="1">
                <a:solidFill>
                  <a:schemeClr val="bg1"/>
                </a:solidFill>
              </a:endParaRPr>
            </a:p>
          </xdr:txBody>
        </xdr:sp>
      </mc:Choice>
      <mc:Fallback xmlns="">
        <xdr:sp macro="" textlink="">
          <xdr:nvSpPr>
            <xdr:cNvPr id="3" name="CuadroTexto 2">
              <a:extLst>
                <a:ext uri="{FF2B5EF4-FFF2-40B4-BE49-F238E27FC236}">
                  <a16:creationId xmlns:a16="http://schemas.microsoft.com/office/drawing/2014/main" id="{B12D1635-136F-4FF3-A751-6B43D48B003C}"/>
                </a:ext>
              </a:extLst>
            </xdr:cNvPr>
            <xdr:cNvSpPr txBox="1"/>
          </xdr:nvSpPr>
          <xdr:spPr>
            <a:xfrm>
              <a:off x="1314635" y="14958667"/>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bg1"/>
                  </a:solidFill>
                  <a:latin typeface="Cambria Math" panose="02040503050406030204" pitchFamily="18" charset="0"/>
                </a:rPr>
                <a:t>(</a:t>
              </a:r>
              <a:r>
                <a:rPr lang="es-CO" sz="1100" b="1" i="0">
                  <a:solidFill>
                    <a:schemeClr val="bg1"/>
                  </a:solidFill>
                  <a:latin typeface="Cambria Math" panose="02040503050406030204" pitchFamily="18" charset="0"/>
                  <a:ea typeface="Cambria Math" panose="02040503050406030204" pitchFamily="18" charset="0"/>
                </a:rPr>
                <a:t>∆𝑰) ̅</a:t>
              </a:r>
              <a:endParaRPr lang="es-CO" sz="1100" b="1">
                <a:solidFill>
                  <a:schemeClr val="bg1"/>
                </a:solidFill>
              </a:endParaRPr>
            </a:p>
          </xdr:txBody>
        </xdr:sp>
      </mc:Fallback>
    </mc:AlternateContent>
    <xdr:clientData/>
  </xdr:oneCellAnchor>
  <xdr:oneCellAnchor>
    <xdr:from>
      <xdr:col>1</xdr:col>
      <xdr:colOff>136732</xdr:colOff>
      <xdr:row>58</xdr:row>
      <xdr:rowOff>253032</xdr:rowOff>
    </xdr:from>
    <xdr:ext cx="599716" cy="172227"/>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id="{00000000-0008-0000-0500-000004000000}"/>
                </a:ext>
              </a:extLst>
            </xdr:cNvPr>
            <xdr:cNvSpPr txBox="1"/>
          </xdr:nvSpPr>
          <xdr:spPr>
            <a:xfrm>
              <a:off x="1165432" y="20750832"/>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𝒘</m:t>
                        </m:r>
                      </m:sub>
                    </m:sSub>
                    <m:r>
                      <a:rPr lang="es-CO" sz="1100" b="1" i="1">
                        <a:latin typeface="Cambria Math" panose="02040503050406030204" pitchFamily="18" charset="0"/>
                      </a:rPr>
                      <m:t>(</m:t>
                    </m:r>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4" name="CuadroTexto 3">
              <a:extLst>
                <a:ext uri="{FF2B5EF4-FFF2-40B4-BE49-F238E27FC236}">
                  <a16:creationId xmlns:a16="http://schemas.microsoft.com/office/drawing/2014/main" id="{1479BAF6-9947-4C44-98E6-823CCD30E2F6}"/>
                </a:ext>
              </a:extLst>
            </xdr:cNvPr>
            <xdr:cNvSpPr txBox="1"/>
          </xdr:nvSpPr>
          <xdr:spPr>
            <a:xfrm>
              <a:off x="1165432" y="20750832"/>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𝒖_𝒘 (</a:t>
              </a: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1</xdr:col>
      <xdr:colOff>202651</xdr:colOff>
      <xdr:row>61</xdr:row>
      <xdr:rowOff>265287</xdr:rowOff>
    </xdr:from>
    <xdr:ext cx="483915" cy="172227"/>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id="{00000000-0008-0000-0500-000005000000}"/>
                </a:ext>
              </a:extLst>
            </xdr:cNvPr>
            <xdr:cNvSpPr txBox="1"/>
          </xdr:nvSpPr>
          <xdr:spPr>
            <a:xfrm>
              <a:off x="1231351" y="2297288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5" name="CuadroTexto 4">
              <a:extLst>
                <a:ext uri="{FF2B5EF4-FFF2-40B4-BE49-F238E27FC236}">
                  <a16:creationId xmlns:a16="http://schemas.microsoft.com/office/drawing/2014/main" id="{6D6DC945-2F43-4C74-90AD-2D0682EF5E4B}"/>
                </a:ext>
              </a:extLst>
            </xdr:cNvPr>
            <xdr:cNvSpPr txBox="1"/>
          </xdr:nvSpPr>
          <xdr:spPr>
            <a:xfrm>
              <a:off x="1231351" y="2297288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𝒖(𝒎_𝒄𝒓)</a:t>
              </a:r>
              <a:endParaRPr lang="es-CO" sz="1100" b="1"/>
            </a:p>
          </xdr:txBody>
        </xdr:sp>
      </mc:Fallback>
    </mc:AlternateContent>
    <xdr:clientData/>
  </xdr:oneCellAnchor>
  <xdr:oneCellAnchor>
    <xdr:from>
      <xdr:col>1</xdr:col>
      <xdr:colOff>34166</xdr:colOff>
      <xdr:row>60</xdr:row>
      <xdr:rowOff>250203</xdr:rowOff>
    </xdr:from>
    <xdr:ext cx="689483" cy="172227"/>
    <mc:AlternateContent xmlns:mc="http://schemas.openxmlformats.org/markup-compatibility/2006" xmlns:a14="http://schemas.microsoft.com/office/drawing/2010/main">
      <mc:Choice Requires="a14">
        <xdr:sp macro="" textlink="">
          <xdr:nvSpPr>
            <xdr:cNvPr id="6" name="CuadroTexto 5">
              <a:extLst>
                <a:ext uri="{FF2B5EF4-FFF2-40B4-BE49-F238E27FC236}">
                  <a16:creationId xmlns:a16="http://schemas.microsoft.com/office/drawing/2014/main" id="{00000000-0008-0000-0500-000006000000}"/>
                </a:ext>
              </a:extLst>
            </xdr:cNvPr>
            <xdr:cNvSpPr txBox="1"/>
          </xdr:nvSpPr>
          <xdr:spPr>
            <a:xfrm>
              <a:off x="1062866" y="22221203"/>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𝒊𝒏𝒔𝒕</m:t>
                        </m:r>
                      </m:sub>
                    </m:sSub>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0" i="1">
                        <a:latin typeface="Cambria Math" panose="02040503050406030204" pitchFamily="18" charset="0"/>
                      </a:rPr>
                      <m:t>)</m:t>
                    </m:r>
                  </m:oMath>
                </m:oMathPara>
              </a14:m>
              <a:endParaRPr lang="es-CO" sz="1100"/>
            </a:p>
          </xdr:txBody>
        </xdr:sp>
      </mc:Choice>
      <mc:Fallback xmlns="">
        <xdr:sp macro="" textlink="">
          <xdr:nvSpPr>
            <xdr:cNvPr id="6" name="CuadroTexto 5">
              <a:extLst>
                <a:ext uri="{FF2B5EF4-FFF2-40B4-BE49-F238E27FC236}">
                  <a16:creationId xmlns:a16="http://schemas.microsoft.com/office/drawing/2014/main" id="{A192896D-F52C-4915-9F85-74ED01497C0D}"/>
                </a:ext>
              </a:extLst>
            </xdr:cNvPr>
            <xdr:cNvSpPr txBox="1"/>
          </xdr:nvSpPr>
          <xdr:spPr>
            <a:xfrm>
              <a:off x="1062866" y="22221203"/>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𝒖_𝒊𝒏𝒔𝒕 (𝒎_𝒄𝒓</a:t>
              </a:r>
              <a:r>
                <a:rPr lang="es-CO" sz="1100" b="0" i="0">
                  <a:latin typeface="Cambria Math" panose="02040503050406030204" pitchFamily="18" charset="0"/>
                </a:rPr>
                <a:t>)</a:t>
              </a:r>
              <a:endParaRPr lang="es-CO" sz="1100"/>
            </a:p>
          </xdr:txBody>
        </xdr:sp>
      </mc:Fallback>
    </mc:AlternateContent>
    <xdr:clientData/>
  </xdr:oneCellAnchor>
  <xdr:oneCellAnchor>
    <xdr:from>
      <xdr:col>1</xdr:col>
      <xdr:colOff>183870</xdr:colOff>
      <xdr:row>62</xdr:row>
      <xdr:rowOff>264645</xdr:rowOff>
    </xdr:from>
    <xdr:ext cx="397353" cy="172227"/>
    <mc:AlternateContent xmlns:mc="http://schemas.openxmlformats.org/markup-compatibility/2006" xmlns:a14="http://schemas.microsoft.com/office/drawing/2010/main">
      <mc:Choice Requires="a14">
        <xdr:sp macro="" textlink="">
          <xdr:nvSpPr>
            <xdr:cNvPr id="7" name="CuadroTexto 6">
              <a:extLst>
                <a:ext uri="{FF2B5EF4-FFF2-40B4-BE49-F238E27FC236}">
                  <a16:creationId xmlns:a16="http://schemas.microsoft.com/office/drawing/2014/main" id="{00000000-0008-0000-0500-000007000000}"/>
                </a:ext>
              </a:extLst>
            </xdr:cNvPr>
            <xdr:cNvSpPr txBox="1"/>
          </xdr:nvSpPr>
          <xdr:spPr>
            <a:xfrm>
              <a:off x="1212570" y="23708845"/>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𝒂</m:t>
                        </m:r>
                      </m:sub>
                    </m:sSub>
                    <m:r>
                      <a:rPr lang="es-CO" sz="1100" b="1" i="1">
                        <a:latin typeface="Cambria Math" panose="02040503050406030204" pitchFamily="18" charset="0"/>
                      </a:rPr>
                      <m:t>)</m:t>
                    </m:r>
                  </m:oMath>
                </m:oMathPara>
              </a14:m>
              <a:endParaRPr lang="es-CO" sz="1100" b="1"/>
            </a:p>
          </xdr:txBody>
        </xdr:sp>
      </mc:Choice>
      <mc:Fallback xmlns="">
        <xdr:sp macro="" textlink="">
          <xdr:nvSpPr>
            <xdr:cNvPr id="7" name="CuadroTexto 6">
              <a:extLst>
                <a:ext uri="{FF2B5EF4-FFF2-40B4-BE49-F238E27FC236}">
                  <a16:creationId xmlns:a16="http://schemas.microsoft.com/office/drawing/2014/main" id="{9122DC05-BE7B-425D-B8F9-A2AFA99A95E5}"/>
                </a:ext>
              </a:extLst>
            </xdr:cNvPr>
            <xdr:cNvSpPr txBox="1"/>
          </xdr:nvSpPr>
          <xdr:spPr>
            <a:xfrm>
              <a:off x="1212570" y="23708845"/>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𝒂)</a:t>
              </a:r>
              <a:endParaRPr lang="es-CO" sz="1100" b="1"/>
            </a:p>
          </xdr:txBody>
        </xdr:sp>
      </mc:Fallback>
    </mc:AlternateContent>
    <xdr:clientData/>
  </xdr:oneCellAnchor>
  <xdr:oneCellAnchor>
    <xdr:from>
      <xdr:col>1</xdr:col>
      <xdr:colOff>186298</xdr:colOff>
      <xdr:row>63</xdr:row>
      <xdr:rowOff>266606</xdr:rowOff>
    </xdr:from>
    <xdr:ext cx="376642" cy="172227"/>
    <mc:AlternateContent xmlns:mc="http://schemas.openxmlformats.org/markup-compatibility/2006" xmlns:a14="http://schemas.microsoft.com/office/drawing/2010/main">
      <mc:Choice Requires="a14">
        <xdr:sp macro="" textlink="">
          <xdr:nvSpPr>
            <xdr:cNvPr id="8" name="CuadroTexto 7">
              <a:extLst>
                <a:ext uri="{FF2B5EF4-FFF2-40B4-BE49-F238E27FC236}">
                  <a16:creationId xmlns:a16="http://schemas.microsoft.com/office/drawing/2014/main" id="{00000000-0008-0000-0500-000008000000}"/>
                </a:ext>
              </a:extLst>
            </xdr:cNvPr>
            <xdr:cNvSpPr txBox="1"/>
          </xdr:nvSpPr>
          <xdr:spPr>
            <a:xfrm>
              <a:off x="1214998" y="244474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𝒕</m:t>
                        </m:r>
                      </m:sub>
                    </m:sSub>
                    <m:r>
                      <a:rPr lang="es-CO" sz="1100" b="1" i="1">
                        <a:latin typeface="Cambria Math" panose="02040503050406030204" pitchFamily="18" charset="0"/>
                      </a:rPr>
                      <m:t>)</m:t>
                    </m:r>
                  </m:oMath>
                </m:oMathPara>
              </a14:m>
              <a:endParaRPr lang="es-CO" sz="1100" b="1"/>
            </a:p>
          </xdr:txBody>
        </xdr:sp>
      </mc:Choice>
      <mc:Fallback xmlns="">
        <xdr:sp macro="" textlink="">
          <xdr:nvSpPr>
            <xdr:cNvPr id="8" name="CuadroTexto 7">
              <a:extLst>
                <a:ext uri="{FF2B5EF4-FFF2-40B4-BE49-F238E27FC236}">
                  <a16:creationId xmlns:a16="http://schemas.microsoft.com/office/drawing/2014/main" id="{59941DED-D280-4E24-A4E2-5D2E50D6A64C}"/>
                </a:ext>
              </a:extLst>
            </xdr:cNvPr>
            <xdr:cNvSpPr txBox="1"/>
          </xdr:nvSpPr>
          <xdr:spPr>
            <a:xfrm>
              <a:off x="1214998" y="244474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𝒕)</a:t>
              </a:r>
              <a:endParaRPr lang="es-CO" sz="1100" b="1"/>
            </a:p>
          </xdr:txBody>
        </xdr:sp>
      </mc:Fallback>
    </mc:AlternateContent>
    <xdr:clientData/>
  </xdr:oneCellAnchor>
  <xdr:oneCellAnchor>
    <xdr:from>
      <xdr:col>1</xdr:col>
      <xdr:colOff>186298</xdr:colOff>
      <xdr:row>64</xdr:row>
      <xdr:rowOff>222250</xdr:rowOff>
    </xdr:from>
    <xdr:ext cx="388696" cy="172227"/>
    <mc:AlternateContent xmlns:mc="http://schemas.openxmlformats.org/markup-compatibility/2006" xmlns:a14="http://schemas.microsoft.com/office/drawing/2010/main">
      <mc:Choice Requires="a14">
        <xdr:sp macro="" textlink="">
          <xdr:nvSpPr>
            <xdr:cNvPr id="9" name="CuadroTexto 8">
              <a:extLst>
                <a:ext uri="{FF2B5EF4-FFF2-40B4-BE49-F238E27FC236}">
                  <a16:creationId xmlns:a16="http://schemas.microsoft.com/office/drawing/2014/main" id="{00000000-0008-0000-0500-000009000000}"/>
                </a:ext>
              </a:extLst>
            </xdr:cNvPr>
            <xdr:cNvSpPr txBox="1"/>
          </xdr:nvSpPr>
          <xdr:spPr>
            <a:xfrm>
              <a:off x="1214998" y="25139650"/>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9" name="CuadroTexto 8">
              <a:extLst>
                <a:ext uri="{FF2B5EF4-FFF2-40B4-BE49-F238E27FC236}">
                  <a16:creationId xmlns:a16="http://schemas.microsoft.com/office/drawing/2014/main" id="{A48FB748-424B-46EB-B668-D2EF064D16BF}"/>
                </a:ext>
              </a:extLst>
            </xdr:cNvPr>
            <xdr:cNvSpPr txBox="1"/>
          </xdr:nvSpPr>
          <xdr:spPr>
            <a:xfrm>
              <a:off x="1214998" y="25139650"/>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𝒓)</a:t>
              </a:r>
              <a:endParaRPr lang="es-CO" sz="1100" b="1"/>
            </a:p>
          </xdr:txBody>
        </xdr:sp>
      </mc:Fallback>
    </mc:AlternateContent>
    <xdr:clientData/>
  </xdr:oneCellAnchor>
  <xdr:oneCellAnchor>
    <xdr:from>
      <xdr:col>1</xdr:col>
      <xdr:colOff>265579</xdr:colOff>
      <xdr:row>65</xdr:row>
      <xdr:rowOff>288458</xdr:rowOff>
    </xdr:from>
    <xdr:ext cx="191271" cy="172227"/>
    <mc:AlternateContent xmlns:mc="http://schemas.openxmlformats.org/markup-compatibility/2006" xmlns:a14="http://schemas.microsoft.com/office/drawing/2010/main">
      <mc:Choice Requires="a14">
        <xdr:sp macro="" textlink="">
          <xdr:nvSpPr>
            <xdr:cNvPr id="10" name="CuadroTexto 9">
              <a:extLst>
                <a:ext uri="{FF2B5EF4-FFF2-40B4-BE49-F238E27FC236}">
                  <a16:creationId xmlns:a16="http://schemas.microsoft.com/office/drawing/2014/main" id="{00000000-0008-0000-0500-00000A000000}"/>
                </a:ext>
              </a:extLst>
            </xdr:cNvPr>
            <xdr:cNvSpPr txBox="1"/>
          </xdr:nvSpPr>
          <xdr:spPr>
            <a:xfrm>
              <a:off x="1294279" y="2594245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𝒃</m:t>
                        </m:r>
                      </m:sub>
                    </m:sSub>
                  </m:oMath>
                </m:oMathPara>
              </a14:m>
              <a:endParaRPr lang="es-CO" sz="1100" b="1"/>
            </a:p>
          </xdr:txBody>
        </xdr:sp>
      </mc:Choice>
      <mc:Fallback xmlns="">
        <xdr:sp macro="" textlink="">
          <xdr:nvSpPr>
            <xdr:cNvPr id="10" name="CuadroTexto 9">
              <a:extLst>
                <a:ext uri="{FF2B5EF4-FFF2-40B4-BE49-F238E27FC236}">
                  <a16:creationId xmlns:a16="http://schemas.microsoft.com/office/drawing/2014/main" id="{56E4329D-01AD-4FC7-BFE2-6DBFD65D8516}"/>
                </a:ext>
              </a:extLst>
            </xdr:cNvPr>
            <xdr:cNvSpPr txBox="1"/>
          </xdr:nvSpPr>
          <xdr:spPr>
            <a:xfrm>
              <a:off x="1294279" y="2594245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𝒖_𝒃</a:t>
              </a:r>
              <a:endParaRPr lang="es-CO" sz="1100" b="1"/>
            </a:p>
          </xdr:txBody>
        </xdr:sp>
      </mc:Fallback>
    </mc:AlternateContent>
    <xdr:clientData/>
  </xdr:oneCellAnchor>
  <xdr:oneCellAnchor>
    <xdr:from>
      <xdr:col>1</xdr:col>
      <xdr:colOff>261391</xdr:colOff>
      <xdr:row>66</xdr:row>
      <xdr:rowOff>294234</xdr:rowOff>
    </xdr:from>
    <xdr:ext cx="195053" cy="172227"/>
    <mc:AlternateContent xmlns:mc="http://schemas.openxmlformats.org/markup-compatibility/2006" xmlns:a14="http://schemas.microsoft.com/office/drawing/2010/main">
      <mc:Choice Requires="a14">
        <xdr:sp macro="" textlink="">
          <xdr:nvSpPr>
            <xdr:cNvPr id="11" name="CuadroTexto 10">
              <a:extLst>
                <a:ext uri="{FF2B5EF4-FFF2-40B4-BE49-F238E27FC236}">
                  <a16:creationId xmlns:a16="http://schemas.microsoft.com/office/drawing/2014/main" id="{00000000-0008-0000-0500-00000B000000}"/>
                </a:ext>
              </a:extLst>
            </xdr:cNvPr>
            <xdr:cNvSpPr txBox="1"/>
          </xdr:nvSpPr>
          <xdr:spPr>
            <a:xfrm>
              <a:off x="1290091" y="26684834"/>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𝒅</m:t>
                        </m:r>
                      </m:sub>
                    </m:sSub>
                  </m:oMath>
                </m:oMathPara>
              </a14:m>
              <a:endParaRPr lang="es-CO" sz="1100" b="1"/>
            </a:p>
          </xdr:txBody>
        </xdr:sp>
      </mc:Choice>
      <mc:Fallback xmlns="">
        <xdr:sp macro="" textlink="">
          <xdr:nvSpPr>
            <xdr:cNvPr id="11" name="CuadroTexto 10">
              <a:extLst>
                <a:ext uri="{FF2B5EF4-FFF2-40B4-BE49-F238E27FC236}">
                  <a16:creationId xmlns:a16="http://schemas.microsoft.com/office/drawing/2014/main" id="{23D2CECA-BD1C-4E56-A735-DE0D8F0B2554}"/>
                </a:ext>
              </a:extLst>
            </xdr:cNvPr>
            <xdr:cNvSpPr txBox="1"/>
          </xdr:nvSpPr>
          <xdr:spPr>
            <a:xfrm>
              <a:off x="1290091" y="26684834"/>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𝒖_𝒅</a:t>
              </a:r>
              <a:endParaRPr lang="es-CO" sz="1100" b="1"/>
            </a:p>
          </xdr:txBody>
        </xdr:sp>
      </mc:Fallback>
    </mc:AlternateContent>
    <xdr:clientData/>
  </xdr:oneCellAnchor>
  <xdr:oneCellAnchor>
    <xdr:from>
      <xdr:col>5</xdr:col>
      <xdr:colOff>393571</xdr:colOff>
      <xdr:row>69</xdr:row>
      <xdr:rowOff>265119</xdr:rowOff>
    </xdr:from>
    <xdr:ext cx="529697" cy="172227"/>
    <mc:AlternateContent xmlns:mc="http://schemas.openxmlformats.org/markup-compatibility/2006" xmlns:a14="http://schemas.microsoft.com/office/drawing/2010/main">
      <mc:Choice Requires="a14">
        <xdr:sp macro="" textlink="">
          <xdr:nvSpPr>
            <xdr:cNvPr id="12" name="CuadroTexto 11">
              <a:extLst>
                <a:ext uri="{FF2B5EF4-FFF2-40B4-BE49-F238E27FC236}">
                  <a16:creationId xmlns:a16="http://schemas.microsoft.com/office/drawing/2014/main" id="{00000000-0008-0000-0500-00000C000000}"/>
                </a:ext>
              </a:extLst>
            </xdr:cNvPr>
            <xdr:cNvSpPr txBox="1"/>
          </xdr:nvSpPr>
          <xdr:spPr>
            <a:xfrm>
              <a:off x="5632321" y="28217819"/>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𝒄</m:t>
                        </m:r>
                      </m:sub>
                    </m:sSub>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12" name="CuadroTexto 11">
              <a:extLst>
                <a:ext uri="{FF2B5EF4-FFF2-40B4-BE49-F238E27FC236}">
                  <a16:creationId xmlns:a16="http://schemas.microsoft.com/office/drawing/2014/main" id="{3A50BDC5-074A-4483-8B17-A7BB5886F26D}"/>
                </a:ext>
              </a:extLst>
            </xdr:cNvPr>
            <xdr:cNvSpPr txBox="1"/>
          </xdr:nvSpPr>
          <xdr:spPr>
            <a:xfrm>
              <a:off x="5632321" y="28217819"/>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𝒖_𝒄 (</a:t>
              </a:r>
              <a:r>
                <a:rPr lang="es-CO" sz="1100" b="1" i="0">
                  <a:latin typeface="Cambria Math" panose="02040503050406030204" pitchFamily="18" charset="0"/>
                  <a:ea typeface="Cambria Math" panose="02040503050406030204" pitchFamily="18" charset="0"/>
                </a:rPr>
                <a:t>𝒎_𝒄𝒕)</a:t>
              </a:r>
              <a:endParaRPr lang="es-CO" sz="1100" b="1"/>
            </a:p>
          </xdr:txBody>
        </xdr:sp>
      </mc:Fallback>
    </mc:AlternateContent>
    <xdr:clientData/>
  </xdr:oneCellAnchor>
  <xdr:oneCellAnchor>
    <xdr:from>
      <xdr:col>5</xdr:col>
      <xdr:colOff>243965</xdr:colOff>
      <xdr:row>70</xdr:row>
      <xdr:rowOff>130277</xdr:rowOff>
    </xdr:from>
    <xdr:ext cx="780598" cy="172227"/>
    <mc:AlternateContent xmlns:mc="http://schemas.openxmlformats.org/markup-compatibility/2006" xmlns:a14="http://schemas.microsoft.com/office/drawing/2010/main">
      <mc:Choice Requires="a14">
        <xdr:sp macro="" textlink="">
          <xdr:nvSpPr>
            <xdr:cNvPr id="13" name="CuadroTexto 12">
              <a:extLst>
                <a:ext uri="{FF2B5EF4-FFF2-40B4-BE49-F238E27FC236}">
                  <a16:creationId xmlns:a16="http://schemas.microsoft.com/office/drawing/2014/main" id="{00000000-0008-0000-0500-00000D000000}"/>
                </a:ext>
              </a:extLst>
            </xdr:cNvPr>
            <xdr:cNvSpPr txBox="1"/>
          </xdr:nvSpPr>
          <xdr:spPr>
            <a:xfrm>
              <a:off x="5482715" y="2873702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100" b="1" i="1">
                      <a:latin typeface="Cambria Math" panose="02040503050406030204" pitchFamily="18" charset="0"/>
                    </a:rPr>
                    <m:t>𝑼</m:t>
                  </m:r>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a14:m>
              <a:r>
                <a:rPr lang="es-CO" sz="1100" b="1"/>
                <a:t> (k=2)</a:t>
              </a:r>
            </a:p>
          </xdr:txBody>
        </xdr:sp>
      </mc:Choice>
      <mc:Fallback xmlns="">
        <xdr:sp macro="" textlink="">
          <xdr:nvSpPr>
            <xdr:cNvPr id="13" name="CuadroTexto 12">
              <a:extLst>
                <a:ext uri="{FF2B5EF4-FFF2-40B4-BE49-F238E27FC236}">
                  <a16:creationId xmlns:a16="http://schemas.microsoft.com/office/drawing/2014/main" id="{168C660E-2C65-4BD1-9689-D6E9DAB9450B}"/>
                </a:ext>
              </a:extLst>
            </xdr:cNvPr>
            <xdr:cNvSpPr txBox="1"/>
          </xdr:nvSpPr>
          <xdr:spPr>
            <a:xfrm>
              <a:off x="5482715" y="2873702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100" b="1" i="0">
                  <a:latin typeface="Cambria Math" panose="02040503050406030204" pitchFamily="18" charset="0"/>
                </a:rPr>
                <a:t>𝑼(</a:t>
              </a:r>
              <a:r>
                <a:rPr lang="es-CO" sz="1100" b="1" i="0">
                  <a:latin typeface="Cambria Math" panose="02040503050406030204" pitchFamily="18" charset="0"/>
                  <a:ea typeface="Cambria Math" panose="02040503050406030204" pitchFamily="18" charset="0"/>
                </a:rPr>
                <a:t>𝒎_𝒄𝒕)</a:t>
              </a:r>
              <a:r>
                <a:rPr lang="es-CO" sz="1100" b="1"/>
                <a:t> (k=2)</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14" name="CuadroTexto 13">
              <a:extLst>
                <a:ext uri="{FF2B5EF4-FFF2-40B4-BE49-F238E27FC236}">
                  <a16:creationId xmlns:a16="http://schemas.microsoft.com/office/drawing/2014/main" id="{00000000-0008-0000-0500-00000E000000}"/>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14" name="CuadroTexto 13">
              <a:extLst>
                <a:ext uri="{FF2B5EF4-FFF2-40B4-BE49-F238E27FC236}">
                  <a16:creationId xmlns:a16="http://schemas.microsoft.com/office/drawing/2014/main" id="{016B603B-1210-4B33-856D-4B1E1F0876C0}"/>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8</xdr:col>
      <xdr:colOff>541269</xdr:colOff>
      <xdr:row>52</xdr:row>
      <xdr:rowOff>78683</xdr:rowOff>
    </xdr:from>
    <xdr:ext cx="304571" cy="172227"/>
    <mc:AlternateContent xmlns:mc="http://schemas.openxmlformats.org/markup-compatibility/2006" xmlns:a14="http://schemas.microsoft.com/office/drawing/2010/main">
      <mc:Choice Requires="a14">
        <xdr:sp macro="" textlink="">
          <xdr:nvSpPr>
            <xdr:cNvPr id="15" name="CuadroTexto 14">
              <a:extLst>
                <a:ext uri="{FF2B5EF4-FFF2-40B4-BE49-F238E27FC236}">
                  <a16:creationId xmlns:a16="http://schemas.microsoft.com/office/drawing/2014/main" id="{00000000-0008-0000-0500-00000F000000}"/>
                </a:ext>
              </a:extLst>
            </xdr:cNvPr>
            <xdr:cNvSpPr txBox="1"/>
          </xdr:nvSpPr>
          <xdr:spPr>
            <a:xfrm>
              <a:off x="9882119" y="18595283"/>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oMath>
                </m:oMathPara>
              </a14:m>
              <a:endParaRPr lang="es-CO" sz="1100" b="1"/>
            </a:p>
          </xdr:txBody>
        </xdr:sp>
      </mc:Choice>
      <mc:Fallback xmlns="">
        <xdr:sp macro="" textlink="">
          <xdr:nvSpPr>
            <xdr:cNvPr id="15" name="CuadroTexto 14">
              <a:extLst>
                <a:ext uri="{FF2B5EF4-FFF2-40B4-BE49-F238E27FC236}">
                  <a16:creationId xmlns:a16="http://schemas.microsoft.com/office/drawing/2014/main" id="{C1025E0D-B240-4F5C-97D2-DA925C573C27}"/>
                </a:ext>
              </a:extLst>
            </xdr:cNvPr>
            <xdr:cNvSpPr txBox="1"/>
          </xdr:nvSpPr>
          <xdr:spPr>
            <a:xfrm>
              <a:off x="9882119" y="18595283"/>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4</xdr:col>
      <xdr:colOff>155713</xdr:colOff>
      <xdr:row>39</xdr:row>
      <xdr:rowOff>106017</xdr:rowOff>
    </xdr:from>
    <xdr:ext cx="65" cy="172227"/>
    <xdr:sp macro="" textlink="">
      <xdr:nvSpPr>
        <xdr:cNvPr id="16" name="CuadroTexto 15">
          <a:extLst>
            <a:ext uri="{FF2B5EF4-FFF2-40B4-BE49-F238E27FC236}">
              <a16:creationId xmlns:a16="http://schemas.microsoft.com/office/drawing/2014/main" id="{00000000-0008-0000-0500-000010000000}"/>
            </a:ext>
          </a:extLst>
        </xdr:cNvPr>
        <xdr:cNvSpPr txBox="1"/>
      </xdr:nvSpPr>
      <xdr:spPr>
        <a:xfrm>
          <a:off x="4308613" y="1369501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17" name="CuadroTexto 16">
              <a:extLst>
                <a:ext uri="{FF2B5EF4-FFF2-40B4-BE49-F238E27FC236}">
                  <a16:creationId xmlns:a16="http://schemas.microsoft.com/office/drawing/2014/main" id="{00000000-0008-0000-0500-000011000000}"/>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7" name="CuadroTexto 16">
              <a:extLst>
                <a:ext uri="{FF2B5EF4-FFF2-40B4-BE49-F238E27FC236}">
                  <a16:creationId xmlns:a16="http://schemas.microsoft.com/office/drawing/2014/main" id="{0B4F37F8-25D1-4438-A3B6-AFBDBDED4F7C}"/>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18" name="CuadroTexto 17">
              <a:extLst>
                <a:ext uri="{FF2B5EF4-FFF2-40B4-BE49-F238E27FC236}">
                  <a16:creationId xmlns:a16="http://schemas.microsoft.com/office/drawing/2014/main" id="{00000000-0008-0000-0500-000012000000}"/>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18" name="CuadroTexto 17">
              <a:extLst>
                <a:ext uri="{FF2B5EF4-FFF2-40B4-BE49-F238E27FC236}">
                  <a16:creationId xmlns:a16="http://schemas.microsoft.com/office/drawing/2014/main" id="{4224B383-C7A7-4FD1-870E-D0A427D5A6F3}"/>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19" name="CuadroTexto 18">
              <a:extLst>
                <a:ext uri="{FF2B5EF4-FFF2-40B4-BE49-F238E27FC236}">
                  <a16:creationId xmlns:a16="http://schemas.microsoft.com/office/drawing/2014/main" id="{00000000-0008-0000-0500-000013000000}"/>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9" name="CuadroTexto 18">
              <a:extLst>
                <a:ext uri="{FF2B5EF4-FFF2-40B4-BE49-F238E27FC236}">
                  <a16:creationId xmlns:a16="http://schemas.microsoft.com/office/drawing/2014/main" id="{D6572AEC-C995-463D-AD38-F5FFF56A055B}"/>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0" name="CuadroTexto 19">
              <a:extLst>
                <a:ext uri="{FF2B5EF4-FFF2-40B4-BE49-F238E27FC236}">
                  <a16:creationId xmlns:a16="http://schemas.microsoft.com/office/drawing/2014/main" id="{00000000-0008-0000-0500-000014000000}"/>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0" name="CuadroTexto 19">
              <a:extLst>
                <a:ext uri="{FF2B5EF4-FFF2-40B4-BE49-F238E27FC236}">
                  <a16:creationId xmlns:a16="http://schemas.microsoft.com/office/drawing/2014/main" id="{589E5DFF-2F59-4216-AC0D-CFC6C5F35B9D}"/>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1" name="CuadroTexto 20">
          <a:extLst>
            <a:ext uri="{FF2B5EF4-FFF2-40B4-BE49-F238E27FC236}">
              <a16:creationId xmlns:a16="http://schemas.microsoft.com/office/drawing/2014/main" id="{00000000-0008-0000-0500-000015000000}"/>
            </a:ext>
          </a:extLst>
        </xdr:cNvPr>
        <xdr:cNvSpPr txBox="1"/>
      </xdr:nvSpPr>
      <xdr:spPr>
        <a:xfrm>
          <a:off x="1376572" y="14521621"/>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3</xdr:col>
      <xdr:colOff>236456</xdr:colOff>
      <xdr:row>73</xdr:row>
      <xdr:rowOff>141002</xdr:rowOff>
    </xdr:from>
    <xdr:ext cx="730521" cy="219163"/>
    <mc:AlternateContent xmlns:mc="http://schemas.openxmlformats.org/markup-compatibility/2006" xmlns:a14="http://schemas.microsoft.com/office/drawing/2010/main">
      <mc:Choice Requires="a14">
        <xdr:sp macro="" textlink="">
          <xdr:nvSpPr>
            <xdr:cNvPr id="22" name="CuadroTexto 21">
              <a:extLst>
                <a:ext uri="{FF2B5EF4-FFF2-40B4-BE49-F238E27FC236}">
                  <a16:creationId xmlns:a16="http://schemas.microsoft.com/office/drawing/2014/main" id="{00000000-0008-0000-0500-000016000000}"/>
                </a:ext>
              </a:extLst>
            </xdr:cNvPr>
            <xdr:cNvSpPr txBox="1"/>
          </xdr:nvSpPr>
          <xdr:spPr>
            <a:xfrm>
              <a:off x="3201906" y="30062202"/>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m:t>
                  </m:r>
                  <m:sSub>
                    <m:sSubPr>
                      <m:ctrlPr>
                        <a:rPr lang="es-CO" sz="1400" b="1" i="1">
                          <a:latin typeface="Cambria Math" panose="02040503050406030204" pitchFamily="18" charset="0"/>
                          <a:ea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𝒎</m:t>
                      </m:r>
                    </m:e>
                    <m:sub>
                      <m:r>
                        <a:rPr lang="es-CO" sz="1400" b="1" i="1">
                          <a:latin typeface="Cambria Math" panose="02040503050406030204" pitchFamily="18" charset="0"/>
                          <a:ea typeface="Cambria Math" panose="02040503050406030204" pitchFamily="18" charset="0"/>
                        </a:rPr>
                        <m:t>𝒄</m:t>
                      </m:r>
                    </m:sub>
                  </m:sSub>
                </m:oMath>
              </a14:m>
              <a:r>
                <a:rPr lang="es-CO" sz="1400" b="1" i="1"/>
                <a:t> (mg</a:t>
              </a:r>
              <a:r>
                <a:rPr lang="es-CO" sz="1200" b="1" i="0"/>
                <a:t>)</a:t>
              </a:r>
            </a:p>
          </xdr:txBody>
        </xdr:sp>
      </mc:Choice>
      <mc:Fallback xmlns="">
        <xdr:sp macro="" textlink="">
          <xdr:nvSpPr>
            <xdr:cNvPr id="22" name="CuadroTexto 21">
              <a:extLst>
                <a:ext uri="{FF2B5EF4-FFF2-40B4-BE49-F238E27FC236}">
                  <a16:creationId xmlns:a16="http://schemas.microsoft.com/office/drawing/2014/main" id="{DE3D3908-CBA2-4293-BB90-5542C5807633}"/>
                </a:ext>
              </a:extLst>
            </xdr:cNvPr>
            <xdr:cNvSpPr txBox="1"/>
          </xdr:nvSpPr>
          <xdr:spPr>
            <a:xfrm>
              <a:off x="3201906" y="30062202"/>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400" b="1" i="0">
                  <a:latin typeface="Cambria Math" panose="02040503050406030204" pitchFamily="18" charset="0"/>
                  <a:ea typeface="Cambria Math" panose="02040503050406030204" pitchFamily="18" charset="0"/>
                </a:rPr>
                <a:t>∆𝒎_𝒄</a:t>
              </a:r>
              <a:r>
                <a:rPr lang="es-CO" sz="1400" b="1" i="1"/>
                <a:t> (mg</a:t>
              </a:r>
              <a:r>
                <a:rPr lang="es-CO" sz="1200" b="1" i="0"/>
                <a:t>)</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23" name="CuadroTexto 22">
              <a:extLst>
                <a:ext uri="{FF2B5EF4-FFF2-40B4-BE49-F238E27FC236}">
                  <a16:creationId xmlns:a16="http://schemas.microsoft.com/office/drawing/2014/main" id="{00000000-0008-0000-0500-000017000000}"/>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23" name="CuadroTexto 22">
              <a:extLst>
                <a:ext uri="{FF2B5EF4-FFF2-40B4-BE49-F238E27FC236}">
                  <a16:creationId xmlns:a16="http://schemas.microsoft.com/office/drawing/2014/main" id="{51F611D3-6538-4E0B-8A33-9A6FA1C1489E}"/>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24" name="CuadroTexto 23">
          <a:extLst>
            <a:ext uri="{FF2B5EF4-FFF2-40B4-BE49-F238E27FC236}">
              <a16:creationId xmlns:a16="http://schemas.microsoft.com/office/drawing/2014/main" id="{00000000-0008-0000-0500-000018000000}"/>
            </a:ext>
          </a:extLst>
        </xdr:cNvPr>
        <xdr:cNvSpPr txBox="1"/>
      </xdr:nvSpPr>
      <xdr:spPr>
        <a:xfrm>
          <a:off x="4308613" y="1369501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25" name="CuadroTexto 24">
              <a:extLst>
                <a:ext uri="{FF2B5EF4-FFF2-40B4-BE49-F238E27FC236}">
                  <a16:creationId xmlns:a16="http://schemas.microsoft.com/office/drawing/2014/main" id="{00000000-0008-0000-0500-000019000000}"/>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5" name="CuadroTexto 24">
              <a:extLst>
                <a:ext uri="{FF2B5EF4-FFF2-40B4-BE49-F238E27FC236}">
                  <a16:creationId xmlns:a16="http://schemas.microsoft.com/office/drawing/2014/main" id="{F0227D38-00A8-43BC-8D84-941DF2D6FF2F}"/>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26" name="CuadroTexto 25">
              <a:extLst>
                <a:ext uri="{FF2B5EF4-FFF2-40B4-BE49-F238E27FC236}">
                  <a16:creationId xmlns:a16="http://schemas.microsoft.com/office/drawing/2014/main" id="{00000000-0008-0000-0500-00001A000000}"/>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6" name="CuadroTexto 25">
              <a:extLst>
                <a:ext uri="{FF2B5EF4-FFF2-40B4-BE49-F238E27FC236}">
                  <a16:creationId xmlns:a16="http://schemas.microsoft.com/office/drawing/2014/main" id="{69C2C67C-B6EA-4F09-834F-383536D58037}"/>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27" name="CuadroTexto 26">
              <a:extLst>
                <a:ext uri="{FF2B5EF4-FFF2-40B4-BE49-F238E27FC236}">
                  <a16:creationId xmlns:a16="http://schemas.microsoft.com/office/drawing/2014/main" id="{00000000-0008-0000-0500-00001B000000}"/>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7" name="CuadroTexto 26">
              <a:extLst>
                <a:ext uri="{FF2B5EF4-FFF2-40B4-BE49-F238E27FC236}">
                  <a16:creationId xmlns:a16="http://schemas.microsoft.com/office/drawing/2014/main" id="{26261045-614D-479B-B606-2AA5F27542A0}"/>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8" name="CuadroTexto 27">
              <a:extLst>
                <a:ext uri="{FF2B5EF4-FFF2-40B4-BE49-F238E27FC236}">
                  <a16:creationId xmlns:a16="http://schemas.microsoft.com/office/drawing/2014/main" id="{00000000-0008-0000-0500-00001C000000}"/>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8" name="CuadroTexto 27">
              <a:extLst>
                <a:ext uri="{FF2B5EF4-FFF2-40B4-BE49-F238E27FC236}">
                  <a16:creationId xmlns:a16="http://schemas.microsoft.com/office/drawing/2014/main" id="{A2087E93-2720-4722-9B81-861112D23135}"/>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9" name="CuadroTexto 28">
          <a:extLst>
            <a:ext uri="{FF2B5EF4-FFF2-40B4-BE49-F238E27FC236}">
              <a16:creationId xmlns:a16="http://schemas.microsoft.com/office/drawing/2014/main" id="{00000000-0008-0000-0500-00001D000000}"/>
            </a:ext>
          </a:extLst>
        </xdr:cNvPr>
        <xdr:cNvSpPr txBox="1"/>
      </xdr:nvSpPr>
      <xdr:spPr>
        <a:xfrm>
          <a:off x="1376572" y="14521621"/>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30" name="CuadroTexto 29">
              <a:extLst>
                <a:ext uri="{FF2B5EF4-FFF2-40B4-BE49-F238E27FC236}">
                  <a16:creationId xmlns:a16="http://schemas.microsoft.com/office/drawing/2014/main" id="{00000000-0008-0000-0500-00001E000000}"/>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30" name="CuadroTexto 29">
              <a:extLst>
                <a:ext uri="{FF2B5EF4-FFF2-40B4-BE49-F238E27FC236}">
                  <a16:creationId xmlns:a16="http://schemas.microsoft.com/office/drawing/2014/main" id="{D5054BCE-CD1F-4978-B2D7-5E4C62B422A1}"/>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31" name="CuadroTexto 30">
          <a:extLst>
            <a:ext uri="{FF2B5EF4-FFF2-40B4-BE49-F238E27FC236}">
              <a16:creationId xmlns:a16="http://schemas.microsoft.com/office/drawing/2014/main" id="{00000000-0008-0000-0500-00001F000000}"/>
            </a:ext>
          </a:extLst>
        </xdr:cNvPr>
        <xdr:cNvSpPr txBox="1"/>
      </xdr:nvSpPr>
      <xdr:spPr>
        <a:xfrm>
          <a:off x="4308613" y="1369501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32" name="CuadroTexto 31">
              <a:extLst>
                <a:ext uri="{FF2B5EF4-FFF2-40B4-BE49-F238E27FC236}">
                  <a16:creationId xmlns:a16="http://schemas.microsoft.com/office/drawing/2014/main" id="{00000000-0008-0000-0500-000020000000}"/>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2" name="CuadroTexto 31">
              <a:extLst>
                <a:ext uri="{FF2B5EF4-FFF2-40B4-BE49-F238E27FC236}">
                  <a16:creationId xmlns:a16="http://schemas.microsoft.com/office/drawing/2014/main" id="{78718B5A-6CC1-4AC9-8B19-30AA12761576}"/>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33" name="CuadroTexto 32">
              <a:extLst>
                <a:ext uri="{FF2B5EF4-FFF2-40B4-BE49-F238E27FC236}">
                  <a16:creationId xmlns:a16="http://schemas.microsoft.com/office/drawing/2014/main" id="{00000000-0008-0000-0500-000021000000}"/>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3" name="CuadroTexto 32">
              <a:extLst>
                <a:ext uri="{FF2B5EF4-FFF2-40B4-BE49-F238E27FC236}">
                  <a16:creationId xmlns:a16="http://schemas.microsoft.com/office/drawing/2014/main" id="{57E3442B-66F0-4C55-B301-4FBF697E6E9A}"/>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34" name="CuadroTexto 33">
              <a:extLst>
                <a:ext uri="{FF2B5EF4-FFF2-40B4-BE49-F238E27FC236}">
                  <a16:creationId xmlns:a16="http://schemas.microsoft.com/office/drawing/2014/main" id="{00000000-0008-0000-0500-000022000000}"/>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4" name="CuadroTexto 33">
              <a:extLst>
                <a:ext uri="{FF2B5EF4-FFF2-40B4-BE49-F238E27FC236}">
                  <a16:creationId xmlns:a16="http://schemas.microsoft.com/office/drawing/2014/main" id="{A11C0E73-EEF5-4F15-8511-027C983638C6}"/>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35" name="CuadroTexto 34">
              <a:extLst>
                <a:ext uri="{FF2B5EF4-FFF2-40B4-BE49-F238E27FC236}">
                  <a16:creationId xmlns:a16="http://schemas.microsoft.com/office/drawing/2014/main" id="{00000000-0008-0000-0500-000023000000}"/>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5" name="CuadroTexto 34">
              <a:extLst>
                <a:ext uri="{FF2B5EF4-FFF2-40B4-BE49-F238E27FC236}">
                  <a16:creationId xmlns:a16="http://schemas.microsoft.com/office/drawing/2014/main" id="{CB619838-5A4A-4A7D-87CD-6F08D33C8497}"/>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36" name="CuadroTexto 35">
          <a:extLst>
            <a:ext uri="{FF2B5EF4-FFF2-40B4-BE49-F238E27FC236}">
              <a16:creationId xmlns:a16="http://schemas.microsoft.com/office/drawing/2014/main" id="{00000000-0008-0000-0500-000024000000}"/>
            </a:ext>
          </a:extLst>
        </xdr:cNvPr>
        <xdr:cNvSpPr txBox="1"/>
      </xdr:nvSpPr>
      <xdr:spPr>
        <a:xfrm>
          <a:off x="1376572" y="14521621"/>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11</xdr:col>
      <xdr:colOff>628650</xdr:colOff>
      <xdr:row>61</xdr:row>
      <xdr:rowOff>0</xdr:rowOff>
    </xdr:from>
    <xdr:ext cx="65" cy="172227"/>
    <xdr:sp macro="" textlink="">
      <xdr:nvSpPr>
        <xdr:cNvPr id="37" name="CuadroTexto 36">
          <a:extLst>
            <a:ext uri="{FF2B5EF4-FFF2-40B4-BE49-F238E27FC236}">
              <a16:creationId xmlns:a16="http://schemas.microsoft.com/office/drawing/2014/main" id="{00000000-0008-0000-0500-000025000000}"/>
            </a:ext>
          </a:extLst>
        </xdr:cNvPr>
        <xdr:cNvSpPr txBox="1"/>
      </xdr:nvSpPr>
      <xdr:spPr>
        <a:xfrm>
          <a:off x="12693650" y="22707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5</xdr:col>
      <xdr:colOff>539750</xdr:colOff>
      <xdr:row>73</xdr:row>
      <xdr:rowOff>158749</xdr:rowOff>
    </xdr:from>
    <xdr:ext cx="984250" cy="210507"/>
    <mc:AlternateContent xmlns:mc="http://schemas.openxmlformats.org/markup-compatibility/2006" xmlns:a14="http://schemas.microsoft.com/office/drawing/2010/main">
      <mc:Choice Requires="a14">
        <xdr:sp macro="" textlink="">
          <xdr:nvSpPr>
            <xdr:cNvPr id="38" name="CuadroTexto 37">
              <a:extLst>
                <a:ext uri="{FF2B5EF4-FFF2-40B4-BE49-F238E27FC236}">
                  <a16:creationId xmlns:a16="http://schemas.microsoft.com/office/drawing/2014/main" id="{00000000-0008-0000-0500-000026000000}"/>
                </a:ext>
              </a:extLst>
            </xdr:cNvPr>
            <xdr:cNvSpPr txBox="1"/>
          </xdr:nvSpPr>
          <xdr:spPr>
            <a:xfrm>
              <a:off x="5778500" y="30079949"/>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𝒆</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38" name="CuadroTexto 37">
              <a:extLst>
                <a:ext uri="{FF2B5EF4-FFF2-40B4-BE49-F238E27FC236}">
                  <a16:creationId xmlns:a16="http://schemas.microsoft.com/office/drawing/2014/main" id="{ED37E183-47C0-4FA9-BD96-B38468371B32}"/>
                </a:ext>
              </a:extLst>
            </xdr:cNvPr>
            <xdr:cNvSpPr txBox="1"/>
          </xdr:nvSpPr>
          <xdr:spPr>
            <a:xfrm>
              <a:off x="5778500" y="30079949"/>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𝒆 𝒄𝒕</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4</xdr:col>
      <xdr:colOff>52917</xdr:colOff>
      <xdr:row>73</xdr:row>
      <xdr:rowOff>148167</xdr:rowOff>
    </xdr:from>
    <xdr:ext cx="984250" cy="210507"/>
    <mc:AlternateContent xmlns:mc="http://schemas.openxmlformats.org/markup-compatibility/2006" xmlns:a14="http://schemas.microsoft.com/office/drawing/2010/main">
      <mc:Choice Requires="a14">
        <xdr:sp macro="" textlink="">
          <xdr:nvSpPr>
            <xdr:cNvPr id="39" name="CuadroTexto 38">
              <a:extLst>
                <a:ext uri="{FF2B5EF4-FFF2-40B4-BE49-F238E27FC236}">
                  <a16:creationId xmlns:a16="http://schemas.microsoft.com/office/drawing/2014/main" id="{00000000-0008-0000-0500-000027000000}"/>
                </a:ext>
              </a:extLst>
            </xdr:cNvPr>
            <xdr:cNvSpPr txBox="1"/>
          </xdr:nvSpPr>
          <xdr:spPr>
            <a:xfrm>
              <a:off x="4205817" y="30069367"/>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39" name="CuadroTexto 38">
              <a:extLst>
                <a:ext uri="{FF2B5EF4-FFF2-40B4-BE49-F238E27FC236}">
                  <a16:creationId xmlns:a16="http://schemas.microsoft.com/office/drawing/2014/main" id="{766D56D8-E621-4888-B5EB-6B023AF06A04}"/>
                </a:ext>
              </a:extLst>
            </xdr:cNvPr>
            <xdr:cNvSpPr txBox="1"/>
          </xdr:nvSpPr>
          <xdr:spPr>
            <a:xfrm>
              <a:off x="4205817" y="30069367"/>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𝒄𝒕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1</xdr:col>
      <xdr:colOff>35717</xdr:colOff>
      <xdr:row>73</xdr:row>
      <xdr:rowOff>95251</xdr:rowOff>
    </xdr:from>
    <xdr:ext cx="972345" cy="210507"/>
    <mc:AlternateContent xmlns:mc="http://schemas.openxmlformats.org/markup-compatibility/2006" xmlns:a14="http://schemas.microsoft.com/office/drawing/2010/main">
      <mc:Choice Requires="a14">
        <xdr:sp macro="" textlink="">
          <xdr:nvSpPr>
            <xdr:cNvPr id="40" name="CuadroTexto 39">
              <a:extLst>
                <a:ext uri="{FF2B5EF4-FFF2-40B4-BE49-F238E27FC236}">
                  <a16:creationId xmlns:a16="http://schemas.microsoft.com/office/drawing/2014/main" id="{00000000-0008-0000-0500-000028000000}"/>
                </a:ext>
              </a:extLst>
            </xdr:cNvPr>
            <xdr:cNvSpPr txBox="1"/>
          </xdr:nvSpPr>
          <xdr:spPr>
            <a:xfrm>
              <a:off x="1067592" y="29908501"/>
              <a:ext cx="972345"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𝑵𝒓</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0" name="CuadroTexto 39">
              <a:extLst>
                <a:ext uri="{FF2B5EF4-FFF2-40B4-BE49-F238E27FC236}">
                  <a16:creationId xmlns:a16="http://schemas.microsoft.com/office/drawing/2014/main" id="{0EC4B579-39C3-4E33-AFCE-A81256F87519}"/>
                </a:ext>
              </a:extLst>
            </xdr:cNvPr>
            <xdr:cNvSpPr txBox="1"/>
          </xdr:nvSpPr>
          <xdr:spPr>
            <a:xfrm>
              <a:off x="1067592" y="29908501"/>
              <a:ext cx="972345"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𝑵𝒓 (𝒈</a:t>
              </a:r>
              <a:r>
                <a:rPr lang="es-CO" sz="1400" b="1" i="0">
                  <a:latin typeface="Cambria Math"/>
                  <a:ea typeface="Cambria Math" panose="02040503050406030204" pitchFamily="18" charset="0"/>
                </a:rPr>
                <a:t>)</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8</xdr:col>
      <xdr:colOff>624417</xdr:colOff>
      <xdr:row>73</xdr:row>
      <xdr:rowOff>285751</xdr:rowOff>
    </xdr:from>
    <xdr:ext cx="1524000" cy="210507"/>
    <mc:AlternateContent xmlns:mc="http://schemas.openxmlformats.org/markup-compatibility/2006" xmlns:a14="http://schemas.microsoft.com/office/drawing/2010/main">
      <mc:Choice Requires="a14">
        <xdr:sp macro="" textlink="">
          <xdr:nvSpPr>
            <xdr:cNvPr id="41" name="CuadroTexto 40">
              <a:extLst>
                <a:ext uri="{FF2B5EF4-FFF2-40B4-BE49-F238E27FC236}">
                  <a16:creationId xmlns:a16="http://schemas.microsoft.com/office/drawing/2014/main" id="{00000000-0008-0000-0500-000029000000}"/>
                </a:ext>
              </a:extLst>
            </xdr:cNvPr>
            <xdr:cNvSpPr txBox="1"/>
          </xdr:nvSpPr>
          <xdr:spPr>
            <a:xfrm>
              <a:off x="9965267" y="30206951"/>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𝑼</m:t>
                  </m:r>
                  <m:r>
                    <a:rPr lang="es-CO" sz="1400" b="1" i="1">
                      <a:latin typeface="Cambria Math" panose="02040503050406030204" pitchFamily="18" charset="0"/>
                      <a:ea typeface="Cambria Math" panose="02040503050406030204" pitchFamily="18" charset="0"/>
                    </a:rPr>
                    <m:t> </m:t>
                  </m:r>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 </m:t>
                  </m:r>
                  <m:r>
                    <a:rPr lang="es-CO" sz="1400" b="1" i="1">
                      <a:latin typeface="Cambria Math" panose="02040503050406030204" pitchFamily="18" charset="0"/>
                      <a:ea typeface="Cambria Math" panose="02040503050406030204" pitchFamily="18" charset="0"/>
                    </a:rPr>
                    <m:t>𝒌</m:t>
                  </m:r>
                  <m:r>
                    <a:rPr lang="es-CO" sz="1400" b="1" i="1">
                      <a:latin typeface="Cambria Math" panose="02040503050406030204" pitchFamily="18" charset="0"/>
                      <a:ea typeface="Cambria Math" panose="02040503050406030204" pitchFamily="18" charset="0"/>
                    </a:rPr>
                    <m:t>=</m:t>
                  </m:r>
                  <m:r>
                    <a:rPr lang="es-CO" sz="1400" b="1" i="1">
                      <a:latin typeface="Cambria Math" panose="02040503050406030204" pitchFamily="18" charset="0"/>
                      <a:ea typeface="Cambria Math" panose="02040503050406030204" pitchFamily="18" charset="0"/>
                    </a:rPr>
                    <m:t>𝟐</m:t>
                  </m:r>
                </m:oMath>
              </a14:m>
              <a:r>
                <a:rPr lang="es-CO" sz="1400" b="1" i="1">
                  <a:latin typeface="Arial" panose="020B0604020202020204" pitchFamily="34" charset="0"/>
                  <a:cs typeface="Arial" panose="020B0604020202020204" pitchFamily="34" charset="0"/>
                </a:rPr>
                <a:t>)</a:t>
              </a:r>
            </a:p>
          </xdr:txBody>
        </xdr:sp>
      </mc:Choice>
      <mc:Fallback xmlns="">
        <xdr:sp macro="" textlink="">
          <xdr:nvSpPr>
            <xdr:cNvPr id="41" name="CuadroTexto 40">
              <a:extLst>
                <a:ext uri="{FF2B5EF4-FFF2-40B4-BE49-F238E27FC236}">
                  <a16:creationId xmlns:a16="http://schemas.microsoft.com/office/drawing/2014/main" id="{3CBC44EB-EF52-4651-93D7-AED70CE63EF5}"/>
                </a:ext>
              </a:extLst>
            </xdr:cNvPr>
            <xdr:cNvSpPr txBox="1"/>
          </xdr:nvSpPr>
          <xdr:spPr>
            <a:xfrm>
              <a:off x="9965267" y="30206951"/>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0">
                  <a:latin typeface="Cambria Math" panose="02040503050406030204" pitchFamily="18" charset="0"/>
                  <a:ea typeface="Cambria Math" panose="02040503050406030204" pitchFamily="18" charset="0"/>
                </a:rPr>
                <a:t>𝑼 ( 𝒎 𝒄𝒕 )  ( 𝒌=𝟐</a:t>
              </a:r>
              <a:r>
                <a:rPr lang="es-CO" sz="1400" b="1" i="1">
                  <a:latin typeface="Arial" panose="020B0604020202020204" pitchFamily="34" charset="0"/>
                  <a:cs typeface="Arial" panose="020B0604020202020204" pitchFamily="34" charset="0"/>
                </a:rPr>
                <a:t>)</a:t>
              </a:r>
            </a:p>
          </xdr:txBody>
        </xdr:sp>
      </mc:Fallback>
    </mc:AlternateContent>
    <xdr:clientData/>
  </xdr:oneCellAnchor>
  <xdr:oneCellAnchor>
    <xdr:from>
      <xdr:col>9</xdr:col>
      <xdr:colOff>603252</xdr:colOff>
      <xdr:row>74</xdr:row>
      <xdr:rowOff>84667</xdr:rowOff>
    </xdr:from>
    <xdr:ext cx="465666" cy="219163"/>
    <xdr:sp macro="" textlink="">
      <xdr:nvSpPr>
        <xdr:cNvPr id="42" name="CuadroTexto 41">
          <a:extLst>
            <a:ext uri="{FF2B5EF4-FFF2-40B4-BE49-F238E27FC236}">
              <a16:creationId xmlns:a16="http://schemas.microsoft.com/office/drawing/2014/main" id="{00000000-0008-0000-0500-00002A000000}"/>
            </a:ext>
          </a:extLst>
        </xdr:cNvPr>
        <xdr:cNvSpPr txBox="1"/>
      </xdr:nvSpPr>
      <xdr:spPr>
        <a:xfrm>
          <a:off x="10909302" y="30520217"/>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9</xdr:col>
      <xdr:colOff>571499</xdr:colOff>
      <xdr:row>75</xdr:row>
      <xdr:rowOff>116416</xdr:rowOff>
    </xdr:from>
    <xdr:ext cx="359835" cy="219163"/>
    <xdr:sp macro="" textlink="">
      <xdr:nvSpPr>
        <xdr:cNvPr id="43" name="CuadroTexto 42">
          <a:extLst>
            <a:ext uri="{FF2B5EF4-FFF2-40B4-BE49-F238E27FC236}">
              <a16:creationId xmlns:a16="http://schemas.microsoft.com/office/drawing/2014/main" id="{00000000-0008-0000-0500-00002B000000}"/>
            </a:ext>
          </a:extLst>
        </xdr:cNvPr>
        <xdr:cNvSpPr txBox="1"/>
      </xdr:nvSpPr>
      <xdr:spPr>
        <a:xfrm>
          <a:off x="10877549" y="30996466"/>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6</xdr:col>
      <xdr:colOff>275167</xdr:colOff>
      <xdr:row>74</xdr:row>
      <xdr:rowOff>148166</xdr:rowOff>
    </xdr:from>
    <xdr:ext cx="465666" cy="219163"/>
    <xdr:sp macro="" textlink="">
      <xdr:nvSpPr>
        <xdr:cNvPr id="44" name="CuadroTexto 43">
          <a:extLst>
            <a:ext uri="{FF2B5EF4-FFF2-40B4-BE49-F238E27FC236}">
              <a16:creationId xmlns:a16="http://schemas.microsoft.com/office/drawing/2014/main" id="{00000000-0008-0000-0500-00002C000000}"/>
            </a:ext>
          </a:extLst>
        </xdr:cNvPr>
        <xdr:cNvSpPr txBox="1"/>
      </xdr:nvSpPr>
      <xdr:spPr>
        <a:xfrm>
          <a:off x="6809317" y="30583716"/>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6</xdr:col>
      <xdr:colOff>328083</xdr:colOff>
      <xdr:row>75</xdr:row>
      <xdr:rowOff>84667</xdr:rowOff>
    </xdr:from>
    <xdr:ext cx="359835" cy="219163"/>
    <xdr:sp macro="" textlink="">
      <xdr:nvSpPr>
        <xdr:cNvPr id="45" name="CuadroTexto 44">
          <a:extLst>
            <a:ext uri="{FF2B5EF4-FFF2-40B4-BE49-F238E27FC236}">
              <a16:creationId xmlns:a16="http://schemas.microsoft.com/office/drawing/2014/main" id="{00000000-0008-0000-0500-00002D000000}"/>
            </a:ext>
          </a:extLst>
        </xdr:cNvPr>
        <xdr:cNvSpPr txBox="1"/>
      </xdr:nvSpPr>
      <xdr:spPr>
        <a:xfrm>
          <a:off x="6862233" y="30964717"/>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3</xdr:col>
      <xdr:colOff>560916</xdr:colOff>
      <xdr:row>72</xdr:row>
      <xdr:rowOff>74084</xdr:rowOff>
    </xdr:from>
    <xdr:ext cx="1524000" cy="210507"/>
    <mc:AlternateContent xmlns:mc="http://schemas.openxmlformats.org/markup-compatibility/2006" xmlns:a14="http://schemas.microsoft.com/office/drawing/2010/main">
      <mc:Choice Requires="a14">
        <xdr:sp macro="" textlink="">
          <xdr:nvSpPr>
            <xdr:cNvPr id="46" name="CuadroTexto 45">
              <a:extLst>
                <a:ext uri="{FF2B5EF4-FFF2-40B4-BE49-F238E27FC236}">
                  <a16:creationId xmlns:a16="http://schemas.microsoft.com/office/drawing/2014/main" id="{00000000-0008-0000-0500-00002E000000}"/>
                </a:ext>
              </a:extLst>
            </xdr:cNvPr>
            <xdr:cNvSpPr txBox="1"/>
          </xdr:nvSpPr>
          <xdr:spPr>
            <a:xfrm>
              <a:off x="3526366" y="29550784"/>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m:t>
                    </m:r>
                  </m:oMath>
                </m:oMathPara>
              </a14:m>
              <a:endParaRPr lang="es-CO" sz="1400" b="1" i="1">
                <a:latin typeface="Arial" panose="020B0604020202020204" pitchFamily="34" charset="0"/>
                <a:cs typeface="Arial" panose="020B0604020202020204" pitchFamily="34" charset="0"/>
              </a:endParaRPr>
            </a:p>
          </xdr:txBody>
        </xdr:sp>
      </mc:Choice>
      <mc:Fallback xmlns="">
        <xdr:sp macro="" textlink="">
          <xdr:nvSpPr>
            <xdr:cNvPr id="46" name="CuadroTexto 45">
              <a:extLst>
                <a:ext uri="{FF2B5EF4-FFF2-40B4-BE49-F238E27FC236}">
                  <a16:creationId xmlns:a16="http://schemas.microsoft.com/office/drawing/2014/main" id="{DF47491A-B5EE-4CC4-A318-292725AB04E7}"/>
                </a:ext>
              </a:extLst>
            </xdr:cNvPr>
            <xdr:cNvSpPr txBox="1"/>
          </xdr:nvSpPr>
          <xdr:spPr>
            <a:xfrm>
              <a:off x="3526366" y="29550784"/>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 𝒎 𝒄𝒕 )   </a:t>
              </a:r>
              <a:endParaRPr lang="es-CO" sz="1400" b="1" i="1">
                <a:latin typeface="Arial" panose="020B0604020202020204" pitchFamily="34" charset="0"/>
                <a:cs typeface="Arial" panose="020B0604020202020204" pitchFamily="34" charset="0"/>
              </a:endParaRPr>
            </a:p>
          </xdr:txBody>
        </xdr:sp>
      </mc:Fallback>
    </mc:AlternateContent>
    <xdr:clientData/>
  </xdr:oneCellAnchor>
  <xdr:oneCellAnchor>
    <xdr:from>
      <xdr:col>7</xdr:col>
      <xdr:colOff>411956</xdr:colOff>
      <xdr:row>71</xdr:row>
      <xdr:rowOff>406003</xdr:rowOff>
    </xdr:from>
    <xdr:ext cx="65" cy="172227"/>
    <xdr:sp macro="" textlink="">
      <xdr:nvSpPr>
        <xdr:cNvPr id="47" name="CuadroTexto 46">
          <a:extLst>
            <a:ext uri="{FF2B5EF4-FFF2-40B4-BE49-F238E27FC236}">
              <a16:creationId xmlns:a16="http://schemas.microsoft.com/office/drawing/2014/main" id="{00000000-0008-0000-0500-00002F000000}"/>
            </a:ext>
          </a:extLst>
        </xdr:cNvPr>
        <xdr:cNvSpPr txBox="1"/>
      </xdr:nvSpPr>
      <xdr:spPr>
        <a:xfrm>
          <a:off x="8044656" y="29457253"/>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49" name="CuadroTexto 48">
              <a:extLst>
                <a:ext uri="{FF2B5EF4-FFF2-40B4-BE49-F238E27FC236}">
                  <a16:creationId xmlns:a16="http://schemas.microsoft.com/office/drawing/2014/main" id="{00000000-0008-0000-0500-000031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49" name="CuadroTexto 48">
              <a:extLst>
                <a:ext uri="{FF2B5EF4-FFF2-40B4-BE49-F238E27FC236}">
                  <a16:creationId xmlns:a16="http://schemas.microsoft.com/office/drawing/2014/main" id="{6EC3100C-38DF-4D24-BB9B-62EEE857D0B6}"/>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50" name="CuadroTexto 49">
              <a:extLst>
                <a:ext uri="{FF2B5EF4-FFF2-40B4-BE49-F238E27FC236}">
                  <a16:creationId xmlns:a16="http://schemas.microsoft.com/office/drawing/2014/main" id="{00000000-0008-0000-0500-000032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50" name="CuadroTexto 49">
              <a:extLst>
                <a:ext uri="{FF2B5EF4-FFF2-40B4-BE49-F238E27FC236}">
                  <a16:creationId xmlns:a16="http://schemas.microsoft.com/office/drawing/2014/main" id="{D44AB906-F68C-472F-8814-EF181FDECE81}"/>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twoCellAnchor>
    <xdr:from>
      <xdr:col>7</xdr:col>
      <xdr:colOff>849312</xdr:colOff>
      <xdr:row>62</xdr:row>
      <xdr:rowOff>293687</xdr:rowOff>
    </xdr:from>
    <xdr:to>
      <xdr:col>11</xdr:col>
      <xdr:colOff>785811</xdr:colOff>
      <xdr:row>64</xdr:row>
      <xdr:rowOff>563562</xdr:rowOff>
    </xdr:to>
    <xdr:graphicFrame macro="">
      <xdr:nvGraphicFramePr>
        <xdr:cNvPr id="52" name="Gráfico 51">
          <a:extLst>
            <a:ext uri="{FF2B5EF4-FFF2-40B4-BE49-F238E27FC236}">
              <a16:creationId xmlns:a16="http://schemas.microsoft.com/office/drawing/2014/main" id="{00000000-0008-0000-0500-00003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238125</xdr:colOff>
      <xdr:row>0</xdr:row>
      <xdr:rowOff>59531</xdr:rowOff>
    </xdr:from>
    <xdr:to>
      <xdr:col>1</xdr:col>
      <xdr:colOff>578662</xdr:colOff>
      <xdr:row>0</xdr:row>
      <xdr:rowOff>675280</xdr:rowOff>
    </xdr:to>
    <xdr:pic>
      <xdr:nvPicPr>
        <xdr:cNvPr id="48" name="47 Imagen">
          <a:extLst>
            <a:ext uri="{FF2B5EF4-FFF2-40B4-BE49-F238E27FC236}">
              <a16:creationId xmlns:a16="http://schemas.microsoft.com/office/drawing/2014/main" id="{00000000-0008-0000-0500-000030000000}"/>
            </a:ext>
          </a:extLst>
        </xdr:cNvPr>
        <xdr:cNvPicPr>
          <a:picLocks noChangeAspect="1"/>
        </xdr:cNvPicPr>
      </xdr:nvPicPr>
      <xdr:blipFill>
        <a:blip xmlns:r="http://schemas.openxmlformats.org/officeDocument/2006/relationships" r:embed="rId2"/>
        <a:stretch>
          <a:fillRect/>
        </a:stretch>
      </xdr:blipFill>
      <xdr:spPr>
        <a:xfrm>
          <a:off x="238125" y="59531"/>
          <a:ext cx="1316850" cy="61574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oneCellAnchor>
    <xdr:from>
      <xdr:col>1</xdr:col>
      <xdr:colOff>285935</xdr:colOff>
      <xdr:row>42</xdr:row>
      <xdr:rowOff>169517</xdr:rowOff>
    </xdr:from>
    <xdr:ext cx="177356" cy="176202"/>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00000000-0008-0000-0600-000003000000}"/>
                </a:ext>
              </a:extLst>
            </xdr:cNvPr>
            <xdr:cNvSpPr txBox="1"/>
          </xdr:nvSpPr>
          <xdr:spPr>
            <a:xfrm>
              <a:off x="1314635" y="14958667"/>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bg1"/>
                            </a:solidFill>
                            <a:latin typeface="Cambria Math" panose="02040503050406030204" pitchFamily="18" charset="0"/>
                          </a:rPr>
                        </m:ctrlPr>
                      </m:accPr>
                      <m:e>
                        <m:r>
                          <a:rPr lang="es-CO" sz="1100" b="1" i="1">
                            <a:solidFill>
                              <a:schemeClr val="bg1"/>
                            </a:solidFill>
                            <a:latin typeface="Cambria Math" panose="02040503050406030204" pitchFamily="18" charset="0"/>
                            <a:ea typeface="Cambria Math" panose="02040503050406030204" pitchFamily="18" charset="0"/>
                          </a:rPr>
                          <m:t>∆</m:t>
                        </m:r>
                        <m:r>
                          <a:rPr lang="es-CO" sz="1100" b="1" i="1">
                            <a:solidFill>
                              <a:schemeClr val="bg1"/>
                            </a:solidFill>
                            <a:latin typeface="Cambria Math" panose="02040503050406030204" pitchFamily="18" charset="0"/>
                            <a:ea typeface="Cambria Math" panose="02040503050406030204" pitchFamily="18" charset="0"/>
                          </a:rPr>
                          <m:t>𝑰</m:t>
                        </m:r>
                      </m:e>
                    </m:acc>
                  </m:oMath>
                </m:oMathPara>
              </a14:m>
              <a:endParaRPr lang="es-CO" sz="1100" b="1">
                <a:solidFill>
                  <a:schemeClr val="bg1"/>
                </a:solidFill>
              </a:endParaRPr>
            </a:p>
          </xdr:txBody>
        </xdr:sp>
      </mc:Choice>
      <mc:Fallback xmlns="">
        <xdr:sp macro="" textlink="">
          <xdr:nvSpPr>
            <xdr:cNvPr id="3" name="CuadroTexto 2">
              <a:extLst>
                <a:ext uri="{FF2B5EF4-FFF2-40B4-BE49-F238E27FC236}">
                  <a16:creationId xmlns:a16="http://schemas.microsoft.com/office/drawing/2014/main" id="{A1322FC5-865E-4746-A284-04BBE60E8E3A}"/>
                </a:ext>
              </a:extLst>
            </xdr:cNvPr>
            <xdr:cNvSpPr txBox="1"/>
          </xdr:nvSpPr>
          <xdr:spPr>
            <a:xfrm>
              <a:off x="1314635" y="14958667"/>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bg1"/>
                  </a:solidFill>
                  <a:latin typeface="Cambria Math" panose="02040503050406030204" pitchFamily="18" charset="0"/>
                </a:rPr>
                <a:t>(</a:t>
              </a:r>
              <a:r>
                <a:rPr lang="es-CO" sz="1100" b="1" i="0">
                  <a:solidFill>
                    <a:schemeClr val="bg1"/>
                  </a:solidFill>
                  <a:latin typeface="Cambria Math" panose="02040503050406030204" pitchFamily="18" charset="0"/>
                  <a:ea typeface="Cambria Math" panose="02040503050406030204" pitchFamily="18" charset="0"/>
                </a:rPr>
                <a:t>∆𝑰) ̅</a:t>
              </a:r>
              <a:endParaRPr lang="es-CO" sz="1100" b="1">
                <a:solidFill>
                  <a:schemeClr val="bg1"/>
                </a:solidFill>
              </a:endParaRPr>
            </a:p>
          </xdr:txBody>
        </xdr:sp>
      </mc:Fallback>
    </mc:AlternateContent>
    <xdr:clientData/>
  </xdr:oneCellAnchor>
  <xdr:oneCellAnchor>
    <xdr:from>
      <xdr:col>1</xdr:col>
      <xdr:colOff>136732</xdr:colOff>
      <xdr:row>58</xdr:row>
      <xdr:rowOff>253032</xdr:rowOff>
    </xdr:from>
    <xdr:ext cx="599716" cy="172227"/>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id="{00000000-0008-0000-0600-000004000000}"/>
                </a:ext>
              </a:extLst>
            </xdr:cNvPr>
            <xdr:cNvSpPr txBox="1"/>
          </xdr:nvSpPr>
          <xdr:spPr>
            <a:xfrm>
              <a:off x="1165432" y="20750832"/>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𝒘</m:t>
                        </m:r>
                      </m:sub>
                    </m:sSub>
                    <m:r>
                      <a:rPr lang="es-CO" sz="1100" b="1" i="1">
                        <a:latin typeface="Cambria Math" panose="02040503050406030204" pitchFamily="18" charset="0"/>
                      </a:rPr>
                      <m:t>(</m:t>
                    </m:r>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4" name="CuadroTexto 3">
              <a:extLst>
                <a:ext uri="{FF2B5EF4-FFF2-40B4-BE49-F238E27FC236}">
                  <a16:creationId xmlns:a16="http://schemas.microsoft.com/office/drawing/2014/main" id="{068BF250-DEF7-4B18-8035-9E05AC7C7DD6}"/>
                </a:ext>
              </a:extLst>
            </xdr:cNvPr>
            <xdr:cNvSpPr txBox="1"/>
          </xdr:nvSpPr>
          <xdr:spPr>
            <a:xfrm>
              <a:off x="1165432" y="20750832"/>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𝒖_𝒘 (</a:t>
              </a: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1</xdr:col>
      <xdr:colOff>202651</xdr:colOff>
      <xdr:row>61</xdr:row>
      <xdr:rowOff>265287</xdr:rowOff>
    </xdr:from>
    <xdr:ext cx="483915" cy="172227"/>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id="{00000000-0008-0000-0600-000005000000}"/>
                </a:ext>
              </a:extLst>
            </xdr:cNvPr>
            <xdr:cNvSpPr txBox="1"/>
          </xdr:nvSpPr>
          <xdr:spPr>
            <a:xfrm>
              <a:off x="1231351" y="2297288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5" name="CuadroTexto 4">
              <a:extLst>
                <a:ext uri="{FF2B5EF4-FFF2-40B4-BE49-F238E27FC236}">
                  <a16:creationId xmlns:a16="http://schemas.microsoft.com/office/drawing/2014/main" id="{AFE39919-2397-4A24-B65E-748413696F15}"/>
                </a:ext>
              </a:extLst>
            </xdr:cNvPr>
            <xdr:cNvSpPr txBox="1"/>
          </xdr:nvSpPr>
          <xdr:spPr>
            <a:xfrm>
              <a:off x="1231351" y="2297288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𝒖(𝒎_𝒄𝒓)</a:t>
              </a:r>
              <a:endParaRPr lang="es-CO" sz="1100" b="1"/>
            </a:p>
          </xdr:txBody>
        </xdr:sp>
      </mc:Fallback>
    </mc:AlternateContent>
    <xdr:clientData/>
  </xdr:oneCellAnchor>
  <xdr:oneCellAnchor>
    <xdr:from>
      <xdr:col>1</xdr:col>
      <xdr:colOff>34166</xdr:colOff>
      <xdr:row>60</xdr:row>
      <xdr:rowOff>250203</xdr:rowOff>
    </xdr:from>
    <xdr:ext cx="689483" cy="172227"/>
    <mc:AlternateContent xmlns:mc="http://schemas.openxmlformats.org/markup-compatibility/2006" xmlns:a14="http://schemas.microsoft.com/office/drawing/2010/main">
      <mc:Choice Requires="a14">
        <xdr:sp macro="" textlink="">
          <xdr:nvSpPr>
            <xdr:cNvPr id="6" name="CuadroTexto 5">
              <a:extLst>
                <a:ext uri="{FF2B5EF4-FFF2-40B4-BE49-F238E27FC236}">
                  <a16:creationId xmlns:a16="http://schemas.microsoft.com/office/drawing/2014/main" id="{00000000-0008-0000-0600-000006000000}"/>
                </a:ext>
              </a:extLst>
            </xdr:cNvPr>
            <xdr:cNvSpPr txBox="1"/>
          </xdr:nvSpPr>
          <xdr:spPr>
            <a:xfrm>
              <a:off x="1062866" y="22221203"/>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𝒊𝒏𝒔𝒕</m:t>
                        </m:r>
                      </m:sub>
                    </m:sSub>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0" i="1">
                        <a:latin typeface="Cambria Math" panose="02040503050406030204" pitchFamily="18" charset="0"/>
                      </a:rPr>
                      <m:t>)</m:t>
                    </m:r>
                  </m:oMath>
                </m:oMathPara>
              </a14:m>
              <a:endParaRPr lang="es-CO" sz="1100"/>
            </a:p>
          </xdr:txBody>
        </xdr:sp>
      </mc:Choice>
      <mc:Fallback xmlns="">
        <xdr:sp macro="" textlink="">
          <xdr:nvSpPr>
            <xdr:cNvPr id="6" name="CuadroTexto 5">
              <a:extLst>
                <a:ext uri="{FF2B5EF4-FFF2-40B4-BE49-F238E27FC236}">
                  <a16:creationId xmlns:a16="http://schemas.microsoft.com/office/drawing/2014/main" id="{E15C34A5-8E2F-4D66-8E53-896D868170E2}"/>
                </a:ext>
              </a:extLst>
            </xdr:cNvPr>
            <xdr:cNvSpPr txBox="1"/>
          </xdr:nvSpPr>
          <xdr:spPr>
            <a:xfrm>
              <a:off x="1062866" y="22221203"/>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𝒖_𝒊𝒏𝒔𝒕 (𝒎_𝒄𝒓</a:t>
              </a:r>
              <a:r>
                <a:rPr lang="es-CO" sz="1100" b="0" i="0">
                  <a:latin typeface="Cambria Math" panose="02040503050406030204" pitchFamily="18" charset="0"/>
                </a:rPr>
                <a:t>)</a:t>
              </a:r>
              <a:endParaRPr lang="es-CO" sz="1100"/>
            </a:p>
          </xdr:txBody>
        </xdr:sp>
      </mc:Fallback>
    </mc:AlternateContent>
    <xdr:clientData/>
  </xdr:oneCellAnchor>
  <xdr:oneCellAnchor>
    <xdr:from>
      <xdr:col>1</xdr:col>
      <xdr:colOff>183870</xdr:colOff>
      <xdr:row>62</xdr:row>
      <xdr:rowOff>264645</xdr:rowOff>
    </xdr:from>
    <xdr:ext cx="397353" cy="172227"/>
    <mc:AlternateContent xmlns:mc="http://schemas.openxmlformats.org/markup-compatibility/2006" xmlns:a14="http://schemas.microsoft.com/office/drawing/2010/main">
      <mc:Choice Requires="a14">
        <xdr:sp macro="" textlink="">
          <xdr:nvSpPr>
            <xdr:cNvPr id="7" name="CuadroTexto 6">
              <a:extLst>
                <a:ext uri="{FF2B5EF4-FFF2-40B4-BE49-F238E27FC236}">
                  <a16:creationId xmlns:a16="http://schemas.microsoft.com/office/drawing/2014/main" id="{00000000-0008-0000-0600-000007000000}"/>
                </a:ext>
              </a:extLst>
            </xdr:cNvPr>
            <xdr:cNvSpPr txBox="1"/>
          </xdr:nvSpPr>
          <xdr:spPr>
            <a:xfrm>
              <a:off x="1212570" y="23708845"/>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𝒂</m:t>
                        </m:r>
                      </m:sub>
                    </m:sSub>
                    <m:r>
                      <a:rPr lang="es-CO" sz="1100" b="1" i="1">
                        <a:latin typeface="Cambria Math" panose="02040503050406030204" pitchFamily="18" charset="0"/>
                      </a:rPr>
                      <m:t>)</m:t>
                    </m:r>
                  </m:oMath>
                </m:oMathPara>
              </a14:m>
              <a:endParaRPr lang="es-CO" sz="1100" b="1"/>
            </a:p>
          </xdr:txBody>
        </xdr:sp>
      </mc:Choice>
      <mc:Fallback xmlns="">
        <xdr:sp macro="" textlink="">
          <xdr:nvSpPr>
            <xdr:cNvPr id="7" name="CuadroTexto 6">
              <a:extLst>
                <a:ext uri="{FF2B5EF4-FFF2-40B4-BE49-F238E27FC236}">
                  <a16:creationId xmlns:a16="http://schemas.microsoft.com/office/drawing/2014/main" id="{7CB71CCB-B177-4293-B32E-4A5B25C39862}"/>
                </a:ext>
              </a:extLst>
            </xdr:cNvPr>
            <xdr:cNvSpPr txBox="1"/>
          </xdr:nvSpPr>
          <xdr:spPr>
            <a:xfrm>
              <a:off x="1212570" y="23708845"/>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𝒂)</a:t>
              </a:r>
              <a:endParaRPr lang="es-CO" sz="1100" b="1"/>
            </a:p>
          </xdr:txBody>
        </xdr:sp>
      </mc:Fallback>
    </mc:AlternateContent>
    <xdr:clientData/>
  </xdr:oneCellAnchor>
  <xdr:oneCellAnchor>
    <xdr:from>
      <xdr:col>1</xdr:col>
      <xdr:colOff>186298</xdr:colOff>
      <xdr:row>63</xdr:row>
      <xdr:rowOff>266606</xdr:rowOff>
    </xdr:from>
    <xdr:ext cx="376642" cy="172227"/>
    <mc:AlternateContent xmlns:mc="http://schemas.openxmlformats.org/markup-compatibility/2006" xmlns:a14="http://schemas.microsoft.com/office/drawing/2010/main">
      <mc:Choice Requires="a14">
        <xdr:sp macro="" textlink="">
          <xdr:nvSpPr>
            <xdr:cNvPr id="8" name="CuadroTexto 7">
              <a:extLst>
                <a:ext uri="{FF2B5EF4-FFF2-40B4-BE49-F238E27FC236}">
                  <a16:creationId xmlns:a16="http://schemas.microsoft.com/office/drawing/2014/main" id="{00000000-0008-0000-0600-000008000000}"/>
                </a:ext>
              </a:extLst>
            </xdr:cNvPr>
            <xdr:cNvSpPr txBox="1"/>
          </xdr:nvSpPr>
          <xdr:spPr>
            <a:xfrm>
              <a:off x="1214998" y="244474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𝒕</m:t>
                        </m:r>
                      </m:sub>
                    </m:sSub>
                    <m:r>
                      <a:rPr lang="es-CO" sz="1100" b="1" i="1">
                        <a:latin typeface="Cambria Math" panose="02040503050406030204" pitchFamily="18" charset="0"/>
                      </a:rPr>
                      <m:t>)</m:t>
                    </m:r>
                  </m:oMath>
                </m:oMathPara>
              </a14:m>
              <a:endParaRPr lang="es-CO" sz="1100" b="1"/>
            </a:p>
          </xdr:txBody>
        </xdr:sp>
      </mc:Choice>
      <mc:Fallback xmlns="">
        <xdr:sp macro="" textlink="">
          <xdr:nvSpPr>
            <xdr:cNvPr id="8" name="CuadroTexto 7">
              <a:extLst>
                <a:ext uri="{FF2B5EF4-FFF2-40B4-BE49-F238E27FC236}">
                  <a16:creationId xmlns:a16="http://schemas.microsoft.com/office/drawing/2014/main" id="{AFACB4EE-0D4B-40BD-A227-E8E1CDBB61F7}"/>
                </a:ext>
              </a:extLst>
            </xdr:cNvPr>
            <xdr:cNvSpPr txBox="1"/>
          </xdr:nvSpPr>
          <xdr:spPr>
            <a:xfrm>
              <a:off x="1214998" y="244474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𝒕)</a:t>
              </a:r>
              <a:endParaRPr lang="es-CO" sz="1100" b="1"/>
            </a:p>
          </xdr:txBody>
        </xdr:sp>
      </mc:Fallback>
    </mc:AlternateContent>
    <xdr:clientData/>
  </xdr:oneCellAnchor>
  <xdr:oneCellAnchor>
    <xdr:from>
      <xdr:col>1</xdr:col>
      <xdr:colOff>186298</xdr:colOff>
      <xdr:row>64</xdr:row>
      <xdr:rowOff>222250</xdr:rowOff>
    </xdr:from>
    <xdr:ext cx="388696" cy="172227"/>
    <mc:AlternateContent xmlns:mc="http://schemas.openxmlformats.org/markup-compatibility/2006" xmlns:a14="http://schemas.microsoft.com/office/drawing/2010/main">
      <mc:Choice Requires="a14">
        <xdr:sp macro="" textlink="">
          <xdr:nvSpPr>
            <xdr:cNvPr id="9" name="CuadroTexto 8">
              <a:extLst>
                <a:ext uri="{FF2B5EF4-FFF2-40B4-BE49-F238E27FC236}">
                  <a16:creationId xmlns:a16="http://schemas.microsoft.com/office/drawing/2014/main" id="{00000000-0008-0000-0600-000009000000}"/>
                </a:ext>
              </a:extLst>
            </xdr:cNvPr>
            <xdr:cNvSpPr txBox="1"/>
          </xdr:nvSpPr>
          <xdr:spPr>
            <a:xfrm>
              <a:off x="1214998" y="25139650"/>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9" name="CuadroTexto 8">
              <a:extLst>
                <a:ext uri="{FF2B5EF4-FFF2-40B4-BE49-F238E27FC236}">
                  <a16:creationId xmlns:a16="http://schemas.microsoft.com/office/drawing/2014/main" id="{0FF13CB0-D644-49A5-A872-9939FF7CC489}"/>
                </a:ext>
              </a:extLst>
            </xdr:cNvPr>
            <xdr:cNvSpPr txBox="1"/>
          </xdr:nvSpPr>
          <xdr:spPr>
            <a:xfrm>
              <a:off x="1214998" y="25139650"/>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𝒓)</a:t>
              </a:r>
              <a:endParaRPr lang="es-CO" sz="1100" b="1"/>
            </a:p>
          </xdr:txBody>
        </xdr:sp>
      </mc:Fallback>
    </mc:AlternateContent>
    <xdr:clientData/>
  </xdr:oneCellAnchor>
  <xdr:oneCellAnchor>
    <xdr:from>
      <xdr:col>1</xdr:col>
      <xdr:colOff>265579</xdr:colOff>
      <xdr:row>65</xdr:row>
      <xdr:rowOff>288458</xdr:rowOff>
    </xdr:from>
    <xdr:ext cx="191271" cy="172227"/>
    <mc:AlternateContent xmlns:mc="http://schemas.openxmlformats.org/markup-compatibility/2006" xmlns:a14="http://schemas.microsoft.com/office/drawing/2010/main">
      <mc:Choice Requires="a14">
        <xdr:sp macro="" textlink="">
          <xdr:nvSpPr>
            <xdr:cNvPr id="10" name="CuadroTexto 9">
              <a:extLst>
                <a:ext uri="{FF2B5EF4-FFF2-40B4-BE49-F238E27FC236}">
                  <a16:creationId xmlns:a16="http://schemas.microsoft.com/office/drawing/2014/main" id="{00000000-0008-0000-0600-00000A000000}"/>
                </a:ext>
              </a:extLst>
            </xdr:cNvPr>
            <xdr:cNvSpPr txBox="1"/>
          </xdr:nvSpPr>
          <xdr:spPr>
            <a:xfrm>
              <a:off x="1294279" y="2594245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𝒃</m:t>
                        </m:r>
                      </m:sub>
                    </m:sSub>
                  </m:oMath>
                </m:oMathPara>
              </a14:m>
              <a:endParaRPr lang="es-CO" sz="1100" b="1"/>
            </a:p>
          </xdr:txBody>
        </xdr:sp>
      </mc:Choice>
      <mc:Fallback xmlns="">
        <xdr:sp macro="" textlink="">
          <xdr:nvSpPr>
            <xdr:cNvPr id="10" name="CuadroTexto 9">
              <a:extLst>
                <a:ext uri="{FF2B5EF4-FFF2-40B4-BE49-F238E27FC236}">
                  <a16:creationId xmlns:a16="http://schemas.microsoft.com/office/drawing/2014/main" id="{ECE70493-929F-443B-91C7-DDFE96577C0D}"/>
                </a:ext>
              </a:extLst>
            </xdr:cNvPr>
            <xdr:cNvSpPr txBox="1"/>
          </xdr:nvSpPr>
          <xdr:spPr>
            <a:xfrm>
              <a:off x="1294279" y="2594245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𝒖_𝒃</a:t>
              </a:r>
              <a:endParaRPr lang="es-CO" sz="1100" b="1"/>
            </a:p>
          </xdr:txBody>
        </xdr:sp>
      </mc:Fallback>
    </mc:AlternateContent>
    <xdr:clientData/>
  </xdr:oneCellAnchor>
  <xdr:oneCellAnchor>
    <xdr:from>
      <xdr:col>1</xdr:col>
      <xdr:colOff>261391</xdr:colOff>
      <xdr:row>66</xdr:row>
      <xdr:rowOff>294234</xdr:rowOff>
    </xdr:from>
    <xdr:ext cx="195053" cy="172227"/>
    <mc:AlternateContent xmlns:mc="http://schemas.openxmlformats.org/markup-compatibility/2006" xmlns:a14="http://schemas.microsoft.com/office/drawing/2010/main">
      <mc:Choice Requires="a14">
        <xdr:sp macro="" textlink="">
          <xdr:nvSpPr>
            <xdr:cNvPr id="11" name="CuadroTexto 10">
              <a:extLst>
                <a:ext uri="{FF2B5EF4-FFF2-40B4-BE49-F238E27FC236}">
                  <a16:creationId xmlns:a16="http://schemas.microsoft.com/office/drawing/2014/main" id="{00000000-0008-0000-0600-00000B000000}"/>
                </a:ext>
              </a:extLst>
            </xdr:cNvPr>
            <xdr:cNvSpPr txBox="1"/>
          </xdr:nvSpPr>
          <xdr:spPr>
            <a:xfrm>
              <a:off x="1290091" y="26684834"/>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𝒅</m:t>
                        </m:r>
                      </m:sub>
                    </m:sSub>
                  </m:oMath>
                </m:oMathPara>
              </a14:m>
              <a:endParaRPr lang="es-CO" sz="1100" b="1"/>
            </a:p>
          </xdr:txBody>
        </xdr:sp>
      </mc:Choice>
      <mc:Fallback xmlns="">
        <xdr:sp macro="" textlink="">
          <xdr:nvSpPr>
            <xdr:cNvPr id="11" name="CuadroTexto 10">
              <a:extLst>
                <a:ext uri="{FF2B5EF4-FFF2-40B4-BE49-F238E27FC236}">
                  <a16:creationId xmlns:a16="http://schemas.microsoft.com/office/drawing/2014/main" id="{1E134E33-23F7-4370-84D3-BB16C7E1D87F}"/>
                </a:ext>
              </a:extLst>
            </xdr:cNvPr>
            <xdr:cNvSpPr txBox="1"/>
          </xdr:nvSpPr>
          <xdr:spPr>
            <a:xfrm>
              <a:off x="1290091" y="26684834"/>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𝒖_𝒅</a:t>
              </a:r>
              <a:endParaRPr lang="es-CO" sz="1100" b="1"/>
            </a:p>
          </xdr:txBody>
        </xdr:sp>
      </mc:Fallback>
    </mc:AlternateContent>
    <xdr:clientData/>
  </xdr:oneCellAnchor>
  <xdr:oneCellAnchor>
    <xdr:from>
      <xdr:col>5</xdr:col>
      <xdr:colOff>393571</xdr:colOff>
      <xdr:row>69</xdr:row>
      <xdr:rowOff>265119</xdr:rowOff>
    </xdr:from>
    <xdr:ext cx="529697" cy="172227"/>
    <mc:AlternateContent xmlns:mc="http://schemas.openxmlformats.org/markup-compatibility/2006" xmlns:a14="http://schemas.microsoft.com/office/drawing/2010/main">
      <mc:Choice Requires="a14">
        <xdr:sp macro="" textlink="">
          <xdr:nvSpPr>
            <xdr:cNvPr id="12" name="CuadroTexto 11">
              <a:extLst>
                <a:ext uri="{FF2B5EF4-FFF2-40B4-BE49-F238E27FC236}">
                  <a16:creationId xmlns:a16="http://schemas.microsoft.com/office/drawing/2014/main" id="{00000000-0008-0000-0600-00000C000000}"/>
                </a:ext>
              </a:extLst>
            </xdr:cNvPr>
            <xdr:cNvSpPr txBox="1"/>
          </xdr:nvSpPr>
          <xdr:spPr>
            <a:xfrm>
              <a:off x="5632321" y="28217819"/>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𝒄</m:t>
                        </m:r>
                      </m:sub>
                    </m:sSub>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12" name="CuadroTexto 11">
              <a:extLst>
                <a:ext uri="{FF2B5EF4-FFF2-40B4-BE49-F238E27FC236}">
                  <a16:creationId xmlns:a16="http://schemas.microsoft.com/office/drawing/2014/main" id="{F02CCE08-D3BF-49AF-B981-F3D4B95154B8}"/>
                </a:ext>
              </a:extLst>
            </xdr:cNvPr>
            <xdr:cNvSpPr txBox="1"/>
          </xdr:nvSpPr>
          <xdr:spPr>
            <a:xfrm>
              <a:off x="5632321" y="28217819"/>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𝒖_𝒄 (</a:t>
              </a:r>
              <a:r>
                <a:rPr lang="es-CO" sz="1100" b="1" i="0">
                  <a:latin typeface="Cambria Math" panose="02040503050406030204" pitchFamily="18" charset="0"/>
                  <a:ea typeface="Cambria Math" panose="02040503050406030204" pitchFamily="18" charset="0"/>
                </a:rPr>
                <a:t>𝒎_𝒄𝒕)</a:t>
              </a:r>
              <a:endParaRPr lang="es-CO" sz="1100" b="1"/>
            </a:p>
          </xdr:txBody>
        </xdr:sp>
      </mc:Fallback>
    </mc:AlternateContent>
    <xdr:clientData/>
  </xdr:oneCellAnchor>
  <xdr:oneCellAnchor>
    <xdr:from>
      <xdr:col>5</xdr:col>
      <xdr:colOff>243965</xdr:colOff>
      <xdr:row>70</xdr:row>
      <xdr:rowOff>130277</xdr:rowOff>
    </xdr:from>
    <xdr:ext cx="780598" cy="172227"/>
    <mc:AlternateContent xmlns:mc="http://schemas.openxmlformats.org/markup-compatibility/2006" xmlns:a14="http://schemas.microsoft.com/office/drawing/2010/main">
      <mc:Choice Requires="a14">
        <xdr:sp macro="" textlink="">
          <xdr:nvSpPr>
            <xdr:cNvPr id="13" name="CuadroTexto 12">
              <a:extLst>
                <a:ext uri="{FF2B5EF4-FFF2-40B4-BE49-F238E27FC236}">
                  <a16:creationId xmlns:a16="http://schemas.microsoft.com/office/drawing/2014/main" id="{00000000-0008-0000-0600-00000D000000}"/>
                </a:ext>
              </a:extLst>
            </xdr:cNvPr>
            <xdr:cNvSpPr txBox="1"/>
          </xdr:nvSpPr>
          <xdr:spPr>
            <a:xfrm>
              <a:off x="5482715" y="2873702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100" b="1" i="1">
                      <a:latin typeface="Cambria Math" panose="02040503050406030204" pitchFamily="18" charset="0"/>
                    </a:rPr>
                    <m:t>𝑼</m:t>
                  </m:r>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a14:m>
              <a:r>
                <a:rPr lang="es-CO" sz="1100" b="1"/>
                <a:t> (k=2)</a:t>
              </a:r>
            </a:p>
          </xdr:txBody>
        </xdr:sp>
      </mc:Choice>
      <mc:Fallback xmlns="">
        <xdr:sp macro="" textlink="">
          <xdr:nvSpPr>
            <xdr:cNvPr id="13" name="CuadroTexto 12">
              <a:extLst>
                <a:ext uri="{FF2B5EF4-FFF2-40B4-BE49-F238E27FC236}">
                  <a16:creationId xmlns:a16="http://schemas.microsoft.com/office/drawing/2014/main" id="{AAC0DEA5-B920-472D-A661-C2AAF9EC33AA}"/>
                </a:ext>
              </a:extLst>
            </xdr:cNvPr>
            <xdr:cNvSpPr txBox="1"/>
          </xdr:nvSpPr>
          <xdr:spPr>
            <a:xfrm>
              <a:off x="5482715" y="2873702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100" b="1" i="0">
                  <a:latin typeface="Cambria Math" panose="02040503050406030204" pitchFamily="18" charset="0"/>
                </a:rPr>
                <a:t>𝑼(</a:t>
              </a:r>
              <a:r>
                <a:rPr lang="es-CO" sz="1100" b="1" i="0">
                  <a:latin typeface="Cambria Math" panose="02040503050406030204" pitchFamily="18" charset="0"/>
                  <a:ea typeface="Cambria Math" panose="02040503050406030204" pitchFamily="18" charset="0"/>
                </a:rPr>
                <a:t>𝒎_𝒄𝒕)</a:t>
              </a:r>
              <a:r>
                <a:rPr lang="es-CO" sz="1100" b="1"/>
                <a:t> (k=2)</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14" name="CuadroTexto 13">
              <a:extLst>
                <a:ext uri="{FF2B5EF4-FFF2-40B4-BE49-F238E27FC236}">
                  <a16:creationId xmlns:a16="http://schemas.microsoft.com/office/drawing/2014/main" id="{00000000-0008-0000-0600-00000E000000}"/>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14" name="CuadroTexto 13">
              <a:extLst>
                <a:ext uri="{FF2B5EF4-FFF2-40B4-BE49-F238E27FC236}">
                  <a16:creationId xmlns:a16="http://schemas.microsoft.com/office/drawing/2014/main" id="{814DC7EB-2CEA-4BF2-905F-0ECF119EBE31}"/>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8</xdr:col>
      <xdr:colOff>541269</xdr:colOff>
      <xdr:row>52</xdr:row>
      <xdr:rowOff>78683</xdr:rowOff>
    </xdr:from>
    <xdr:ext cx="304571" cy="172227"/>
    <mc:AlternateContent xmlns:mc="http://schemas.openxmlformats.org/markup-compatibility/2006" xmlns:a14="http://schemas.microsoft.com/office/drawing/2010/main">
      <mc:Choice Requires="a14">
        <xdr:sp macro="" textlink="">
          <xdr:nvSpPr>
            <xdr:cNvPr id="15" name="CuadroTexto 14">
              <a:extLst>
                <a:ext uri="{FF2B5EF4-FFF2-40B4-BE49-F238E27FC236}">
                  <a16:creationId xmlns:a16="http://schemas.microsoft.com/office/drawing/2014/main" id="{00000000-0008-0000-0600-00000F000000}"/>
                </a:ext>
              </a:extLst>
            </xdr:cNvPr>
            <xdr:cNvSpPr txBox="1"/>
          </xdr:nvSpPr>
          <xdr:spPr>
            <a:xfrm>
              <a:off x="9882119" y="18595283"/>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oMath>
                </m:oMathPara>
              </a14:m>
              <a:endParaRPr lang="es-CO" sz="1100" b="1"/>
            </a:p>
          </xdr:txBody>
        </xdr:sp>
      </mc:Choice>
      <mc:Fallback xmlns="">
        <xdr:sp macro="" textlink="">
          <xdr:nvSpPr>
            <xdr:cNvPr id="15" name="CuadroTexto 14">
              <a:extLst>
                <a:ext uri="{FF2B5EF4-FFF2-40B4-BE49-F238E27FC236}">
                  <a16:creationId xmlns:a16="http://schemas.microsoft.com/office/drawing/2014/main" id="{7E4AEC2B-0874-48CC-A7BB-5C0942C8BFB7}"/>
                </a:ext>
              </a:extLst>
            </xdr:cNvPr>
            <xdr:cNvSpPr txBox="1"/>
          </xdr:nvSpPr>
          <xdr:spPr>
            <a:xfrm>
              <a:off x="9882119" y="18595283"/>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4</xdr:col>
      <xdr:colOff>155713</xdr:colOff>
      <xdr:row>39</xdr:row>
      <xdr:rowOff>106017</xdr:rowOff>
    </xdr:from>
    <xdr:ext cx="65" cy="172227"/>
    <xdr:sp macro="" textlink="">
      <xdr:nvSpPr>
        <xdr:cNvPr id="16" name="CuadroTexto 15">
          <a:extLst>
            <a:ext uri="{FF2B5EF4-FFF2-40B4-BE49-F238E27FC236}">
              <a16:creationId xmlns:a16="http://schemas.microsoft.com/office/drawing/2014/main" id="{00000000-0008-0000-0600-000010000000}"/>
            </a:ext>
          </a:extLst>
        </xdr:cNvPr>
        <xdr:cNvSpPr txBox="1"/>
      </xdr:nvSpPr>
      <xdr:spPr>
        <a:xfrm>
          <a:off x="4308613" y="1369501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17" name="CuadroTexto 16">
              <a:extLst>
                <a:ext uri="{FF2B5EF4-FFF2-40B4-BE49-F238E27FC236}">
                  <a16:creationId xmlns:a16="http://schemas.microsoft.com/office/drawing/2014/main" id="{00000000-0008-0000-0600-000011000000}"/>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7" name="CuadroTexto 16">
              <a:extLst>
                <a:ext uri="{FF2B5EF4-FFF2-40B4-BE49-F238E27FC236}">
                  <a16:creationId xmlns:a16="http://schemas.microsoft.com/office/drawing/2014/main" id="{747C0722-9ADA-4721-8E66-4A8ED5BA43A8}"/>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18" name="CuadroTexto 17">
              <a:extLst>
                <a:ext uri="{FF2B5EF4-FFF2-40B4-BE49-F238E27FC236}">
                  <a16:creationId xmlns:a16="http://schemas.microsoft.com/office/drawing/2014/main" id="{00000000-0008-0000-0600-000012000000}"/>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18" name="CuadroTexto 17">
              <a:extLst>
                <a:ext uri="{FF2B5EF4-FFF2-40B4-BE49-F238E27FC236}">
                  <a16:creationId xmlns:a16="http://schemas.microsoft.com/office/drawing/2014/main" id="{1DF7F500-B711-478F-9AA8-6A9006CCC4AB}"/>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19" name="CuadroTexto 18">
              <a:extLst>
                <a:ext uri="{FF2B5EF4-FFF2-40B4-BE49-F238E27FC236}">
                  <a16:creationId xmlns:a16="http://schemas.microsoft.com/office/drawing/2014/main" id="{00000000-0008-0000-0600-000013000000}"/>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9" name="CuadroTexto 18">
              <a:extLst>
                <a:ext uri="{FF2B5EF4-FFF2-40B4-BE49-F238E27FC236}">
                  <a16:creationId xmlns:a16="http://schemas.microsoft.com/office/drawing/2014/main" id="{BFC76F9E-C8AB-4BBC-961B-3538578553B7}"/>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0" name="CuadroTexto 19">
              <a:extLst>
                <a:ext uri="{FF2B5EF4-FFF2-40B4-BE49-F238E27FC236}">
                  <a16:creationId xmlns:a16="http://schemas.microsoft.com/office/drawing/2014/main" id="{00000000-0008-0000-0600-000014000000}"/>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0" name="CuadroTexto 19">
              <a:extLst>
                <a:ext uri="{FF2B5EF4-FFF2-40B4-BE49-F238E27FC236}">
                  <a16:creationId xmlns:a16="http://schemas.microsoft.com/office/drawing/2014/main" id="{5DDDF8FA-F632-45CB-8E52-23470C6EBFEC}"/>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1" name="CuadroTexto 20">
          <a:extLst>
            <a:ext uri="{FF2B5EF4-FFF2-40B4-BE49-F238E27FC236}">
              <a16:creationId xmlns:a16="http://schemas.microsoft.com/office/drawing/2014/main" id="{00000000-0008-0000-0600-000015000000}"/>
            </a:ext>
          </a:extLst>
        </xdr:cNvPr>
        <xdr:cNvSpPr txBox="1"/>
      </xdr:nvSpPr>
      <xdr:spPr>
        <a:xfrm>
          <a:off x="1376572" y="14521621"/>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3</xdr:col>
      <xdr:colOff>236456</xdr:colOff>
      <xdr:row>73</xdr:row>
      <xdr:rowOff>141002</xdr:rowOff>
    </xdr:from>
    <xdr:ext cx="730521" cy="219163"/>
    <mc:AlternateContent xmlns:mc="http://schemas.openxmlformats.org/markup-compatibility/2006" xmlns:a14="http://schemas.microsoft.com/office/drawing/2010/main">
      <mc:Choice Requires="a14">
        <xdr:sp macro="" textlink="">
          <xdr:nvSpPr>
            <xdr:cNvPr id="22" name="CuadroTexto 21">
              <a:extLst>
                <a:ext uri="{FF2B5EF4-FFF2-40B4-BE49-F238E27FC236}">
                  <a16:creationId xmlns:a16="http://schemas.microsoft.com/office/drawing/2014/main" id="{00000000-0008-0000-0600-000016000000}"/>
                </a:ext>
              </a:extLst>
            </xdr:cNvPr>
            <xdr:cNvSpPr txBox="1"/>
          </xdr:nvSpPr>
          <xdr:spPr>
            <a:xfrm>
              <a:off x="3201906" y="30062202"/>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m:t>
                  </m:r>
                  <m:sSub>
                    <m:sSubPr>
                      <m:ctrlPr>
                        <a:rPr lang="es-CO" sz="1400" b="1" i="1">
                          <a:latin typeface="Cambria Math" panose="02040503050406030204" pitchFamily="18" charset="0"/>
                          <a:ea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𝒎</m:t>
                      </m:r>
                    </m:e>
                    <m:sub>
                      <m:r>
                        <a:rPr lang="es-CO" sz="1400" b="1" i="1">
                          <a:latin typeface="Cambria Math" panose="02040503050406030204" pitchFamily="18" charset="0"/>
                          <a:ea typeface="Cambria Math" panose="02040503050406030204" pitchFamily="18" charset="0"/>
                        </a:rPr>
                        <m:t>𝒄</m:t>
                      </m:r>
                    </m:sub>
                  </m:sSub>
                </m:oMath>
              </a14:m>
              <a:r>
                <a:rPr lang="es-CO" sz="1400" b="1" i="1"/>
                <a:t> (mg</a:t>
              </a:r>
              <a:r>
                <a:rPr lang="es-CO" sz="1200" b="1" i="0"/>
                <a:t>)</a:t>
              </a:r>
            </a:p>
          </xdr:txBody>
        </xdr:sp>
      </mc:Choice>
      <mc:Fallback xmlns="">
        <xdr:sp macro="" textlink="">
          <xdr:nvSpPr>
            <xdr:cNvPr id="22" name="CuadroTexto 21">
              <a:extLst>
                <a:ext uri="{FF2B5EF4-FFF2-40B4-BE49-F238E27FC236}">
                  <a16:creationId xmlns:a16="http://schemas.microsoft.com/office/drawing/2014/main" id="{5B0DEA18-EEA3-4426-9311-BE4CF35A1FF9}"/>
                </a:ext>
              </a:extLst>
            </xdr:cNvPr>
            <xdr:cNvSpPr txBox="1"/>
          </xdr:nvSpPr>
          <xdr:spPr>
            <a:xfrm>
              <a:off x="3201906" y="30062202"/>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400" b="1" i="0">
                  <a:latin typeface="Cambria Math" panose="02040503050406030204" pitchFamily="18" charset="0"/>
                  <a:ea typeface="Cambria Math" panose="02040503050406030204" pitchFamily="18" charset="0"/>
                </a:rPr>
                <a:t>∆𝒎_𝒄</a:t>
              </a:r>
              <a:r>
                <a:rPr lang="es-CO" sz="1400" b="1" i="1"/>
                <a:t> (mg</a:t>
              </a:r>
              <a:r>
                <a:rPr lang="es-CO" sz="1200" b="1" i="0"/>
                <a:t>)</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23" name="CuadroTexto 22">
              <a:extLst>
                <a:ext uri="{FF2B5EF4-FFF2-40B4-BE49-F238E27FC236}">
                  <a16:creationId xmlns:a16="http://schemas.microsoft.com/office/drawing/2014/main" id="{00000000-0008-0000-0600-000017000000}"/>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23" name="CuadroTexto 22">
              <a:extLst>
                <a:ext uri="{FF2B5EF4-FFF2-40B4-BE49-F238E27FC236}">
                  <a16:creationId xmlns:a16="http://schemas.microsoft.com/office/drawing/2014/main" id="{A5932A48-3B40-4E35-ACA8-8033EBAC03FD}"/>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24" name="CuadroTexto 23">
          <a:extLst>
            <a:ext uri="{FF2B5EF4-FFF2-40B4-BE49-F238E27FC236}">
              <a16:creationId xmlns:a16="http://schemas.microsoft.com/office/drawing/2014/main" id="{00000000-0008-0000-0600-000018000000}"/>
            </a:ext>
          </a:extLst>
        </xdr:cNvPr>
        <xdr:cNvSpPr txBox="1"/>
      </xdr:nvSpPr>
      <xdr:spPr>
        <a:xfrm>
          <a:off x="4308613" y="1369501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25" name="CuadroTexto 24">
              <a:extLst>
                <a:ext uri="{FF2B5EF4-FFF2-40B4-BE49-F238E27FC236}">
                  <a16:creationId xmlns:a16="http://schemas.microsoft.com/office/drawing/2014/main" id="{00000000-0008-0000-0600-000019000000}"/>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5" name="CuadroTexto 24">
              <a:extLst>
                <a:ext uri="{FF2B5EF4-FFF2-40B4-BE49-F238E27FC236}">
                  <a16:creationId xmlns:a16="http://schemas.microsoft.com/office/drawing/2014/main" id="{DAB733B2-8E02-48FF-8E20-E447303CB33B}"/>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26" name="CuadroTexto 25">
              <a:extLst>
                <a:ext uri="{FF2B5EF4-FFF2-40B4-BE49-F238E27FC236}">
                  <a16:creationId xmlns:a16="http://schemas.microsoft.com/office/drawing/2014/main" id="{00000000-0008-0000-0600-00001A000000}"/>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6" name="CuadroTexto 25">
              <a:extLst>
                <a:ext uri="{FF2B5EF4-FFF2-40B4-BE49-F238E27FC236}">
                  <a16:creationId xmlns:a16="http://schemas.microsoft.com/office/drawing/2014/main" id="{B73618EF-F59E-4C70-92A2-29D8F0D215F9}"/>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27" name="CuadroTexto 26">
              <a:extLst>
                <a:ext uri="{FF2B5EF4-FFF2-40B4-BE49-F238E27FC236}">
                  <a16:creationId xmlns:a16="http://schemas.microsoft.com/office/drawing/2014/main" id="{00000000-0008-0000-0600-00001B000000}"/>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7" name="CuadroTexto 26">
              <a:extLst>
                <a:ext uri="{FF2B5EF4-FFF2-40B4-BE49-F238E27FC236}">
                  <a16:creationId xmlns:a16="http://schemas.microsoft.com/office/drawing/2014/main" id="{5BD55F6C-9A42-450E-B096-CFBB8BE46A43}"/>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8" name="CuadroTexto 27">
              <a:extLst>
                <a:ext uri="{FF2B5EF4-FFF2-40B4-BE49-F238E27FC236}">
                  <a16:creationId xmlns:a16="http://schemas.microsoft.com/office/drawing/2014/main" id="{00000000-0008-0000-0600-00001C000000}"/>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8" name="CuadroTexto 27">
              <a:extLst>
                <a:ext uri="{FF2B5EF4-FFF2-40B4-BE49-F238E27FC236}">
                  <a16:creationId xmlns:a16="http://schemas.microsoft.com/office/drawing/2014/main" id="{80D3D01E-15E1-415B-8B2B-013B325ABF2A}"/>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9" name="CuadroTexto 28">
          <a:extLst>
            <a:ext uri="{FF2B5EF4-FFF2-40B4-BE49-F238E27FC236}">
              <a16:creationId xmlns:a16="http://schemas.microsoft.com/office/drawing/2014/main" id="{00000000-0008-0000-0600-00001D000000}"/>
            </a:ext>
          </a:extLst>
        </xdr:cNvPr>
        <xdr:cNvSpPr txBox="1"/>
      </xdr:nvSpPr>
      <xdr:spPr>
        <a:xfrm>
          <a:off x="1376572" y="14521621"/>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30" name="CuadroTexto 29">
              <a:extLst>
                <a:ext uri="{FF2B5EF4-FFF2-40B4-BE49-F238E27FC236}">
                  <a16:creationId xmlns:a16="http://schemas.microsoft.com/office/drawing/2014/main" id="{00000000-0008-0000-0600-00001E000000}"/>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30" name="CuadroTexto 29">
              <a:extLst>
                <a:ext uri="{FF2B5EF4-FFF2-40B4-BE49-F238E27FC236}">
                  <a16:creationId xmlns:a16="http://schemas.microsoft.com/office/drawing/2014/main" id="{FF41DAEA-1A47-43EA-A4D8-8DF845819B44}"/>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31" name="CuadroTexto 30">
          <a:extLst>
            <a:ext uri="{FF2B5EF4-FFF2-40B4-BE49-F238E27FC236}">
              <a16:creationId xmlns:a16="http://schemas.microsoft.com/office/drawing/2014/main" id="{00000000-0008-0000-0600-00001F000000}"/>
            </a:ext>
          </a:extLst>
        </xdr:cNvPr>
        <xdr:cNvSpPr txBox="1"/>
      </xdr:nvSpPr>
      <xdr:spPr>
        <a:xfrm>
          <a:off x="4308613" y="1369501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32" name="CuadroTexto 31">
              <a:extLst>
                <a:ext uri="{FF2B5EF4-FFF2-40B4-BE49-F238E27FC236}">
                  <a16:creationId xmlns:a16="http://schemas.microsoft.com/office/drawing/2014/main" id="{00000000-0008-0000-0600-000020000000}"/>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2" name="CuadroTexto 31">
              <a:extLst>
                <a:ext uri="{FF2B5EF4-FFF2-40B4-BE49-F238E27FC236}">
                  <a16:creationId xmlns:a16="http://schemas.microsoft.com/office/drawing/2014/main" id="{A8A2C13D-6071-41D6-B18B-E34B003A92A1}"/>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33" name="CuadroTexto 32">
              <a:extLst>
                <a:ext uri="{FF2B5EF4-FFF2-40B4-BE49-F238E27FC236}">
                  <a16:creationId xmlns:a16="http://schemas.microsoft.com/office/drawing/2014/main" id="{00000000-0008-0000-0600-000021000000}"/>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3" name="CuadroTexto 32">
              <a:extLst>
                <a:ext uri="{FF2B5EF4-FFF2-40B4-BE49-F238E27FC236}">
                  <a16:creationId xmlns:a16="http://schemas.microsoft.com/office/drawing/2014/main" id="{55D67B9A-69E8-4B14-AAFC-EE41C96E6601}"/>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34" name="CuadroTexto 33">
              <a:extLst>
                <a:ext uri="{FF2B5EF4-FFF2-40B4-BE49-F238E27FC236}">
                  <a16:creationId xmlns:a16="http://schemas.microsoft.com/office/drawing/2014/main" id="{00000000-0008-0000-0600-000022000000}"/>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4" name="CuadroTexto 33">
              <a:extLst>
                <a:ext uri="{FF2B5EF4-FFF2-40B4-BE49-F238E27FC236}">
                  <a16:creationId xmlns:a16="http://schemas.microsoft.com/office/drawing/2014/main" id="{DDD089CD-090B-40F0-AAC3-BCF89A2AAE2F}"/>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35" name="CuadroTexto 34">
              <a:extLst>
                <a:ext uri="{FF2B5EF4-FFF2-40B4-BE49-F238E27FC236}">
                  <a16:creationId xmlns:a16="http://schemas.microsoft.com/office/drawing/2014/main" id="{00000000-0008-0000-0600-000023000000}"/>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5" name="CuadroTexto 34">
              <a:extLst>
                <a:ext uri="{FF2B5EF4-FFF2-40B4-BE49-F238E27FC236}">
                  <a16:creationId xmlns:a16="http://schemas.microsoft.com/office/drawing/2014/main" id="{FFE80B88-0E97-48EB-866E-1EC832CC5B3B}"/>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36" name="CuadroTexto 35">
          <a:extLst>
            <a:ext uri="{FF2B5EF4-FFF2-40B4-BE49-F238E27FC236}">
              <a16:creationId xmlns:a16="http://schemas.microsoft.com/office/drawing/2014/main" id="{00000000-0008-0000-0600-000024000000}"/>
            </a:ext>
          </a:extLst>
        </xdr:cNvPr>
        <xdr:cNvSpPr txBox="1"/>
      </xdr:nvSpPr>
      <xdr:spPr>
        <a:xfrm>
          <a:off x="1376572" y="14521621"/>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11</xdr:col>
      <xdr:colOff>628650</xdr:colOff>
      <xdr:row>61</xdr:row>
      <xdr:rowOff>0</xdr:rowOff>
    </xdr:from>
    <xdr:ext cx="65" cy="172227"/>
    <xdr:sp macro="" textlink="">
      <xdr:nvSpPr>
        <xdr:cNvPr id="37" name="CuadroTexto 36">
          <a:extLst>
            <a:ext uri="{FF2B5EF4-FFF2-40B4-BE49-F238E27FC236}">
              <a16:creationId xmlns:a16="http://schemas.microsoft.com/office/drawing/2014/main" id="{00000000-0008-0000-0600-000025000000}"/>
            </a:ext>
          </a:extLst>
        </xdr:cNvPr>
        <xdr:cNvSpPr txBox="1"/>
      </xdr:nvSpPr>
      <xdr:spPr>
        <a:xfrm>
          <a:off x="12693650" y="22707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5</xdr:col>
      <xdr:colOff>539750</xdr:colOff>
      <xdr:row>73</xdr:row>
      <xdr:rowOff>158749</xdr:rowOff>
    </xdr:from>
    <xdr:ext cx="984250" cy="210507"/>
    <mc:AlternateContent xmlns:mc="http://schemas.openxmlformats.org/markup-compatibility/2006" xmlns:a14="http://schemas.microsoft.com/office/drawing/2010/main">
      <mc:Choice Requires="a14">
        <xdr:sp macro="" textlink="">
          <xdr:nvSpPr>
            <xdr:cNvPr id="38" name="CuadroTexto 37">
              <a:extLst>
                <a:ext uri="{FF2B5EF4-FFF2-40B4-BE49-F238E27FC236}">
                  <a16:creationId xmlns:a16="http://schemas.microsoft.com/office/drawing/2014/main" id="{00000000-0008-0000-0600-000026000000}"/>
                </a:ext>
              </a:extLst>
            </xdr:cNvPr>
            <xdr:cNvSpPr txBox="1"/>
          </xdr:nvSpPr>
          <xdr:spPr>
            <a:xfrm>
              <a:off x="5778500" y="30079949"/>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𝒆</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38" name="CuadroTexto 37">
              <a:extLst>
                <a:ext uri="{FF2B5EF4-FFF2-40B4-BE49-F238E27FC236}">
                  <a16:creationId xmlns:a16="http://schemas.microsoft.com/office/drawing/2014/main" id="{24076CA7-796D-4B30-9594-9AA6C5FA6818}"/>
                </a:ext>
              </a:extLst>
            </xdr:cNvPr>
            <xdr:cNvSpPr txBox="1"/>
          </xdr:nvSpPr>
          <xdr:spPr>
            <a:xfrm>
              <a:off x="5778500" y="30079949"/>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𝒆 𝒄𝒕</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4</xdr:col>
      <xdr:colOff>52917</xdr:colOff>
      <xdr:row>73</xdr:row>
      <xdr:rowOff>148167</xdr:rowOff>
    </xdr:from>
    <xdr:ext cx="984250" cy="210507"/>
    <mc:AlternateContent xmlns:mc="http://schemas.openxmlformats.org/markup-compatibility/2006" xmlns:a14="http://schemas.microsoft.com/office/drawing/2010/main">
      <mc:Choice Requires="a14">
        <xdr:sp macro="" textlink="">
          <xdr:nvSpPr>
            <xdr:cNvPr id="39" name="CuadroTexto 38">
              <a:extLst>
                <a:ext uri="{FF2B5EF4-FFF2-40B4-BE49-F238E27FC236}">
                  <a16:creationId xmlns:a16="http://schemas.microsoft.com/office/drawing/2014/main" id="{00000000-0008-0000-0600-000027000000}"/>
                </a:ext>
              </a:extLst>
            </xdr:cNvPr>
            <xdr:cNvSpPr txBox="1"/>
          </xdr:nvSpPr>
          <xdr:spPr>
            <a:xfrm>
              <a:off x="4205817" y="30069367"/>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39" name="CuadroTexto 38">
              <a:extLst>
                <a:ext uri="{FF2B5EF4-FFF2-40B4-BE49-F238E27FC236}">
                  <a16:creationId xmlns:a16="http://schemas.microsoft.com/office/drawing/2014/main" id="{042160BB-C888-44E3-927A-A1462C61AF4D}"/>
                </a:ext>
              </a:extLst>
            </xdr:cNvPr>
            <xdr:cNvSpPr txBox="1"/>
          </xdr:nvSpPr>
          <xdr:spPr>
            <a:xfrm>
              <a:off x="4205817" y="30069367"/>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𝒄𝒕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0</xdr:col>
      <xdr:colOff>1031873</xdr:colOff>
      <xdr:row>73</xdr:row>
      <xdr:rowOff>107157</xdr:rowOff>
    </xdr:from>
    <xdr:ext cx="928689" cy="210343"/>
    <mc:AlternateContent xmlns:mc="http://schemas.openxmlformats.org/markup-compatibility/2006" xmlns:a14="http://schemas.microsoft.com/office/drawing/2010/main">
      <mc:Choice Requires="a14">
        <xdr:sp macro="" textlink="">
          <xdr:nvSpPr>
            <xdr:cNvPr id="40" name="CuadroTexto 39">
              <a:extLst>
                <a:ext uri="{FF2B5EF4-FFF2-40B4-BE49-F238E27FC236}">
                  <a16:creationId xmlns:a16="http://schemas.microsoft.com/office/drawing/2014/main" id="{00000000-0008-0000-0600-000028000000}"/>
                </a:ext>
              </a:extLst>
            </xdr:cNvPr>
            <xdr:cNvSpPr txBox="1"/>
          </xdr:nvSpPr>
          <xdr:spPr>
            <a:xfrm>
              <a:off x="1031873" y="29920407"/>
              <a:ext cx="928689" cy="2103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𝑵𝒓</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0" name="CuadroTexto 39">
              <a:extLst>
                <a:ext uri="{FF2B5EF4-FFF2-40B4-BE49-F238E27FC236}">
                  <a16:creationId xmlns:a16="http://schemas.microsoft.com/office/drawing/2014/main" id="{97115B97-DE68-4B61-9BC9-C60F3762D222}"/>
                </a:ext>
              </a:extLst>
            </xdr:cNvPr>
            <xdr:cNvSpPr txBox="1"/>
          </xdr:nvSpPr>
          <xdr:spPr>
            <a:xfrm>
              <a:off x="1031873" y="29920407"/>
              <a:ext cx="928689" cy="2103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𝑵𝒓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8</xdr:col>
      <xdr:colOff>624417</xdr:colOff>
      <xdr:row>73</xdr:row>
      <xdr:rowOff>285751</xdr:rowOff>
    </xdr:from>
    <xdr:ext cx="1524000" cy="210507"/>
    <mc:AlternateContent xmlns:mc="http://schemas.openxmlformats.org/markup-compatibility/2006" xmlns:a14="http://schemas.microsoft.com/office/drawing/2010/main">
      <mc:Choice Requires="a14">
        <xdr:sp macro="" textlink="">
          <xdr:nvSpPr>
            <xdr:cNvPr id="41" name="CuadroTexto 40">
              <a:extLst>
                <a:ext uri="{FF2B5EF4-FFF2-40B4-BE49-F238E27FC236}">
                  <a16:creationId xmlns:a16="http://schemas.microsoft.com/office/drawing/2014/main" id="{00000000-0008-0000-0600-000029000000}"/>
                </a:ext>
              </a:extLst>
            </xdr:cNvPr>
            <xdr:cNvSpPr txBox="1"/>
          </xdr:nvSpPr>
          <xdr:spPr>
            <a:xfrm>
              <a:off x="9965267" y="30206951"/>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𝑼</m:t>
                  </m:r>
                  <m:r>
                    <a:rPr lang="es-CO" sz="1400" b="1" i="1">
                      <a:latin typeface="Cambria Math" panose="02040503050406030204" pitchFamily="18" charset="0"/>
                      <a:ea typeface="Cambria Math" panose="02040503050406030204" pitchFamily="18" charset="0"/>
                    </a:rPr>
                    <m:t> </m:t>
                  </m:r>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 </m:t>
                  </m:r>
                  <m:r>
                    <a:rPr lang="es-CO" sz="1400" b="1" i="1">
                      <a:latin typeface="Cambria Math" panose="02040503050406030204" pitchFamily="18" charset="0"/>
                      <a:ea typeface="Cambria Math" panose="02040503050406030204" pitchFamily="18" charset="0"/>
                    </a:rPr>
                    <m:t>𝒌</m:t>
                  </m:r>
                  <m:r>
                    <a:rPr lang="es-CO" sz="1400" b="1" i="1">
                      <a:latin typeface="Cambria Math" panose="02040503050406030204" pitchFamily="18" charset="0"/>
                      <a:ea typeface="Cambria Math" panose="02040503050406030204" pitchFamily="18" charset="0"/>
                    </a:rPr>
                    <m:t>=</m:t>
                  </m:r>
                  <m:r>
                    <a:rPr lang="es-CO" sz="1400" b="1" i="1">
                      <a:latin typeface="Cambria Math" panose="02040503050406030204" pitchFamily="18" charset="0"/>
                      <a:ea typeface="Cambria Math" panose="02040503050406030204" pitchFamily="18" charset="0"/>
                    </a:rPr>
                    <m:t>𝟐</m:t>
                  </m:r>
                </m:oMath>
              </a14:m>
              <a:r>
                <a:rPr lang="es-CO" sz="1400" b="1" i="1">
                  <a:latin typeface="Arial" panose="020B0604020202020204" pitchFamily="34" charset="0"/>
                  <a:cs typeface="Arial" panose="020B0604020202020204" pitchFamily="34" charset="0"/>
                </a:rPr>
                <a:t>)</a:t>
              </a:r>
            </a:p>
          </xdr:txBody>
        </xdr:sp>
      </mc:Choice>
      <mc:Fallback xmlns="">
        <xdr:sp macro="" textlink="">
          <xdr:nvSpPr>
            <xdr:cNvPr id="41" name="CuadroTexto 40">
              <a:extLst>
                <a:ext uri="{FF2B5EF4-FFF2-40B4-BE49-F238E27FC236}">
                  <a16:creationId xmlns:a16="http://schemas.microsoft.com/office/drawing/2014/main" id="{F3166CF5-75AD-4353-A8F8-D77168A32D67}"/>
                </a:ext>
              </a:extLst>
            </xdr:cNvPr>
            <xdr:cNvSpPr txBox="1"/>
          </xdr:nvSpPr>
          <xdr:spPr>
            <a:xfrm>
              <a:off x="9965267" y="30206951"/>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0">
                  <a:latin typeface="Cambria Math" panose="02040503050406030204" pitchFamily="18" charset="0"/>
                  <a:ea typeface="Cambria Math" panose="02040503050406030204" pitchFamily="18" charset="0"/>
                </a:rPr>
                <a:t>𝑼 ( 𝒎 𝒄𝒕 )  ( 𝒌=𝟐</a:t>
              </a:r>
              <a:r>
                <a:rPr lang="es-CO" sz="1400" b="1" i="1">
                  <a:latin typeface="Arial" panose="020B0604020202020204" pitchFamily="34" charset="0"/>
                  <a:cs typeface="Arial" panose="020B0604020202020204" pitchFamily="34" charset="0"/>
                </a:rPr>
                <a:t>)</a:t>
              </a:r>
            </a:p>
          </xdr:txBody>
        </xdr:sp>
      </mc:Fallback>
    </mc:AlternateContent>
    <xdr:clientData/>
  </xdr:oneCellAnchor>
  <xdr:oneCellAnchor>
    <xdr:from>
      <xdr:col>9</xdr:col>
      <xdr:colOff>603252</xdr:colOff>
      <xdr:row>74</xdr:row>
      <xdr:rowOff>84667</xdr:rowOff>
    </xdr:from>
    <xdr:ext cx="465666" cy="219163"/>
    <xdr:sp macro="" textlink="">
      <xdr:nvSpPr>
        <xdr:cNvPr id="42" name="CuadroTexto 41">
          <a:extLst>
            <a:ext uri="{FF2B5EF4-FFF2-40B4-BE49-F238E27FC236}">
              <a16:creationId xmlns:a16="http://schemas.microsoft.com/office/drawing/2014/main" id="{00000000-0008-0000-0600-00002A000000}"/>
            </a:ext>
          </a:extLst>
        </xdr:cNvPr>
        <xdr:cNvSpPr txBox="1"/>
      </xdr:nvSpPr>
      <xdr:spPr>
        <a:xfrm>
          <a:off x="10909302" y="30520217"/>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9</xdr:col>
      <xdr:colOff>571499</xdr:colOff>
      <xdr:row>75</xdr:row>
      <xdr:rowOff>116416</xdr:rowOff>
    </xdr:from>
    <xdr:ext cx="359835" cy="219163"/>
    <xdr:sp macro="" textlink="">
      <xdr:nvSpPr>
        <xdr:cNvPr id="43" name="CuadroTexto 42">
          <a:extLst>
            <a:ext uri="{FF2B5EF4-FFF2-40B4-BE49-F238E27FC236}">
              <a16:creationId xmlns:a16="http://schemas.microsoft.com/office/drawing/2014/main" id="{00000000-0008-0000-0600-00002B000000}"/>
            </a:ext>
          </a:extLst>
        </xdr:cNvPr>
        <xdr:cNvSpPr txBox="1"/>
      </xdr:nvSpPr>
      <xdr:spPr>
        <a:xfrm>
          <a:off x="10877549" y="30996466"/>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6</xdr:col>
      <xdr:colOff>275167</xdr:colOff>
      <xdr:row>74</xdr:row>
      <xdr:rowOff>148166</xdr:rowOff>
    </xdr:from>
    <xdr:ext cx="465666" cy="219163"/>
    <xdr:sp macro="" textlink="">
      <xdr:nvSpPr>
        <xdr:cNvPr id="44" name="CuadroTexto 43">
          <a:extLst>
            <a:ext uri="{FF2B5EF4-FFF2-40B4-BE49-F238E27FC236}">
              <a16:creationId xmlns:a16="http://schemas.microsoft.com/office/drawing/2014/main" id="{00000000-0008-0000-0600-00002C000000}"/>
            </a:ext>
          </a:extLst>
        </xdr:cNvPr>
        <xdr:cNvSpPr txBox="1"/>
      </xdr:nvSpPr>
      <xdr:spPr>
        <a:xfrm>
          <a:off x="6809317" y="30583716"/>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6</xdr:col>
      <xdr:colOff>328083</xdr:colOff>
      <xdr:row>75</xdr:row>
      <xdr:rowOff>84667</xdr:rowOff>
    </xdr:from>
    <xdr:ext cx="359835" cy="219163"/>
    <xdr:sp macro="" textlink="">
      <xdr:nvSpPr>
        <xdr:cNvPr id="45" name="CuadroTexto 44">
          <a:extLst>
            <a:ext uri="{FF2B5EF4-FFF2-40B4-BE49-F238E27FC236}">
              <a16:creationId xmlns:a16="http://schemas.microsoft.com/office/drawing/2014/main" id="{00000000-0008-0000-0600-00002D000000}"/>
            </a:ext>
          </a:extLst>
        </xdr:cNvPr>
        <xdr:cNvSpPr txBox="1"/>
      </xdr:nvSpPr>
      <xdr:spPr>
        <a:xfrm>
          <a:off x="6862233" y="30964717"/>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3</xdr:col>
      <xdr:colOff>560916</xdr:colOff>
      <xdr:row>72</xdr:row>
      <xdr:rowOff>74084</xdr:rowOff>
    </xdr:from>
    <xdr:ext cx="1524000" cy="210507"/>
    <mc:AlternateContent xmlns:mc="http://schemas.openxmlformats.org/markup-compatibility/2006" xmlns:a14="http://schemas.microsoft.com/office/drawing/2010/main">
      <mc:Choice Requires="a14">
        <xdr:sp macro="" textlink="">
          <xdr:nvSpPr>
            <xdr:cNvPr id="46" name="CuadroTexto 45">
              <a:extLst>
                <a:ext uri="{FF2B5EF4-FFF2-40B4-BE49-F238E27FC236}">
                  <a16:creationId xmlns:a16="http://schemas.microsoft.com/office/drawing/2014/main" id="{00000000-0008-0000-0600-00002E000000}"/>
                </a:ext>
              </a:extLst>
            </xdr:cNvPr>
            <xdr:cNvSpPr txBox="1"/>
          </xdr:nvSpPr>
          <xdr:spPr>
            <a:xfrm>
              <a:off x="3526366" y="29550784"/>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m:t>
                    </m:r>
                  </m:oMath>
                </m:oMathPara>
              </a14:m>
              <a:endParaRPr lang="es-CO" sz="1400" b="1" i="1">
                <a:latin typeface="Arial" panose="020B0604020202020204" pitchFamily="34" charset="0"/>
                <a:cs typeface="Arial" panose="020B0604020202020204" pitchFamily="34" charset="0"/>
              </a:endParaRPr>
            </a:p>
          </xdr:txBody>
        </xdr:sp>
      </mc:Choice>
      <mc:Fallback xmlns="">
        <xdr:sp macro="" textlink="">
          <xdr:nvSpPr>
            <xdr:cNvPr id="46" name="CuadroTexto 45">
              <a:extLst>
                <a:ext uri="{FF2B5EF4-FFF2-40B4-BE49-F238E27FC236}">
                  <a16:creationId xmlns:a16="http://schemas.microsoft.com/office/drawing/2014/main" id="{20E08CD0-BB0E-427F-A361-C1DC67C948D6}"/>
                </a:ext>
              </a:extLst>
            </xdr:cNvPr>
            <xdr:cNvSpPr txBox="1"/>
          </xdr:nvSpPr>
          <xdr:spPr>
            <a:xfrm>
              <a:off x="3526366" y="29550784"/>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 𝒎 𝒄𝒕 )   </a:t>
              </a:r>
              <a:endParaRPr lang="es-CO" sz="1400" b="1" i="1">
                <a:latin typeface="Arial" panose="020B0604020202020204" pitchFamily="34" charset="0"/>
                <a:cs typeface="Arial" panose="020B0604020202020204" pitchFamily="34" charset="0"/>
              </a:endParaRPr>
            </a:p>
          </xdr:txBody>
        </xdr:sp>
      </mc:Fallback>
    </mc:AlternateContent>
    <xdr:clientData/>
  </xdr:oneCellAnchor>
  <xdr:oneCellAnchor>
    <xdr:from>
      <xdr:col>7</xdr:col>
      <xdr:colOff>411956</xdr:colOff>
      <xdr:row>71</xdr:row>
      <xdr:rowOff>406003</xdr:rowOff>
    </xdr:from>
    <xdr:ext cx="65" cy="172227"/>
    <xdr:sp macro="" textlink="">
      <xdr:nvSpPr>
        <xdr:cNvPr id="47" name="CuadroTexto 46">
          <a:extLst>
            <a:ext uri="{FF2B5EF4-FFF2-40B4-BE49-F238E27FC236}">
              <a16:creationId xmlns:a16="http://schemas.microsoft.com/office/drawing/2014/main" id="{00000000-0008-0000-0600-00002F000000}"/>
            </a:ext>
          </a:extLst>
        </xdr:cNvPr>
        <xdr:cNvSpPr txBox="1"/>
      </xdr:nvSpPr>
      <xdr:spPr>
        <a:xfrm>
          <a:off x="8044656" y="29457253"/>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49" name="CuadroTexto 48">
              <a:extLst>
                <a:ext uri="{FF2B5EF4-FFF2-40B4-BE49-F238E27FC236}">
                  <a16:creationId xmlns:a16="http://schemas.microsoft.com/office/drawing/2014/main" id="{00000000-0008-0000-0600-000031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49" name="CuadroTexto 48">
              <a:extLst>
                <a:ext uri="{FF2B5EF4-FFF2-40B4-BE49-F238E27FC236}">
                  <a16:creationId xmlns:a16="http://schemas.microsoft.com/office/drawing/2014/main" id="{7F5496A7-5592-4B50-896C-65823B6C5089}"/>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50" name="CuadroTexto 49">
              <a:extLst>
                <a:ext uri="{FF2B5EF4-FFF2-40B4-BE49-F238E27FC236}">
                  <a16:creationId xmlns:a16="http://schemas.microsoft.com/office/drawing/2014/main" id="{00000000-0008-0000-0600-000032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50" name="CuadroTexto 49">
              <a:extLst>
                <a:ext uri="{FF2B5EF4-FFF2-40B4-BE49-F238E27FC236}">
                  <a16:creationId xmlns:a16="http://schemas.microsoft.com/office/drawing/2014/main" id="{4AA33C3F-55F6-4E82-8158-2E49906C2F3F}"/>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twoCellAnchor>
    <xdr:from>
      <xdr:col>7</xdr:col>
      <xdr:colOff>857250</xdr:colOff>
      <xdr:row>62</xdr:row>
      <xdr:rowOff>301625</xdr:rowOff>
    </xdr:from>
    <xdr:to>
      <xdr:col>11</xdr:col>
      <xdr:colOff>793749</xdr:colOff>
      <xdr:row>64</xdr:row>
      <xdr:rowOff>571500</xdr:rowOff>
    </xdr:to>
    <xdr:graphicFrame macro="">
      <xdr:nvGraphicFramePr>
        <xdr:cNvPr id="52" name="Gráfico 51">
          <a:extLst>
            <a:ext uri="{FF2B5EF4-FFF2-40B4-BE49-F238E27FC236}">
              <a16:creationId xmlns:a16="http://schemas.microsoft.com/office/drawing/2014/main" id="{00000000-0008-0000-0600-00003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190500</xdr:colOff>
      <xdr:row>0</xdr:row>
      <xdr:rowOff>83344</xdr:rowOff>
    </xdr:from>
    <xdr:to>
      <xdr:col>1</xdr:col>
      <xdr:colOff>531037</xdr:colOff>
      <xdr:row>0</xdr:row>
      <xdr:rowOff>699093</xdr:rowOff>
    </xdr:to>
    <xdr:pic>
      <xdr:nvPicPr>
        <xdr:cNvPr id="48" name="47 Imagen">
          <a:extLst>
            <a:ext uri="{FF2B5EF4-FFF2-40B4-BE49-F238E27FC236}">
              <a16:creationId xmlns:a16="http://schemas.microsoft.com/office/drawing/2014/main" id="{00000000-0008-0000-0600-000030000000}"/>
            </a:ext>
          </a:extLst>
        </xdr:cNvPr>
        <xdr:cNvPicPr>
          <a:picLocks noChangeAspect="1"/>
        </xdr:cNvPicPr>
      </xdr:nvPicPr>
      <xdr:blipFill>
        <a:blip xmlns:r="http://schemas.openxmlformats.org/officeDocument/2006/relationships" r:embed="rId2"/>
        <a:stretch>
          <a:fillRect/>
        </a:stretch>
      </xdr:blipFill>
      <xdr:spPr>
        <a:xfrm>
          <a:off x="190500" y="83344"/>
          <a:ext cx="1316850" cy="61574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oneCellAnchor>
    <xdr:from>
      <xdr:col>1</xdr:col>
      <xdr:colOff>285935</xdr:colOff>
      <xdr:row>42</xdr:row>
      <xdr:rowOff>169517</xdr:rowOff>
    </xdr:from>
    <xdr:ext cx="177356" cy="176202"/>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00000000-0008-0000-0700-000003000000}"/>
                </a:ext>
              </a:extLst>
            </xdr:cNvPr>
            <xdr:cNvSpPr txBox="1"/>
          </xdr:nvSpPr>
          <xdr:spPr>
            <a:xfrm>
              <a:off x="1314635" y="14958667"/>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bg1"/>
                            </a:solidFill>
                            <a:latin typeface="Cambria Math" panose="02040503050406030204" pitchFamily="18" charset="0"/>
                          </a:rPr>
                        </m:ctrlPr>
                      </m:accPr>
                      <m:e>
                        <m:r>
                          <a:rPr lang="es-CO" sz="1100" b="1" i="1">
                            <a:solidFill>
                              <a:schemeClr val="bg1"/>
                            </a:solidFill>
                            <a:latin typeface="Cambria Math" panose="02040503050406030204" pitchFamily="18" charset="0"/>
                            <a:ea typeface="Cambria Math" panose="02040503050406030204" pitchFamily="18" charset="0"/>
                          </a:rPr>
                          <m:t>∆</m:t>
                        </m:r>
                        <m:r>
                          <a:rPr lang="es-CO" sz="1100" b="1" i="1">
                            <a:solidFill>
                              <a:schemeClr val="bg1"/>
                            </a:solidFill>
                            <a:latin typeface="Cambria Math" panose="02040503050406030204" pitchFamily="18" charset="0"/>
                            <a:ea typeface="Cambria Math" panose="02040503050406030204" pitchFamily="18" charset="0"/>
                          </a:rPr>
                          <m:t>𝑰</m:t>
                        </m:r>
                      </m:e>
                    </m:acc>
                  </m:oMath>
                </m:oMathPara>
              </a14:m>
              <a:endParaRPr lang="es-CO" sz="1100" b="1">
                <a:solidFill>
                  <a:schemeClr val="bg1"/>
                </a:solidFill>
              </a:endParaRPr>
            </a:p>
          </xdr:txBody>
        </xdr:sp>
      </mc:Choice>
      <mc:Fallback xmlns="">
        <xdr:sp macro="" textlink="">
          <xdr:nvSpPr>
            <xdr:cNvPr id="3" name="CuadroTexto 2">
              <a:extLst>
                <a:ext uri="{FF2B5EF4-FFF2-40B4-BE49-F238E27FC236}">
                  <a16:creationId xmlns:a16="http://schemas.microsoft.com/office/drawing/2014/main" id="{E96DC1D6-E530-4EA6-8244-63350EEE59CE}"/>
                </a:ext>
              </a:extLst>
            </xdr:cNvPr>
            <xdr:cNvSpPr txBox="1"/>
          </xdr:nvSpPr>
          <xdr:spPr>
            <a:xfrm>
              <a:off x="1314635" y="14958667"/>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bg1"/>
                  </a:solidFill>
                  <a:latin typeface="Cambria Math" panose="02040503050406030204" pitchFamily="18" charset="0"/>
                </a:rPr>
                <a:t>(</a:t>
              </a:r>
              <a:r>
                <a:rPr lang="es-CO" sz="1100" b="1" i="0">
                  <a:solidFill>
                    <a:schemeClr val="bg1"/>
                  </a:solidFill>
                  <a:latin typeface="Cambria Math" panose="02040503050406030204" pitchFamily="18" charset="0"/>
                  <a:ea typeface="Cambria Math" panose="02040503050406030204" pitchFamily="18" charset="0"/>
                </a:rPr>
                <a:t>∆𝑰) ̅</a:t>
              </a:r>
              <a:endParaRPr lang="es-CO" sz="1100" b="1">
                <a:solidFill>
                  <a:schemeClr val="bg1"/>
                </a:solidFill>
              </a:endParaRPr>
            </a:p>
          </xdr:txBody>
        </xdr:sp>
      </mc:Fallback>
    </mc:AlternateContent>
    <xdr:clientData/>
  </xdr:oneCellAnchor>
  <xdr:oneCellAnchor>
    <xdr:from>
      <xdr:col>1</xdr:col>
      <xdr:colOff>136732</xdr:colOff>
      <xdr:row>58</xdr:row>
      <xdr:rowOff>253032</xdr:rowOff>
    </xdr:from>
    <xdr:ext cx="599716" cy="172227"/>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id="{00000000-0008-0000-0700-000004000000}"/>
                </a:ext>
              </a:extLst>
            </xdr:cNvPr>
            <xdr:cNvSpPr txBox="1"/>
          </xdr:nvSpPr>
          <xdr:spPr>
            <a:xfrm>
              <a:off x="1165432" y="20750832"/>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𝒘</m:t>
                        </m:r>
                      </m:sub>
                    </m:sSub>
                    <m:r>
                      <a:rPr lang="es-CO" sz="1100" b="1" i="1">
                        <a:latin typeface="Cambria Math" panose="02040503050406030204" pitchFamily="18" charset="0"/>
                      </a:rPr>
                      <m:t>(</m:t>
                    </m:r>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4" name="CuadroTexto 3">
              <a:extLst>
                <a:ext uri="{FF2B5EF4-FFF2-40B4-BE49-F238E27FC236}">
                  <a16:creationId xmlns:a16="http://schemas.microsoft.com/office/drawing/2014/main" id="{726D4279-E370-41ED-86F3-D67362A487A9}"/>
                </a:ext>
              </a:extLst>
            </xdr:cNvPr>
            <xdr:cNvSpPr txBox="1"/>
          </xdr:nvSpPr>
          <xdr:spPr>
            <a:xfrm>
              <a:off x="1165432" y="20750832"/>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𝒖_𝒘 (</a:t>
              </a: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1</xdr:col>
      <xdr:colOff>202651</xdr:colOff>
      <xdr:row>61</xdr:row>
      <xdr:rowOff>265287</xdr:rowOff>
    </xdr:from>
    <xdr:ext cx="483915" cy="172227"/>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id="{00000000-0008-0000-0700-000005000000}"/>
                </a:ext>
              </a:extLst>
            </xdr:cNvPr>
            <xdr:cNvSpPr txBox="1"/>
          </xdr:nvSpPr>
          <xdr:spPr>
            <a:xfrm>
              <a:off x="1231351" y="2297288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5" name="CuadroTexto 4">
              <a:extLst>
                <a:ext uri="{FF2B5EF4-FFF2-40B4-BE49-F238E27FC236}">
                  <a16:creationId xmlns:a16="http://schemas.microsoft.com/office/drawing/2014/main" id="{9C1465C6-1D46-4E08-909B-3002F4478019}"/>
                </a:ext>
              </a:extLst>
            </xdr:cNvPr>
            <xdr:cNvSpPr txBox="1"/>
          </xdr:nvSpPr>
          <xdr:spPr>
            <a:xfrm>
              <a:off x="1231351" y="2297288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𝒖(𝒎_𝒄𝒓)</a:t>
              </a:r>
              <a:endParaRPr lang="es-CO" sz="1100" b="1"/>
            </a:p>
          </xdr:txBody>
        </xdr:sp>
      </mc:Fallback>
    </mc:AlternateContent>
    <xdr:clientData/>
  </xdr:oneCellAnchor>
  <xdr:oneCellAnchor>
    <xdr:from>
      <xdr:col>1</xdr:col>
      <xdr:colOff>34166</xdr:colOff>
      <xdr:row>60</xdr:row>
      <xdr:rowOff>250203</xdr:rowOff>
    </xdr:from>
    <xdr:ext cx="689483" cy="172227"/>
    <mc:AlternateContent xmlns:mc="http://schemas.openxmlformats.org/markup-compatibility/2006" xmlns:a14="http://schemas.microsoft.com/office/drawing/2010/main">
      <mc:Choice Requires="a14">
        <xdr:sp macro="" textlink="">
          <xdr:nvSpPr>
            <xdr:cNvPr id="6" name="CuadroTexto 5">
              <a:extLst>
                <a:ext uri="{FF2B5EF4-FFF2-40B4-BE49-F238E27FC236}">
                  <a16:creationId xmlns:a16="http://schemas.microsoft.com/office/drawing/2014/main" id="{00000000-0008-0000-0700-000006000000}"/>
                </a:ext>
              </a:extLst>
            </xdr:cNvPr>
            <xdr:cNvSpPr txBox="1"/>
          </xdr:nvSpPr>
          <xdr:spPr>
            <a:xfrm>
              <a:off x="1062866" y="22221203"/>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𝒊𝒏𝒔𝒕</m:t>
                        </m:r>
                      </m:sub>
                    </m:sSub>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0" i="1">
                        <a:latin typeface="Cambria Math" panose="02040503050406030204" pitchFamily="18" charset="0"/>
                      </a:rPr>
                      <m:t>)</m:t>
                    </m:r>
                  </m:oMath>
                </m:oMathPara>
              </a14:m>
              <a:endParaRPr lang="es-CO" sz="1100"/>
            </a:p>
          </xdr:txBody>
        </xdr:sp>
      </mc:Choice>
      <mc:Fallback xmlns="">
        <xdr:sp macro="" textlink="">
          <xdr:nvSpPr>
            <xdr:cNvPr id="6" name="CuadroTexto 5">
              <a:extLst>
                <a:ext uri="{FF2B5EF4-FFF2-40B4-BE49-F238E27FC236}">
                  <a16:creationId xmlns:a16="http://schemas.microsoft.com/office/drawing/2014/main" id="{4B738D55-3F7E-4F2F-82FF-3B18196A9952}"/>
                </a:ext>
              </a:extLst>
            </xdr:cNvPr>
            <xdr:cNvSpPr txBox="1"/>
          </xdr:nvSpPr>
          <xdr:spPr>
            <a:xfrm>
              <a:off x="1062866" y="22221203"/>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𝒖_𝒊𝒏𝒔𝒕 (𝒎_𝒄𝒓</a:t>
              </a:r>
              <a:r>
                <a:rPr lang="es-CO" sz="1100" b="0" i="0">
                  <a:latin typeface="Cambria Math" panose="02040503050406030204" pitchFamily="18" charset="0"/>
                </a:rPr>
                <a:t>)</a:t>
              </a:r>
              <a:endParaRPr lang="es-CO" sz="1100"/>
            </a:p>
          </xdr:txBody>
        </xdr:sp>
      </mc:Fallback>
    </mc:AlternateContent>
    <xdr:clientData/>
  </xdr:oneCellAnchor>
  <xdr:oneCellAnchor>
    <xdr:from>
      <xdr:col>1</xdr:col>
      <xdr:colOff>183870</xdr:colOff>
      <xdr:row>62</xdr:row>
      <xdr:rowOff>264645</xdr:rowOff>
    </xdr:from>
    <xdr:ext cx="397353" cy="172227"/>
    <mc:AlternateContent xmlns:mc="http://schemas.openxmlformats.org/markup-compatibility/2006" xmlns:a14="http://schemas.microsoft.com/office/drawing/2010/main">
      <mc:Choice Requires="a14">
        <xdr:sp macro="" textlink="">
          <xdr:nvSpPr>
            <xdr:cNvPr id="7" name="CuadroTexto 6">
              <a:extLst>
                <a:ext uri="{FF2B5EF4-FFF2-40B4-BE49-F238E27FC236}">
                  <a16:creationId xmlns:a16="http://schemas.microsoft.com/office/drawing/2014/main" id="{00000000-0008-0000-0700-000007000000}"/>
                </a:ext>
              </a:extLst>
            </xdr:cNvPr>
            <xdr:cNvSpPr txBox="1"/>
          </xdr:nvSpPr>
          <xdr:spPr>
            <a:xfrm>
              <a:off x="1212570" y="23708845"/>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𝒂</m:t>
                        </m:r>
                      </m:sub>
                    </m:sSub>
                    <m:r>
                      <a:rPr lang="es-CO" sz="1100" b="1" i="1">
                        <a:latin typeface="Cambria Math" panose="02040503050406030204" pitchFamily="18" charset="0"/>
                      </a:rPr>
                      <m:t>)</m:t>
                    </m:r>
                  </m:oMath>
                </m:oMathPara>
              </a14:m>
              <a:endParaRPr lang="es-CO" sz="1100" b="1"/>
            </a:p>
          </xdr:txBody>
        </xdr:sp>
      </mc:Choice>
      <mc:Fallback xmlns="">
        <xdr:sp macro="" textlink="">
          <xdr:nvSpPr>
            <xdr:cNvPr id="7" name="CuadroTexto 6">
              <a:extLst>
                <a:ext uri="{FF2B5EF4-FFF2-40B4-BE49-F238E27FC236}">
                  <a16:creationId xmlns:a16="http://schemas.microsoft.com/office/drawing/2014/main" id="{2DE2EE2E-6A5B-4ED3-B705-D2E93033768A}"/>
                </a:ext>
              </a:extLst>
            </xdr:cNvPr>
            <xdr:cNvSpPr txBox="1"/>
          </xdr:nvSpPr>
          <xdr:spPr>
            <a:xfrm>
              <a:off x="1212570" y="23708845"/>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𝒂)</a:t>
              </a:r>
              <a:endParaRPr lang="es-CO" sz="1100" b="1"/>
            </a:p>
          </xdr:txBody>
        </xdr:sp>
      </mc:Fallback>
    </mc:AlternateContent>
    <xdr:clientData/>
  </xdr:oneCellAnchor>
  <xdr:oneCellAnchor>
    <xdr:from>
      <xdr:col>1</xdr:col>
      <xdr:colOff>186298</xdr:colOff>
      <xdr:row>63</xdr:row>
      <xdr:rowOff>266606</xdr:rowOff>
    </xdr:from>
    <xdr:ext cx="376642" cy="172227"/>
    <mc:AlternateContent xmlns:mc="http://schemas.openxmlformats.org/markup-compatibility/2006" xmlns:a14="http://schemas.microsoft.com/office/drawing/2010/main">
      <mc:Choice Requires="a14">
        <xdr:sp macro="" textlink="">
          <xdr:nvSpPr>
            <xdr:cNvPr id="8" name="CuadroTexto 7">
              <a:extLst>
                <a:ext uri="{FF2B5EF4-FFF2-40B4-BE49-F238E27FC236}">
                  <a16:creationId xmlns:a16="http://schemas.microsoft.com/office/drawing/2014/main" id="{00000000-0008-0000-0700-000008000000}"/>
                </a:ext>
              </a:extLst>
            </xdr:cNvPr>
            <xdr:cNvSpPr txBox="1"/>
          </xdr:nvSpPr>
          <xdr:spPr>
            <a:xfrm>
              <a:off x="1214998" y="244474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𝒕</m:t>
                        </m:r>
                      </m:sub>
                    </m:sSub>
                    <m:r>
                      <a:rPr lang="es-CO" sz="1100" b="1" i="1">
                        <a:latin typeface="Cambria Math" panose="02040503050406030204" pitchFamily="18" charset="0"/>
                      </a:rPr>
                      <m:t>)</m:t>
                    </m:r>
                  </m:oMath>
                </m:oMathPara>
              </a14:m>
              <a:endParaRPr lang="es-CO" sz="1100" b="1"/>
            </a:p>
          </xdr:txBody>
        </xdr:sp>
      </mc:Choice>
      <mc:Fallback xmlns="">
        <xdr:sp macro="" textlink="">
          <xdr:nvSpPr>
            <xdr:cNvPr id="8" name="CuadroTexto 7">
              <a:extLst>
                <a:ext uri="{FF2B5EF4-FFF2-40B4-BE49-F238E27FC236}">
                  <a16:creationId xmlns:a16="http://schemas.microsoft.com/office/drawing/2014/main" id="{33F03540-C081-4946-B073-AEB00736FF1B}"/>
                </a:ext>
              </a:extLst>
            </xdr:cNvPr>
            <xdr:cNvSpPr txBox="1"/>
          </xdr:nvSpPr>
          <xdr:spPr>
            <a:xfrm>
              <a:off x="1214998" y="244474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𝒕)</a:t>
              </a:r>
              <a:endParaRPr lang="es-CO" sz="1100" b="1"/>
            </a:p>
          </xdr:txBody>
        </xdr:sp>
      </mc:Fallback>
    </mc:AlternateContent>
    <xdr:clientData/>
  </xdr:oneCellAnchor>
  <xdr:oneCellAnchor>
    <xdr:from>
      <xdr:col>1</xdr:col>
      <xdr:colOff>186298</xdr:colOff>
      <xdr:row>64</xdr:row>
      <xdr:rowOff>222250</xdr:rowOff>
    </xdr:from>
    <xdr:ext cx="388696" cy="172227"/>
    <mc:AlternateContent xmlns:mc="http://schemas.openxmlformats.org/markup-compatibility/2006" xmlns:a14="http://schemas.microsoft.com/office/drawing/2010/main">
      <mc:Choice Requires="a14">
        <xdr:sp macro="" textlink="">
          <xdr:nvSpPr>
            <xdr:cNvPr id="9" name="CuadroTexto 8">
              <a:extLst>
                <a:ext uri="{FF2B5EF4-FFF2-40B4-BE49-F238E27FC236}">
                  <a16:creationId xmlns:a16="http://schemas.microsoft.com/office/drawing/2014/main" id="{00000000-0008-0000-0700-000009000000}"/>
                </a:ext>
              </a:extLst>
            </xdr:cNvPr>
            <xdr:cNvSpPr txBox="1"/>
          </xdr:nvSpPr>
          <xdr:spPr>
            <a:xfrm>
              <a:off x="1214998" y="25139650"/>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9" name="CuadroTexto 8">
              <a:extLst>
                <a:ext uri="{FF2B5EF4-FFF2-40B4-BE49-F238E27FC236}">
                  <a16:creationId xmlns:a16="http://schemas.microsoft.com/office/drawing/2014/main" id="{143E4DE8-453C-4313-A813-A0B400A6A55B}"/>
                </a:ext>
              </a:extLst>
            </xdr:cNvPr>
            <xdr:cNvSpPr txBox="1"/>
          </xdr:nvSpPr>
          <xdr:spPr>
            <a:xfrm>
              <a:off x="1214998" y="25139650"/>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𝒓)</a:t>
              </a:r>
              <a:endParaRPr lang="es-CO" sz="1100" b="1"/>
            </a:p>
          </xdr:txBody>
        </xdr:sp>
      </mc:Fallback>
    </mc:AlternateContent>
    <xdr:clientData/>
  </xdr:oneCellAnchor>
  <xdr:oneCellAnchor>
    <xdr:from>
      <xdr:col>1</xdr:col>
      <xdr:colOff>265579</xdr:colOff>
      <xdr:row>65</xdr:row>
      <xdr:rowOff>288458</xdr:rowOff>
    </xdr:from>
    <xdr:ext cx="191271" cy="172227"/>
    <mc:AlternateContent xmlns:mc="http://schemas.openxmlformats.org/markup-compatibility/2006" xmlns:a14="http://schemas.microsoft.com/office/drawing/2010/main">
      <mc:Choice Requires="a14">
        <xdr:sp macro="" textlink="">
          <xdr:nvSpPr>
            <xdr:cNvPr id="10" name="CuadroTexto 9">
              <a:extLst>
                <a:ext uri="{FF2B5EF4-FFF2-40B4-BE49-F238E27FC236}">
                  <a16:creationId xmlns:a16="http://schemas.microsoft.com/office/drawing/2014/main" id="{00000000-0008-0000-0700-00000A000000}"/>
                </a:ext>
              </a:extLst>
            </xdr:cNvPr>
            <xdr:cNvSpPr txBox="1"/>
          </xdr:nvSpPr>
          <xdr:spPr>
            <a:xfrm>
              <a:off x="1294279" y="2594245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𝒃</m:t>
                        </m:r>
                      </m:sub>
                    </m:sSub>
                  </m:oMath>
                </m:oMathPara>
              </a14:m>
              <a:endParaRPr lang="es-CO" sz="1100" b="1"/>
            </a:p>
          </xdr:txBody>
        </xdr:sp>
      </mc:Choice>
      <mc:Fallback xmlns="">
        <xdr:sp macro="" textlink="">
          <xdr:nvSpPr>
            <xdr:cNvPr id="10" name="CuadroTexto 9">
              <a:extLst>
                <a:ext uri="{FF2B5EF4-FFF2-40B4-BE49-F238E27FC236}">
                  <a16:creationId xmlns:a16="http://schemas.microsoft.com/office/drawing/2014/main" id="{C644ECA9-A5DE-4FF4-A559-EB0418925B5F}"/>
                </a:ext>
              </a:extLst>
            </xdr:cNvPr>
            <xdr:cNvSpPr txBox="1"/>
          </xdr:nvSpPr>
          <xdr:spPr>
            <a:xfrm>
              <a:off x="1294279" y="2594245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𝒖_𝒃</a:t>
              </a:r>
              <a:endParaRPr lang="es-CO" sz="1100" b="1"/>
            </a:p>
          </xdr:txBody>
        </xdr:sp>
      </mc:Fallback>
    </mc:AlternateContent>
    <xdr:clientData/>
  </xdr:oneCellAnchor>
  <xdr:oneCellAnchor>
    <xdr:from>
      <xdr:col>1</xdr:col>
      <xdr:colOff>261391</xdr:colOff>
      <xdr:row>66</xdr:row>
      <xdr:rowOff>294234</xdr:rowOff>
    </xdr:from>
    <xdr:ext cx="195053" cy="172227"/>
    <mc:AlternateContent xmlns:mc="http://schemas.openxmlformats.org/markup-compatibility/2006" xmlns:a14="http://schemas.microsoft.com/office/drawing/2010/main">
      <mc:Choice Requires="a14">
        <xdr:sp macro="" textlink="">
          <xdr:nvSpPr>
            <xdr:cNvPr id="11" name="CuadroTexto 10">
              <a:extLst>
                <a:ext uri="{FF2B5EF4-FFF2-40B4-BE49-F238E27FC236}">
                  <a16:creationId xmlns:a16="http://schemas.microsoft.com/office/drawing/2014/main" id="{00000000-0008-0000-0700-00000B000000}"/>
                </a:ext>
              </a:extLst>
            </xdr:cNvPr>
            <xdr:cNvSpPr txBox="1"/>
          </xdr:nvSpPr>
          <xdr:spPr>
            <a:xfrm>
              <a:off x="1290091" y="26684834"/>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𝒅</m:t>
                        </m:r>
                      </m:sub>
                    </m:sSub>
                  </m:oMath>
                </m:oMathPara>
              </a14:m>
              <a:endParaRPr lang="es-CO" sz="1100" b="1"/>
            </a:p>
          </xdr:txBody>
        </xdr:sp>
      </mc:Choice>
      <mc:Fallback xmlns="">
        <xdr:sp macro="" textlink="">
          <xdr:nvSpPr>
            <xdr:cNvPr id="11" name="CuadroTexto 10">
              <a:extLst>
                <a:ext uri="{FF2B5EF4-FFF2-40B4-BE49-F238E27FC236}">
                  <a16:creationId xmlns:a16="http://schemas.microsoft.com/office/drawing/2014/main" id="{C3972A7B-AD6C-43D8-8F9B-5743925680E7}"/>
                </a:ext>
              </a:extLst>
            </xdr:cNvPr>
            <xdr:cNvSpPr txBox="1"/>
          </xdr:nvSpPr>
          <xdr:spPr>
            <a:xfrm>
              <a:off x="1290091" y="26684834"/>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𝒖_𝒅</a:t>
              </a:r>
              <a:endParaRPr lang="es-CO" sz="1100" b="1"/>
            </a:p>
          </xdr:txBody>
        </xdr:sp>
      </mc:Fallback>
    </mc:AlternateContent>
    <xdr:clientData/>
  </xdr:oneCellAnchor>
  <xdr:oneCellAnchor>
    <xdr:from>
      <xdr:col>5</xdr:col>
      <xdr:colOff>393571</xdr:colOff>
      <xdr:row>69</xdr:row>
      <xdr:rowOff>265119</xdr:rowOff>
    </xdr:from>
    <xdr:ext cx="529697" cy="172227"/>
    <mc:AlternateContent xmlns:mc="http://schemas.openxmlformats.org/markup-compatibility/2006" xmlns:a14="http://schemas.microsoft.com/office/drawing/2010/main">
      <mc:Choice Requires="a14">
        <xdr:sp macro="" textlink="">
          <xdr:nvSpPr>
            <xdr:cNvPr id="12" name="CuadroTexto 11">
              <a:extLst>
                <a:ext uri="{FF2B5EF4-FFF2-40B4-BE49-F238E27FC236}">
                  <a16:creationId xmlns:a16="http://schemas.microsoft.com/office/drawing/2014/main" id="{00000000-0008-0000-0700-00000C000000}"/>
                </a:ext>
              </a:extLst>
            </xdr:cNvPr>
            <xdr:cNvSpPr txBox="1"/>
          </xdr:nvSpPr>
          <xdr:spPr>
            <a:xfrm>
              <a:off x="5632321" y="28217819"/>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𝒄</m:t>
                        </m:r>
                      </m:sub>
                    </m:sSub>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12" name="CuadroTexto 11">
              <a:extLst>
                <a:ext uri="{FF2B5EF4-FFF2-40B4-BE49-F238E27FC236}">
                  <a16:creationId xmlns:a16="http://schemas.microsoft.com/office/drawing/2014/main" id="{88282CDF-36E3-46A8-B328-41B0078141E5}"/>
                </a:ext>
              </a:extLst>
            </xdr:cNvPr>
            <xdr:cNvSpPr txBox="1"/>
          </xdr:nvSpPr>
          <xdr:spPr>
            <a:xfrm>
              <a:off x="5632321" y="28217819"/>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𝒖_𝒄 (</a:t>
              </a:r>
              <a:r>
                <a:rPr lang="es-CO" sz="1100" b="1" i="0">
                  <a:latin typeface="Cambria Math" panose="02040503050406030204" pitchFamily="18" charset="0"/>
                  <a:ea typeface="Cambria Math" panose="02040503050406030204" pitchFamily="18" charset="0"/>
                </a:rPr>
                <a:t>𝒎_𝒄𝒕)</a:t>
              </a:r>
              <a:endParaRPr lang="es-CO" sz="1100" b="1"/>
            </a:p>
          </xdr:txBody>
        </xdr:sp>
      </mc:Fallback>
    </mc:AlternateContent>
    <xdr:clientData/>
  </xdr:oneCellAnchor>
  <xdr:oneCellAnchor>
    <xdr:from>
      <xdr:col>5</xdr:col>
      <xdr:colOff>243965</xdr:colOff>
      <xdr:row>70</xdr:row>
      <xdr:rowOff>130277</xdr:rowOff>
    </xdr:from>
    <xdr:ext cx="780598" cy="172227"/>
    <mc:AlternateContent xmlns:mc="http://schemas.openxmlformats.org/markup-compatibility/2006" xmlns:a14="http://schemas.microsoft.com/office/drawing/2010/main">
      <mc:Choice Requires="a14">
        <xdr:sp macro="" textlink="">
          <xdr:nvSpPr>
            <xdr:cNvPr id="13" name="CuadroTexto 12">
              <a:extLst>
                <a:ext uri="{FF2B5EF4-FFF2-40B4-BE49-F238E27FC236}">
                  <a16:creationId xmlns:a16="http://schemas.microsoft.com/office/drawing/2014/main" id="{00000000-0008-0000-0700-00000D000000}"/>
                </a:ext>
              </a:extLst>
            </xdr:cNvPr>
            <xdr:cNvSpPr txBox="1"/>
          </xdr:nvSpPr>
          <xdr:spPr>
            <a:xfrm>
              <a:off x="5482715" y="2873702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100" b="1" i="1">
                      <a:latin typeface="Cambria Math" panose="02040503050406030204" pitchFamily="18" charset="0"/>
                    </a:rPr>
                    <m:t>𝑼</m:t>
                  </m:r>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a14:m>
              <a:r>
                <a:rPr lang="es-CO" sz="1100" b="1"/>
                <a:t> (k=2)</a:t>
              </a:r>
            </a:p>
          </xdr:txBody>
        </xdr:sp>
      </mc:Choice>
      <mc:Fallback xmlns="">
        <xdr:sp macro="" textlink="">
          <xdr:nvSpPr>
            <xdr:cNvPr id="13" name="CuadroTexto 12">
              <a:extLst>
                <a:ext uri="{FF2B5EF4-FFF2-40B4-BE49-F238E27FC236}">
                  <a16:creationId xmlns:a16="http://schemas.microsoft.com/office/drawing/2014/main" id="{67FBE46F-4C4E-4602-9D8B-A2468AEB784F}"/>
                </a:ext>
              </a:extLst>
            </xdr:cNvPr>
            <xdr:cNvSpPr txBox="1"/>
          </xdr:nvSpPr>
          <xdr:spPr>
            <a:xfrm>
              <a:off x="5482715" y="2873702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100" b="1" i="0">
                  <a:latin typeface="Cambria Math" panose="02040503050406030204" pitchFamily="18" charset="0"/>
                </a:rPr>
                <a:t>𝑼(</a:t>
              </a:r>
              <a:r>
                <a:rPr lang="es-CO" sz="1100" b="1" i="0">
                  <a:latin typeface="Cambria Math" panose="02040503050406030204" pitchFamily="18" charset="0"/>
                  <a:ea typeface="Cambria Math" panose="02040503050406030204" pitchFamily="18" charset="0"/>
                </a:rPr>
                <a:t>𝒎_𝒄𝒕)</a:t>
              </a:r>
              <a:r>
                <a:rPr lang="es-CO" sz="1100" b="1"/>
                <a:t> (k=2)</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14" name="CuadroTexto 13">
              <a:extLst>
                <a:ext uri="{FF2B5EF4-FFF2-40B4-BE49-F238E27FC236}">
                  <a16:creationId xmlns:a16="http://schemas.microsoft.com/office/drawing/2014/main" id="{00000000-0008-0000-0700-00000E000000}"/>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14" name="CuadroTexto 13">
              <a:extLst>
                <a:ext uri="{FF2B5EF4-FFF2-40B4-BE49-F238E27FC236}">
                  <a16:creationId xmlns:a16="http://schemas.microsoft.com/office/drawing/2014/main" id="{1C1B3EBB-D5CA-4560-8F0E-EED134545042}"/>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8</xdr:col>
      <xdr:colOff>541269</xdr:colOff>
      <xdr:row>52</xdr:row>
      <xdr:rowOff>78683</xdr:rowOff>
    </xdr:from>
    <xdr:ext cx="304571" cy="172227"/>
    <mc:AlternateContent xmlns:mc="http://schemas.openxmlformats.org/markup-compatibility/2006" xmlns:a14="http://schemas.microsoft.com/office/drawing/2010/main">
      <mc:Choice Requires="a14">
        <xdr:sp macro="" textlink="">
          <xdr:nvSpPr>
            <xdr:cNvPr id="15" name="CuadroTexto 14">
              <a:extLst>
                <a:ext uri="{FF2B5EF4-FFF2-40B4-BE49-F238E27FC236}">
                  <a16:creationId xmlns:a16="http://schemas.microsoft.com/office/drawing/2014/main" id="{00000000-0008-0000-0700-00000F000000}"/>
                </a:ext>
              </a:extLst>
            </xdr:cNvPr>
            <xdr:cNvSpPr txBox="1"/>
          </xdr:nvSpPr>
          <xdr:spPr>
            <a:xfrm>
              <a:off x="9882119" y="18595283"/>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oMath>
                </m:oMathPara>
              </a14:m>
              <a:endParaRPr lang="es-CO" sz="1100" b="1"/>
            </a:p>
          </xdr:txBody>
        </xdr:sp>
      </mc:Choice>
      <mc:Fallback xmlns="">
        <xdr:sp macro="" textlink="">
          <xdr:nvSpPr>
            <xdr:cNvPr id="15" name="CuadroTexto 14">
              <a:extLst>
                <a:ext uri="{FF2B5EF4-FFF2-40B4-BE49-F238E27FC236}">
                  <a16:creationId xmlns:a16="http://schemas.microsoft.com/office/drawing/2014/main" id="{5117B275-A1BF-4BD7-8FD2-1594894FDA5B}"/>
                </a:ext>
              </a:extLst>
            </xdr:cNvPr>
            <xdr:cNvSpPr txBox="1"/>
          </xdr:nvSpPr>
          <xdr:spPr>
            <a:xfrm>
              <a:off x="9882119" y="18595283"/>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4</xdr:col>
      <xdr:colOff>155713</xdr:colOff>
      <xdr:row>39</xdr:row>
      <xdr:rowOff>106017</xdr:rowOff>
    </xdr:from>
    <xdr:ext cx="65" cy="172227"/>
    <xdr:sp macro="" textlink="">
      <xdr:nvSpPr>
        <xdr:cNvPr id="16" name="CuadroTexto 15">
          <a:extLst>
            <a:ext uri="{FF2B5EF4-FFF2-40B4-BE49-F238E27FC236}">
              <a16:creationId xmlns:a16="http://schemas.microsoft.com/office/drawing/2014/main" id="{00000000-0008-0000-0700-000010000000}"/>
            </a:ext>
          </a:extLst>
        </xdr:cNvPr>
        <xdr:cNvSpPr txBox="1"/>
      </xdr:nvSpPr>
      <xdr:spPr>
        <a:xfrm>
          <a:off x="4308613" y="1369501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17" name="CuadroTexto 16">
              <a:extLst>
                <a:ext uri="{FF2B5EF4-FFF2-40B4-BE49-F238E27FC236}">
                  <a16:creationId xmlns:a16="http://schemas.microsoft.com/office/drawing/2014/main" id="{00000000-0008-0000-0700-000011000000}"/>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7" name="CuadroTexto 16">
              <a:extLst>
                <a:ext uri="{FF2B5EF4-FFF2-40B4-BE49-F238E27FC236}">
                  <a16:creationId xmlns:a16="http://schemas.microsoft.com/office/drawing/2014/main" id="{8E8EF8EB-B93C-4C5D-869E-2B709BE7D344}"/>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18" name="CuadroTexto 17">
              <a:extLst>
                <a:ext uri="{FF2B5EF4-FFF2-40B4-BE49-F238E27FC236}">
                  <a16:creationId xmlns:a16="http://schemas.microsoft.com/office/drawing/2014/main" id="{00000000-0008-0000-0700-000012000000}"/>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18" name="CuadroTexto 17">
              <a:extLst>
                <a:ext uri="{FF2B5EF4-FFF2-40B4-BE49-F238E27FC236}">
                  <a16:creationId xmlns:a16="http://schemas.microsoft.com/office/drawing/2014/main" id="{CB144173-BFBE-4B94-874B-05E7B7FEF11A}"/>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19" name="CuadroTexto 18">
              <a:extLst>
                <a:ext uri="{FF2B5EF4-FFF2-40B4-BE49-F238E27FC236}">
                  <a16:creationId xmlns:a16="http://schemas.microsoft.com/office/drawing/2014/main" id="{00000000-0008-0000-0700-000013000000}"/>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9" name="CuadroTexto 18">
              <a:extLst>
                <a:ext uri="{FF2B5EF4-FFF2-40B4-BE49-F238E27FC236}">
                  <a16:creationId xmlns:a16="http://schemas.microsoft.com/office/drawing/2014/main" id="{7110B64F-40AA-43A4-80EA-94AEDFF3A42C}"/>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0" name="CuadroTexto 19">
              <a:extLst>
                <a:ext uri="{FF2B5EF4-FFF2-40B4-BE49-F238E27FC236}">
                  <a16:creationId xmlns:a16="http://schemas.microsoft.com/office/drawing/2014/main" id="{00000000-0008-0000-0700-000014000000}"/>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0" name="CuadroTexto 19">
              <a:extLst>
                <a:ext uri="{FF2B5EF4-FFF2-40B4-BE49-F238E27FC236}">
                  <a16:creationId xmlns:a16="http://schemas.microsoft.com/office/drawing/2014/main" id="{3F2479A2-BE19-4C71-98EE-5FE4670241FA}"/>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1" name="CuadroTexto 20">
          <a:extLst>
            <a:ext uri="{FF2B5EF4-FFF2-40B4-BE49-F238E27FC236}">
              <a16:creationId xmlns:a16="http://schemas.microsoft.com/office/drawing/2014/main" id="{00000000-0008-0000-0700-000015000000}"/>
            </a:ext>
          </a:extLst>
        </xdr:cNvPr>
        <xdr:cNvSpPr txBox="1"/>
      </xdr:nvSpPr>
      <xdr:spPr>
        <a:xfrm>
          <a:off x="1376572" y="14521621"/>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3</xdr:col>
      <xdr:colOff>236456</xdr:colOff>
      <xdr:row>73</xdr:row>
      <xdr:rowOff>141002</xdr:rowOff>
    </xdr:from>
    <xdr:ext cx="730521" cy="219163"/>
    <mc:AlternateContent xmlns:mc="http://schemas.openxmlformats.org/markup-compatibility/2006" xmlns:a14="http://schemas.microsoft.com/office/drawing/2010/main">
      <mc:Choice Requires="a14">
        <xdr:sp macro="" textlink="">
          <xdr:nvSpPr>
            <xdr:cNvPr id="22" name="CuadroTexto 21">
              <a:extLst>
                <a:ext uri="{FF2B5EF4-FFF2-40B4-BE49-F238E27FC236}">
                  <a16:creationId xmlns:a16="http://schemas.microsoft.com/office/drawing/2014/main" id="{00000000-0008-0000-0700-000016000000}"/>
                </a:ext>
              </a:extLst>
            </xdr:cNvPr>
            <xdr:cNvSpPr txBox="1"/>
          </xdr:nvSpPr>
          <xdr:spPr>
            <a:xfrm>
              <a:off x="3201906" y="30062202"/>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m:t>
                  </m:r>
                  <m:sSub>
                    <m:sSubPr>
                      <m:ctrlPr>
                        <a:rPr lang="es-CO" sz="1400" b="1" i="1">
                          <a:latin typeface="Cambria Math" panose="02040503050406030204" pitchFamily="18" charset="0"/>
                          <a:ea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𝒎</m:t>
                      </m:r>
                    </m:e>
                    <m:sub>
                      <m:r>
                        <a:rPr lang="es-CO" sz="1400" b="1" i="1">
                          <a:latin typeface="Cambria Math" panose="02040503050406030204" pitchFamily="18" charset="0"/>
                          <a:ea typeface="Cambria Math" panose="02040503050406030204" pitchFamily="18" charset="0"/>
                        </a:rPr>
                        <m:t>𝒄</m:t>
                      </m:r>
                    </m:sub>
                  </m:sSub>
                </m:oMath>
              </a14:m>
              <a:r>
                <a:rPr lang="es-CO" sz="1400" b="1" i="1"/>
                <a:t> (mg</a:t>
              </a:r>
              <a:r>
                <a:rPr lang="es-CO" sz="1200" b="1" i="0"/>
                <a:t>)</a:t>
              </a:r>
            </a:p>
          </xdr:txBody>
        </xdr:sp>
      </mc:Choice>
      <mc:Fallback xmlns="">
        <xdr:sp macro="" textlink="">
          <xdr:nvSpPr>
            <xdr:cNvPr id="22" name="CuadroTexto 21">
              <a:extLst>
                <a:ext uri="{FF2B5EF4-FFF2-40B4-BE49-F238E27FC236}">
                  <a16:creationId xmlns:a16="http://schemas.microsoft.com/office/drawing/2014/main" id="{EFF7CF12-668D-4F67-BA88-F4EA522229C1}"/>
                </a:ext>
              </a:extLst>
            </xdr:cNvPr>
            <xdr:cNvSpPr txBox="1"/>
          </xdr:nvSpPr>
          <xdr:spPr>
            <a:xfrm>
              <a:off x="3201906" y="30062202"/>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400" b="1" i="0">
                  <a:latin typeface="Cambria Math" panose="02040503050406030204" pitchFamily="18" charset="0"/>
                  <a:ea typeface="Cambria Math" panose="02040503050406030204" pitchFamily="18" charset="0"/>
                </a:rPr>
                <a:t>∆𝒎_𝒄</a:t>
              </a:r>
              <a:r>
                <a:rPr lang="es-CO" sz="1400" b="1" i="1"/>
                <a:t> (mg</a:t>
              </a:r>
              <a:r>
                <a:rPr lang="es-CO" sz="1200" b="1" i="0"/>
                <a:t>)</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23" name="CuadroTexto 22">
              <a:extLst>
                <a:ext uri="{FF2B5EF4-FFF2-40B4-BE49-F238E27FC236}">
                  <a16:creationId xmlns:a16="http://schemas.microsoft.com/office/drawing/2014/main" id="{00000000-0008-0000-0700-000017000000}"/>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23" name="CuadroTexto 22">
              <a:extLst>
                <a:ext uri="{FF2B5EF4-FFF2-40B4-BE49-F238E27FC236}">
                  <a16:creationId xmlns:a16="http://schemas.microsoft.com/office/drawing/2014/main" id="{8121A526-E4CE-4B04-AC1A-5990BAB94A91}"/>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24" name="CuadroTexto 23">
          <a:extLst>
            <a:ext uri="{FF2B5EF4-FFF2-40B4-BE49-F238E27FC236}">
              <a16:creationId xmlns:a16="http://schemas.microsoft.com/office/drawing/2014/main" id="{00000000-0008-0000-0700-000018000000}"/>
            </a:ext>
          </a:extLst>
        </xdr:cNvPr>
        <xdr:cNvSpPr txBox="1"/>
      </xdr:nvSpPr>
      <xdr:spPr>
        <a:xfrm>
          <a:off x="4308613" y="1369501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25" name="CuadroTexto 24">
              <a:extLst>
                <a:ext uri="{FF2B5EF4-FFF2-40B4-BE49-F238E27FC236}">
                  <a16:creationId xmlns:a16="http://schemas.microsoft.com/office/drawing/2014/main" id="{00000000-0008-0000-0700-000019000000}"/>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5" name="CuadroTexto 24">
              <a:extLst>
                <a:ext uri="{FF2B5EF4-FFF2-40B4-BE49-F238E27FC236}">
                  <a16:creationId xmlns:a16="http://schemas.microsoft.com/office/drawing/2014/main" id="{DA599F91-50B4-43B1-95DF-DCEB6BC20D6E}"/>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26" name="CuadroTexto 25">
              <a:extLst>
                <a:ext uri="{FF2B5EF4-FFF2-40B4-BE49-F238E27FC236}">
                  <a16:creationId xmlns:a16="http://schemas.microsoft.com/office/drawing/2014/main" id="{00000000-0008-0000-0700-00001A000000}"/>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6" name="CuadroTexto 25">
              <a:extLst>
                <a:ext uri="{FF2B5EF4-FFF2-40B4-BE49-F238E27FC236}">
                  <a16:creationId xmlns:a16="http://schemas.microsoft.com/office/drawing/2014/main" id="{8473DE09-5C4C-485D-B3A3-1727A490A443}"/>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27" name="CuadroTexto 26">
              <a:extLst>
                <a:ext uri="{FF2B5EF4-FFF2-40B4-BE49-F238E27FC236}">
                  <a16:creationId xmlns:a16="http://schemas.microsoft.com/office/drawing/2014/main" id="{00000000-0008-0000-0700-00001B000000}"/>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7" name="CuadroTexto 26">
              <a:extLst>
                <a:ext uri="{FF2B5EF4-FFF2-40B4-BE49-F238E27FC236}">
                  <a16:creationId xmlns:a16="http://schemas.microsoft.com/office/drawing/2014/main" id="{02E2B7D8-A516-40AC-BCAC-7861B0A20379}"/>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8" name="CuadroTexto 27">
              <a:extLst>
                <a:ext uri="{FF2B5EF4-FFF2-40B4-BE49-F238E27FC236}">
                  <a16:creationId xmlns:a16="http://schemas.microsoft.com/office/drawing/2014/main" id="{00000000-0008-0000-0700-00001C000000}"/>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8" name="CuadroTexto 27">
              <a:extLst>
                <a:ext uri="{FF2B5EF4-FFF2-40B4-BE49-F238E27FC236}">
                  <a16:creationId xmlns:a16="http://schemas.microsoft.com/office/drawing/2014/main" id="{E7E8E122-D248-4701-8730-9920462E8D62}"/>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9" name="CuadroTexto 28">
          <a:extLst>
            <a:ext uri="{FF2B5EF4-FFF2-40B4-BE49-F238E27FC236}">
              <a16:creationId xmlns:a16="http://schemas.microsoft.com/office/drawing/2014/main" id="{00000000-0008-0000-0700-00001D000000}"/>
            </a:ext>
          </a:extLst>
        </xdr:cNvPr>
        <xdr:cNvSpPr txBox="1"/>
      </xdr:nvSpPr>
      <xdr:spPr>
        <a:xfrm>
          <a:off x="1376572" y="14521621"/>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30" name="CuadroTexto 29">
              <a:extLst>
                <a:ext uri="{FF2B5EF4-FFF2-40B4-BE49-F238E27FC236}">
                  <a16:creationId xmlns:a16="http://schemas.microsoft.com/office/drawing/2014/main" id="{00000000-0008-0000-0700-00001E000000}"/>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30" name="CuadroTexto 29">
              <a:extLst>
                <a:ext uri="{FF2B5EF4-FFF2-40B4-BE49-F238E27FC236}">
                  <a16:creationId xmlns:a16="http://schemas.microsoft.com/office/drawing/2014/main" id="{5A8B90C6-2746-4430-A2A0-D7E97C037433}"/>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31" name="CuadroTexto 30">
          <a:extLst>
            <a:ext uri="{FF2B5EF4-FFF2-40B4-BE49-F238E27FC236}">
              <a16:creationId xmlns:a16="http://schemas.microsoft.com/office/drawing/2014/main" id="{00000000-0008-0000-0700-00001F000000}"/>
            </a:ext>
          </a:extLst>
        </xdr:cNvPr>
        <xdr:cNvSpPr txBox="1"/>
      </xdr:nvSpPr>
      <xdr:spPr>
        <a:xfrm>
          <a:off x="4308613" y="1369501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32" name="CuadroTexto 31">
              <a:extLst>
                <a:ext uri="{FF2B5EF4-FFF2-40B4-BE49-F238E27FC236}">
                  <a16:creationId xmlns:a16="http://schemas.microsoft.com/office/drawing/2014/main" id="{00000000-0008-0000-0700-000020000000}"/>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2" name="CuadroTexto 31">
              <a:extLst>
                <a:ext uri="{FF2B5EF4-FFF2-40B4-BE49-F238E27FC236}">
                  <a16:creationId xmlns:a16="http://schemas.microsoft.com/office/drawing/2014/main" id="{549BB44C-835A-4A33-A22E-3D8507C2D15D}"/>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33" name="CuadroTexto 32">
              <a:extLst>
                <a:ext uri="{FF2B5EF4-FFF2-40B4-BE49-F238E27FC236}">
                  <a16:creationId xmlns:a16="http://schemas.microsoft.com/office/drawing/2014/main" id="{00000000-0008-0000-0700-000021000000}"/>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3" name="CuadroTexto 32">
              <a:extLst>
                <a:ext uri="{FF2B5EF4-FFF2-40B4-BE49-F238E27FC236}">
                  <a16:creationId xmlns:a16="http://schemas.microsoft.com/office/drawing/2014/main" id="{8535077C-B72F-46A4-A247-507B9206F42C}"/>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34" name="CuadroTexto 33">
              <a:extLst>
                <a:ext uri="{FF2B5EF4-FFF2-40B4-BE49-F238E27FC236}">
                  <a16:creationId xmlns:a16="http://schemas.microsoft.com/office/drawing/2014/main" id="{00000000-0008-0000-0700-000022000000}"/>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4" name="CuadroTexto 33">
              <a:extLst>
                <a:ext uri="{FF2B5EF4-FFF2-40B4-BE49-F238E27FC236}">
                  <a16:creationId xmlns:a16="http://schemas.microsoft.com/office/drawing/2014/main" id="{9E94E07C-43C3-466B-A4BC-31FDF7D483EE}"/>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35" name="CuadroTexto 34">
              <a:extLst>
                <a:ext uri="{FF2B5EF4-FFF2-40B4-BE49-F238E27FC236}">
                  <a16:creationId xmlns:a16="http://schemas.microsoft.com/office/drawing/2014/main" id="{00000000-0008-0000-0700-000023000000}"/>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5" name="CuadroTexto 34">
              <a:extLst>
                <a:ext uri="{FF2B5EF4-FFF2-40B4-BE49-F238E27FC236}">
                  <a16:creationId xmlns:a16="http://schemas.microsoft.com/office/drawing/2014/main" id="{F72E885C-433F-4035-9CC4-1D34CD580AC3}"/>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36" name="CuadroTexto 35">
          <a:extLst>
            <a:ext uri="{FF2B5EF4-FFF2-40B4-BE49-F238E27FC236}">
              <a16:creationId xmlns:a16="http://schemas.microsoft.com/office/drawing/2014/main" id="{00000000-0008-0000-0700-000024000000}"/>
            </a:ext>
          </a:extLst>
        </xdr:cNvPr>
        <xdr:cNvSpPr txBox="1"/>
      </xdr:nvSpPr>
      <xdr:spPr>
        <a:xfrm>
          <a:off x="1376572" y="14521621"/>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11</xdr:col>
      <xdr:colOff>628650</xdr:colOff>
      <xdr:row>61</xdr:row>
      <xdr:rowOff>0</xdr:rowOff>
    </xdr:from>
    <xdr:ext cx="65" cy="172227"/>
    <xdr:sp macro="" textlink="">
      <xdr:nvSpPr>
        <xdr:cNvPr id="37" name="CuadroTexto 36">
          <a:extLst>
            <a:ext uri="{FF2B5EF4-FFF2-40B4-BE49-F238E27FC236}">
              <a16:creationId xmlns:a16="http://schemas.microsoft.com/office/drawing/2014/main" id="{00000000-0008-0000-0700-000025000000}"/>
            </a:ext>
          </a:extLst>
        </xdr:cNvPr>
        <xdr:cNvSpPr txBox="1"/>
      </xdr:nvSpPr>
      <xdr:spPr>
        <a:xfrm>
          <a:off x="12693650" y="22707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5</xdr:col>
      <xdr:colOff>539750</xdr:colOff>
      <xdr:row>73</xdr:row>
      <xdr:rowOff>158749</xdr:rowOff>
    </xdr:from>
    <xdr:ext cx="984250" cy="210507"/>
    <mc:AlternateContent xmlns:mc="http://schemas.openxmlformats.org/markup-compatibility/2006" xmlns:a14="http://schemas.microsoft.com/office/drawing/2010/main">
      <mc:Choice Requires="a14">
        <xdr:sp macro="" textlink="">
          <xdr:nvSpPr>
            <xdr:cNvPr id="38" name="CuadroTexto 37">
              <a:extLst>
                <a:ext uri="{FF2B5EF4-FFF2-40B4-BE49-F238E27FC236}">
                  <a16:creationId xmlns:a16="http://schemas.microsoft.com/office/drawing/2014/main" id="{00000000-0008-0000-0700-000026000000}"/>
                </a:ext>
              </a:extLst>
            </xdr:cNvPr>
            <xdr:cNvSpPr txBox="1"/>
          </xdr:nvSpPr>
          <xdr:spPr>
            <a:xfrm>
              <a:off x="5778500" y="30079949"/>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𝒆</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38" name="CuadroTexto 37">
              <a:extLst>
                <a:ext uri="{FF2B5EF4-FFF2-40B4-BE49-F238E27FC236}">
                  <a16:creationId xmlns:a16="http://schemas.microsoft.com/office/drawing/2014/main" id="{87E93EF3-CF4D-4C67-8AEC-287C254BC2E8}"/>
                </a:ext>
              </a:extLst>
            </xdr:cNvPr>
            <xdr:cNvSpPr txBox="1"/>
          </xdr:nvSpPr>
          <xdr:spPr>
            <a:xfrm>
              <a:off x="5778500" y="30079949"/>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𝒆 𝒄𝒕</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4</xdr:col>
      <xdr:colOff>52917</xdr:colOff>
      <xdr:row>73</xdr:row>
      <xdr:rowOff>148167</xdr:rowOff>
    </xdr:from>
    <xdr:ext cx="984250" cy="210507"/>
    <mc:AlternateContent xmlns:mc="http://schemas.openxmlformats.org/markup-compatibility/2006" xmlns:a14="http://schemas.microsoft.com/office/drawing/2010/main">
      <mc:Choice Requires="a14">
        <xdr:sp macro="" textlink="">
          <xdr:nvSpPr>
            <xdr:cNvPr id="39" name="CuadroTexto 38">
              <a:extLst>
                <a:ext uri="{FF2B5EF4-FFF2-40B4-BE49-F238E27FC236}">
                  <a16:creationId xmlns:a16="http://schemas.microsoft.com/office/drawing/2014/main" id="{00000000-0008-0000-0700-000027000000}"/>
                </a:ext>
              </a:extLst>
            </xdr:cNvPr>
            <xdr:cNvSpPr txBox="1"/>
          </xdr:nvSpPr>
          <xdr:spPr>
            <a:xfrm>
              <a:off x="4205817" y="30069367"/>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39" name="CuadroTexto 38">
              <a:extLst>
                <a:ext uri="{FF2B5EF4-FFF2-40B4-BE49-F238E27FC236}">
                  <a16:creationId xmlns:a16="http://schemas.microsoft.com/office/drawing/2014/main" id="{69D79D6D-4888-4D2F-9F7E-7E8490117E1B}"/>
                </a:ext>
              </a:extLst>
            </xdr:cNvPr>
            <xdr:cNvSpPr txBox="1"/>
          </xdr:nvSpPr>
          <xdr:spPr>
            <a:xfrm>
              <a:off x="4205817" y="30069367"/>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𝒄𝒕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1</xdr:col>
      <xdr:colOff>35717</xdr:colOff>
      <xdr:row>73</xdr:row>
      <xdr:rowOff>95251</xdr:rowOff>
    </xdr:from>
    <xdr:ext cx="837407" cy="210507"/>
    <mc:AlternateContent xmlns:mc="http://schemas.openxmlformats.org/markup-compatibility/2006" xmlns:a14="http://schemas.microsoft.com/office/drawing/2010/main">
      <mc:Choice Requires="a14">
        <xdr:sp macro="" textlink="">
          <xdr:nvSpPr>
            <xdr:cNvPr id="40" name="CuadroTexto 39">
              <a:extLst>
                <a:ext uri="{FF2B5EF4-FFF2-40B4-BE49-F238E27FC236}">
                  <a16:creationId xmlns:a16="http://schemas.microsoft.com/office/drawing/2014/main" id="{00000000-0008-0000-0700-000028000000}"/>
                </a:ext>
              </a:extLst>
            </xdr:cNvPr>
            <xdr:cNvSpPr txBox="1"/>
          </xdr:nvSpPr>
          <xdr:spPr>
            <a:xfrm>
              <a:off x="1067592" y="29908501"/>
              <a:ext cx="837407"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𝑵𝒓</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0" name="CuadroTexto 39">
              <a:extLst>
                <a:ext uri="{FF2B5EF4-FFF2-40B4-BE49-F238E27FC236}">
                  <a16:creationId xmlns:a16="http://schemas.microsoft.com/office/drawing/2014/main" id="{4FA3C6A4-A622-4F0A-B475-0ED6ACDFFE7F}"/>
                </a:ext>
              </a:extLst>
            </xdr:cNvPr>
            <xdr:cNvSpPr txBox="1"/>
          </xdr:nvSpPr>
          <xdr:spPr>
            <a:xfrm>
              <a:off x="1067592" y="29908501"/>
              <a:ext cx="837407"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𝑵𝒓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8</xdr:col>
      <xdr:colOff>624417</xdr:colOff>
      <xdr:row>73</xdr:row>
      <xdr:rowOff>285751</xdr:rowOff>
    </xdr:from>
    <xdr:ext cx="1524000" cy="210507"/>
    <mc:AlternateContent xmlns:mc="http://schemas.openxmlformats.org/markup-compatibility/2006" xmlns:a14="http://schemas.microsoft.com/office/drawing/2010/main">
      <mc:Choice Requires="a14">
        <xdr:sp macro="" textlink="">
          <xdr:nvSpPr>
            <xdr:cNvPr id="41" name="CuadroTexto 40">
              <a:extLst>
                <a:ext uri="{FF2B5EF4-FFF2-40B4-BE49-F238E27FC236}">
                  <a16:creationId xmlns:a16="http://schemas.microsoft.com/office/drawing/2014/main" id="{00000000-0008-0000-0700-000029000000}"/>
                </a:ext>
              </a:extLst>
            </xdr:cNvPr>
            <xdr:cNvSpPr txBox="1"/>
          </xdr:nvSpPr>
          <xdr:spPr>
            <a:xfrm>
              <a:off x="9965267" y="30206951"/>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𝑼</m:t>
                  </m:r>
                  <m:r>
                    <a:rPr lang="es-CO" sz="1400" b="1" i="1">
                      <a:latin typeface="Cambria Math" panose="02040503050406030204" pitchFamily="18" charset="0"/>
                      <a:ea typeface="Cambria Math" panose="02040503050406030204" pitchFamily="18" charset="0"/>
                    </a:rPr>
                    <m:t> </m:t>
                  </m:r>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 </m:t>
                  </m:r>
                  <m:r>
                    <a:rPr lang="es-CO" sz="1400" b="1" i="1">
                      <a:latin typeface="Cambria Math" panose="02040503050406030204" pitchFamily="18" charset="0"/>
                      <a:ea typeface="Cambria Math" panose="02040503050406030204" pitchFamily="18" charset="0"/>
                    </a:rPr>
                    <m:t>𝒌</m:t>
                  </m:r>
                  <m:r>
                    <a:rPr lang="es-CO" sz="1400" b="1" i="1">
                      <a:latin typeface="Cambria Math" panose="02040503050406030204" pitchFamily="18" charset="0"/>
                      <a:ea typeface="Cambria Math" panose="02040503050406030204" pitchFamily="18" charset="0"/>
                    </a:rPr>
                    <m:t>=</m:t>
                  </m:r>
                  <m:r>
                    <a:rPr lang="es-CO" sz="1400" b="1" i="1">
                      <a:latin typeface="Cambria Math" panose="02040503050406030204" pitchFamily="18" charset="0"/>
                      <a:ea typeface="Cambria Math" panose="02040503050406030204" pitchFamily="18" charset="0"/>
                    </a:rPr>
                    <m:t>𝟐</m:t>
                  </m:r>
                </m:oMath>
              </a14:m>
              <a:r>
                <a:rPr lang="es-CO" sz="1400" b="1" i="1">
                  <a:latin typeface="Arial" panose="020B0604020202020204" pitchFamily="34" charset="0"/>
                  <a:cs typeface="Arial" panose="020B0604020202020204" pitchFamily="34" charset="0"/>
                </a:rPr>
                <a:t>)</a:t>
              </a:r>
            </a:p>
          </xdr:txBody>
        </xdr:sp>
      </mc:Choice>
      <mc:Fallback xmlns="">
        <xdr:sp macro="" textlink="">
          <xdr:nvSpPr>
            <xdr:cNvPr id="41" name="CuadroTexto 40">
              <a:extLst>
                <a:ext uri="{FF2B5EF4-FFF2-40B4-BE49-F238E27FC236}">
                  <a16:creationId xmlns:a16="http://schemas.microsoft.com/office/drawing/2014/main" id="{9A9D9D86-0714-42E6-9F62-F4A932BBA480}"/>
                </a:ext>
              </a:extLst>
            </xdr:cNvPr>
            <xdr:cNvSpPr txBox="1"/>
          </xdr:nvSpPr>
          <xdr:spPr>
            <a:xfrm>
              <a:off x="9965267" y="30206951"/>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0">
                  <a:latin typeface="Cambria Math" panose="02040503050406030204" pitchFamily="18" charset="0"/>
                  <a:ea typeface="Cambria Math" panose="02040503050406030204" pitchFamily="18" charset="0"/>
                </a:rPr>
                <a:t>𝑼 ( 𝒎 𝒄𝒕 )  ( 𝒌=𝟐</a:t>
              </a:r>
              <a:r>
                <a:rPr lang="es-CO" sz="1400" b="1" i="1">
                  <a:latin typeface="Arial" panose="020B0604020202020204" pitchFamily="34" charset="0"/>
                  <a:cs typeface="Arial" panose="020B0604020202020204" pitchFamily="34" charset="0"/>
                </a:rPr>
                <a:t>)</a:t>
              </a:r>
            </a:p>
          </xdr:txBody>
        </xdr:sp>
      </mc:Fallback>
    </mc:AlternateContent>
    <xdr:clientData/>
  </xdr:oneCellAnchor>
  <xdr:oneCellAnchor>
    <xdr:from>
      <xdr:col>9</xdr:col>
      <xdr:colOff>603252</xdr:colOff>
      <xdr:row>74</xdr:row>
      <xdr:rowOff>84667</xdr:rowOff>
    </xdr:from>
    <xdr:ext cx="465666" cy="219163"/>
    <xdr:sp macro="" textlink="">
      <xdr:nvSpPr>
        <xdr:cNvPr id="42" name="CuadroTexto 41">
          <a:extLst>
            <a:ext uri="{FF2B5EF4-FFF2-40B4-BE49-F238E27FC236}">
              <a16:creationId xmlns:a16="http://schemas.microsoft.com/office/drawing/2014/main" id="{00000000-0008-0000-0700-00002A000000}"/>
            </a:ext>
          </a:extLst>
        </xdr:cNvPr>
        <xdr:cNvSpPr txBox="1"/>
      </xdr:nvSpPr>
      <xdr:spPr>
        <a:xfrm>
          <a:off x="10909302" y="30520217"/>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9</xdr:col>
      <xdr:colOff>571499</xdr:colOff>
      <xdr:row>75</xdr:row>
      <xdr:rowOff>116416</xdr:rowOff>
    </xdr:from>
    <xdr:ext cx="359835" cy="219163"/>
    <xdr:sp macro="" textlink="">
      <xdr:nvSpPr>
        <xdr:cNvPr id="43" name="CuadroTexto 42">
          <a:extLst>
            <a:ext uri="{FF2B5EF4-FFF2-40B4-BE49-F238E27FC236}">
              <a16:creationId xmlns:a16="http://schemas.microsoft.com/office/drawing/2014/main" id="{00000000-0008-0000-0700-00002B000000}"/>
            </a:ext>
          </a:extLst>
        </xdr:cNvPr>
        <xdr:cNvSpPr txBox="1"/>
      </xdr:nvSpPr>
      <xdr:spPr>
        <a:xfrm>
          <a:off x="10877549" y="30996466"/>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6</xdr:col>
      <xdr:colOff>275167</xdr:colOff>
      <xdr:row>74</xdr:row>
      <xdr:rowOff>148166</xdr:rowOff>
    </xdr:from>
    <xdr:ext cx="465666" cy="219163"/>
    <xdr:sp macro="" textlink="">
      <xdr:nvSpPr>
        <xdr:cNvPr id="44" name="CuadroTexto 43">
          <a:extLst>
            <a:ext uri="{FF2B5EF4-FFF2-40B4-BE49-F238E27FC236}">
              <a16:creationId xmlns:a16="http://schemas.microsoft.com/office/drawing/2014/main" id="{00000000-0008-0000-0700-00002C000000}"/>
            </a:ext>
          </a:extLst>
        </xdr:cNvPr>
        <xdr:cNvSpPr txBox="1"/>
      </xdr:nvSpPr>
      <xdr:spPr>
        <a:xfrm>
          <a:off x="6809317" y="30583716"/>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6</xdr:col>
      <xdr:colOff>328083</xdr:colOff>
      <xdr:row>75</xdr:row>
      <xdr:rowOff>84667</xdr:rowOff>
    </xdr:from>
    <xdr:ext cx="359835" cy="219163"/>
    <xdr:sp macro="" textlink="">
      <xdr:nvSpPr>
        <xdr:cNvPr id="45" name="CuadroTexto 44">
          <a:extLst>
            <a:ext uri="{FF2B5EF4-FFF2-40B4-BE49-F238E27FC236}">
              <a16:creationId xmlns:a16="http://schemas.microsoft.com/office/drawing/2014/main" id="{00000000-0008-0000-0700-00002D000000}"/>
            </a:ext>
          </a:extLst>
        </xdr:cNvPr>
        <xdr:cNvSpPr txBox="1"/>
      </xdr:nvSpPr>
      <xdr:spPr>
        <a:xfrm>
          <a:off x="6862233" y="30964717"/>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3</xdr:col>
      <xdr:colOff>560916</xdr:colOff>
      <xdr:row>72</xdr:row>
      <xdr:rowOff>74084</xdr:rowOff>
    </xdr:from>
    <xdr:ext cx="1524000" cy="210507"/>
    <mc:AlternateContent xmlns:mc="http://schemas.openxmlformats.org/markup-compatibility/2006" xmlns:a14="http://schemas.microsoft.com/office/drawing/2010/main">
      <mc:Choice Requires="a14">
        <xdr:sp macro="" textlink="">
          <xdr:nvSpPr>
            <xdr:cNvPr id="46" name="CuadroTexto 45">
              <a:extLst>
                <a:ext uri="{FF2B5EF4-FFF2-40B4-BE49-F238E27FC236}">
                  <a16:creationId xmlns:a16="http://schemas.microsoft.com/office/drawing/2014/main" id="{00000000-0008-0000-0700-00002E000000}"/>
                </a:ext>
              </a:extLst>
            </xdr:cNvPr>
            <xdr:cNvSpPr txBox="1"/>
          </xdr:nvSpPr>
          <xdr:spPr>
            <a:xfrm>
              <a:off x="3526366" y="29550784"/>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m:t>
                    </m:r>
                  </m:oMath>
                </m:oMathPara>
              </a14:m>
              <a:endParaRPr lang="es-CO" sz="1400" b="1" i="1">
                <a:latin typeface="Arial" panose="020B0604020202020204" pitchFamily="34" charset="0"/>
                <a:cs typeface="Arial" panose="020B0604020202020204" pitchFamily="34" charset="0"/>
              </a:endParaRPr>
            </a:p>
          </xdr:txBody>
        </xdr:sp>
      </mc:Choice>
      <mc:Fallback xmlns="">
        <xdr:sp macro="" textlink="">
          <xdr:nvSpPr>
            <xdr:cNvPr id="46" name="CuadroTexto 45">
              <a:extLst>
                <a:ext uri="{FF2B5EF4-FFF2-40B4-BE49-F238E27FC236}">
                  <a16:creationId xmlns:a16="http://schemas.microsoft.com/office/drawing/2014/main" id="{138D9B4A-EE74-4FB1-AAEC-79A3CB6FAA0C}"/>
                </a:ext>
              </a:extLst>
            </xdr:cNvPr>
            <xdr:cNvSpPr txBox="1"/>
          </xdr:nvSpPr>
          <xdr:spPr>
            <a:xfrm>
              <a:off x="3526366" y="29550784"/>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 𝒎 𝒄𝒕 )   </a:t>
              </a:r>
              <a:endParaRPr lang="es-CO" sz="1400" b="1" i="1">
                <a:latin typeface="Arial" panose="020B0604020202020204" pitchFamily="34" charset="0"/>
                <a:cs typeface="Arial" panose="020B0604020202020204" pitchFamily="34" charset="0"/>
              </a:endParaRPr>
            </a:p>
          </xdr:txBody>
        </xdr:sp>
      </mc:Fallback>
    </mc:AlternateContent>
    <xdr:clientData/>
  </xdr:oneCellAnchor>
  <xdr:oneCellAnchor>
    <xdr:from>
      <xdr:col>7</xdr:col>
      <xdr:colOff>411956</xdr:colOff>
      <xdr:row>71</xdr:row>
      <xdr:rowOff>406003</xdr:rowOff>
    </xdr:from>
    <xdr:ext cx="65" cy="172227"/>
    <xdr:sp macro="" textlink="">
      <xdr:nvSpPr>
        <xdr:cNvPr id="47" name="CuadroTexto 46">
          <a:extLst>
            <a:ext uri="{FF2B5EF4-FFF2-40B4-BE49-F238E27FC236}">
              <a16:creationId xmlns:a16="http://schemas.microsoft.com/office/drawing/2014/main" id="{00000000-0008-0000-0700-00002F000000}"/>
            </a:ext>
          </a:extLst>
        </xdr:cNvPr>
        <xdr:cNvSpPr txBox="1"/>
      </xdr:nvSpPr>
      <xdr:spPr>
        <a:xfrm>
          <a:off x="8044656" y="29457253"/>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49" name="CuadroTexto 48">
              <a:extLst>
                <a:ext uri="{FF2B5EF4-FFF2-40B4-BE49-F238E27FC236}">
                  <a16:creationId xmlns:a16="http://schemas.microsoft.com/office/drawing/2014/main" id="{00000000-0008-0000-0700-000031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49" name="CuadroTexto 48">
              <a:extLst>
                <a:ext uri="{FF2B5EF4-FFF2-40B4-BE49-F238E27FC236}">
                  <a16:creationId xmlns:a16="http://schemas.microsoft.com/office/drawing/2014/main" id="{FBEAE200-6131-443B-A20E-EAFD50DD2A15}"/>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50" name="CuadroTexto 49">
              <a:extLst>
                <a:ext uri="{FF2B5EF4-FFF2-40B4-BE49-F238E27FC236}">
                  <a16:creationId xmlns:a16="http://schemas.microsoft.com/office/drawing/2014/main" id="{00000000-0008-0000-0700-000032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50" name="CuadroTexto 49">
              <a:extLst>
                <a:ext uri="{FF2B5EF4-FFF2-40B4-BE49-F238E27FC236}">
                  <a16:creationId xmlns:a16="http://schemas.microsoft.com/office/drawing/2014/main" id="{6882ECD1-8CA7-4A5C-9E8E-7BE3DF710476}"/>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twoCellAnchor>
    <xdr:from>
      <xdr:col>7</xdr:col>
      <xdr:colOff>1047750</xdr:colOff>
      <xdr:row>62</xdr:row>
      <xdr:rowOff>269875</xdr:rowOff>
    </xdr:from>
    <xdr:to>
      <xdr:col>12</xdr:col>
      <xdr:colOff>182562</xdr:colOff>
      <xdr:row>64</xdr:row>
      <xdr:rowOff>539750</xdr:rowOff>
    </xdr:to>
    <xdr:graphicFrame macro="">
      <xdr:nvGraphicFramePr>
        <xdr:cNvPr id="52" name="Gráfico 51">
          <a:extLst>
            <a:ext uri="{FF2B5EF4-FFF2-40B4-BE49-F238E27FC236}">
              <a16:creationId xmlns:a16="http://schemas.microsoft.com/office/drawing/2014/main" id="{00000000-0008-0000-0700-00003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226218</xdr:colOff>
      <xdr:row>0</xdr:row>
      <xdr:rowOff>47625</xdr:rowOff>
    </xdr:from>
    <xdr:to>
      <xdr:col>1</xdr:col>
      <xdr:colOff>566755</xdr:colOff>
      <xdr:row>0</xdr:row>
      <xdr:rowOff>663374</xdr:rowOff>
    </xdr:to>
    <xdr:pic>
      <xdr:nvPicPr>
        <xdr:cNvPr id="48" name="47 Imagen">
          <a:extLst>
            <a:ext uri="{FF2B5EF4-FFF2-40B4-BE49-F238E27FC236}">
              <a16:creationId xmlns:a16="http://schemas.microsoft.com/office/drawing/2014/main" id="{00000000-0008-0000-0700-000030000000}"/>
            </a:ext>
          </a:extLst>
        </xdr:cNvPr>
        <xdr:cNvPicPr>
          <a:picLocks noChangeAspect="1"/>
        </xdr:cNvPicPr>
      </xdr:nvPicPr>
      <xdr:blipFill>
        <a:blip xmlns:r="http://schemas.openxmlformats.org/officeDocument/2006/relationships" r:embed="rId2"/>
        <a:stretch>
          <a:fillRect/>
        </a:stretch>
      </xdr:blipFill>
      <xdr:spPr>
        <a:xfrm>
          <a:off x="226218" y="47625"/>
          <a:ext cx="1316850" cy="61574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oneCellAnchor>
    <xdr:from>
      <xdr:col>1</xdr:col>
      <xdr:colOff>285935</xdr:colOff>
      <xdr:row>42</xdr:row>
      <xdr:rowOff>169517</xdr:rowOff>
    </xdr:from>
    <xdr:ext cx="177356" cy="176202"/>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00000000-0008-0000-0800-000003000000}"/>
                </a:ext>
              </a:extLst>
            </xdr:cNvPr>
            <xdr:cNvSpPr txBox="1"/>
          </xdr:nvSpPr>
          <xdr:spPr>
            <a:xfrm>
              <a:off x="1314635" y="14958667"/>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bg1"/>
                            </a:solidFill>
                            <a:latin typeface="Cambria Math" panose="02040503050406030204" pitchFamily="18" charset="0"/>
                          </a:rPr>
                        </m:ctrlPr>
                      </m:accPr>
                      <m:e>
                        <m:r>
                          <a:rPr lang="es-CO" sz="1100" b="1" i="1">
                            <a:solidFill>
                              <a:schemeClr val="bg1"/>
                            </a:solidFill>
                            <a:latin typeface="Cambria Math" panose="02040503050406030204" pitchFamily="18" charset="0"/>
                            <a:ea typeface="Cambria Math" panose="02040503050406030204" pitchFamily="18" charset="0"/>
                          </a:rPr>
                          <m:t>∆</m:t>
                        </m:r>
                        <m:r>
                          <a:rPr lang="es-CO" sz="1100" b="1" i="1">
                            <a:solidFill>
                              <a:schemeClr val="bg1"/>
                            </a:solidFill>
                            <a:latin typeface="Cambria Math" panose="02040503050406030204" pitchFamily="18" charset="0"/>
                            <a:ea typeface="Cambria Math" panose="02040503050406030204" pitchFamily="18" charset="0"/>
                          </a:rPr>
                          <m:t>𝑰</m:t>
                        </m:r>
                      </m:e>
                    </m:acc>
                  </m:oMath>
                </m:oMathPara>
              </a14:m>
              <a:endParaRPr lang="es-CO" sz="1100" b="1">
                <a:solidFill>
                  <a:schemeClr val="bg1"/>
                </a:solidFill>
              </a:endParaRPr>
            </a:p>
          </xdr:txBody>
        </xdr:sp>
      </mc:Choice>
      <mc:Fallback xmlns="">
        <xdr:sp macro="" textlink="">
          <xdr:nvSpPr>
            <xdr:cNvPr id="3" name="CuadroTexto 2">
              <a:extLst>
                <a:ext uri="{FF2B5EF4-FFF2-40B4-BE49-F238E27FC236}">
                  <a16:creationId xmlns:a16="http://schemas.microsoft.com/office/drawing/2014/main" id="{8F8AEF0B-9B8C-483A-8F30-39DEB1D10F12}"/>
                </a:ext>
              </a:extLst>
            </xdr:cNvPr>
            <xdr:cNvSpPr txBox="1"/>
          </xdr:nvSpPr>
          <xdr:spPr>
            <a:xfrm>
              <a:off x="1314635" y="14958667"/>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bg1"/>
                  </a:solidFill>
                  <a:latin typeface="Cambria Math" panose="02040503050406030204" pitchFamily="18" charset="0"/>
                </a:rPr>
                <a:t>(</a:t>
              </a:r>
              <a:r>
                <a:rPr lang="es-CO" sz="1100" b="1" i="0">
                  <a:solidFill>
                    <a:schemeClr val="bg1"/>
                  </a:solidFill>
                  <a:latin typeface="Cambria Math" panose="02040503050406030204" pitchFamily="18" charset="0"/>
                  <a:ea typeface="Cambria Math" panose="02040503050406030204" pitchFamily="18" charset="0"/>
                </a:rPr>
                <a:t>∆𝑰) ̅</a:t>
              </a:r>
              <a:endParaRPr lang="es-CO" sz="1100" b="1">
                <a:solidFill>
                  <a:schemeClr val="bg1"/>
                </a:solidFill>
              </a:endParaRPr>
            </a:p>
          </xdr:txBody>
        </xdr:sp>
      </mc:Fallback>
    </mc:AlternateContent>
    <xdr:clientData/>
  </xdr:oneCellAnchor>
  <xdr:oneCellAnchor>
    <xdr:from>
      <xdr:col>1</xdr:col>
      <xdr:colOff>136732</xdr:colOff>
      <xdr:row>58</xdr:row>
      <xdr:rowOff>253032</xdr:rowOff>
    </xdr:from>
    <xdr:ext cx="599716" cy="172227"/>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id="{00000000-0008-0000-0800-000004000000}"/>
                </a:ext>
              </a:extLst>
            </xdr:cNvPr>
            <xdr:cNvSpPr txBox="1"/>
          </xdr:nvSpPr>
          <xdr:spPr>
            <a:xfrm>
              <a:off x="1165432" y="20750832"/>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𝒘</m:t>
                        </m:r>
                      </m:sub>
                    </m:sSub>
                    <m:r>
                      <a:rPr lang="es-CO" sz="1100" b="1" i="1">
                        <a:latin typeface="Cambria Math" panose="02040503050406030204" pitchFamily="18" charset="0"/>
                      </a:rPr>
                      <m:t>(</m:t>
                    </m:r>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4" name="CuadroTexto 3">
              <a:extLst>
                <a:ext uri="{FF2B5EF4-FFF2-40B4-BE49-F238E27FC236}">
                  <a16:creationId xmlns:a16="http://schemas.microsoft.com/office/drawing/2014/main" id="{5226361F-D084-4947-8B5F-340C4E49273F}"/>
                </a:ext>
              </a:extLst>
            </xdr:cNvPr>
            <xdr:cNvSpPr txBox="1"/>
          </xdr:nvSpPr>
          <xdr:spPr>
            <a:xfrm>
              <a:off x="1165432" y="20750832"/>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𝒖_𝒘 (</a:t>
              </a: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1</xdr:col>
      <xdr:colOff>202651</xdr:colOff>
      <xdr:row>61</xdr:row>
      <xdr:rowOff>265287</xdr:rowOff>
    </xdr:from>
    <xdr:ext cx="483915" cy="172227"/>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id="{00000000-0008-0000-0800-000005000000}"/>
                </a:ext>
              </a:extLst>
            </xdr:cNvPr>
            <xdr:cNvSpPr txBox="1"/>
          </xdr:nvSpPr>
          <xdr:spPr>
            <a:xfrm>
              <a:off x="1231351" y="2297288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5" name="CuadroTexto 4">
              <a:extLst>
                <a:ext uri="{FF2B5EF4-FFF2-40B4-BE49-F238E27FC236}">
                  <a16:creationId xmlns:a16="http://schemas.microsoft.com/office/drawing/2014/main" id="{8381F184-5C24-4077-A22C-39B0D98750F0}"/>
                </a:ext>
              </a:extLst>
            </xdr:cNvPr>
            <xdr:cNvSpPr txBox="1"/>
          </xdr:nvSpPr>
          <xdr:spPr>
            <a:xfrm>
              <a:off x="1231351" y="2297288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𝒖(𝒎_𝒄𝒓)</a:t>
              </a:r>
              <a:endParaRPr lang="es-CO" sz="1100" b="1"/>
            </a:p>
          </xdr:txBody>
        </xdr:sp>
      </mc:Fallback>
    </mc:AlternateContent>
    <xdr:clientData/>
  </xdr:oneCellAnchor>
  <xdr:oneCellAnchor>
    <xdr:from>
      <xdr:col>1</xdr:col>
      <xdr:colOff>34166</xdr:colOff>
      <xdr:row>60</xdr:row>
      <xdr:rowOff>250203</xdr:rowOff>
    </xdr:from>
    <xdr:ext cx="689483" cy="172227"/>
    <mc:AlternateContent xmlns:mc="http://schemas.openxmlformats.org/markup-compatibility/2006" xmlns:a14="http://schemas.microsoft.com/office/drawing/2010/main">
      <mc:Choice Requires="a14">
        <xdr:sp macro="" textlink="">
          <xdr:nvSpPr>
            <xdr:cNvPr id="6" name="CuadroTexto 5">
              <a:extLst>
                <a:ext uri="{FF2B5EF4-FFF2-40B4-BE49-F238E27FC236}">
                  <a16:creationId xmlns:a16="http://schemas.microsoft.com/office/drawing/2014/main" id="{00000000-0008-0000-0800-000006000000}"/>
                </a:ext>
              </a:extLst>
            </xdr:cNvPr>
            <xdr:cNvSpPr txBox="1"/>
          </xdr:nvSpPr>
          <xdr:spPr>
            <a:xfrm>
              <a:off x="1062866" y="22221203"/>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𝒊𝒏𝒔𝒕</m:t>
                        </m:r>
                      </m:sub>
                    </m:sSub>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0" i="1">
                        <a:latin typeface="Cambria Math" panose="02040503050406030204" pitchFamily="18" charset="0"/>
                      </a:rPr>
                      <m:t>)</m:t>
                    </m:r>
                  </m:oMath>
                </m:oMathPara>
              </a14:m>
              <a:endParaRPr lang="es-CO" sz="1100"/>
            </a:p>
          </xdr:txBody>
        </xdr:sp>
      </mc:Choice>
      <mc:Fallback xmlns="">
        <xdr:sp macro="" textlink="">
          <xdr:nvSpPr>
            <xdr:cNvPr id="6" name="CuadroTexto 5">
              <a:extLst>
                <a:ext uri="{FF2B5EF4-FFF2-40B4-BE49-F238E27FC236}">
                  <a16:creationId xmlns:a16="http://schemas.microsoft.com/office/drawing/2014/main" id="{15A93F7A-AF40-4858-B225-D84592D22E33}"/>
                </a:ext>
              </a:extLst>
            </xdr:cNvPr>
            <xdr:cNvSpPr txBox="1"/>
          </xdr:nvSpPr>
          <xdr:spPr>
            <a:xfrm>
              <a:off x="1062866" y="22221203"/>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𝒖_𝒊𝒏𝒔𝒕 (𝒎_𝒄𝒓</a:t>
              </a:r>
              <a:r>
                <a:rPr lang="es-CO" sz="1100" b="0" i="0">
                  <a:latin typeface="Cambria Math" panose="02040503050406030204" pitchFamily="18" charset="0"/>
                </a:rPr>
                <a:t>)</a:t>
              </a:r>
              <a:endParaRPr lang="es-CO" sz="1100"/>
            </a:p>
          </xdr:txBody>
        </xdr:sp>
      </mc:Fallback>
    </mc:AlternateContent>
    <xdr:clientData/>
  </xdr:oneCellAnchor>
  <xdr:oneCellAnchor>
    <xdr:from>
      <xdr:col>1</xdr:col>
      <xdr:colOff>183870</xdr:colOff>
      <xdr:row>62</xdr:row>
      <xdr:rowOff>264645</xdr:rowOff>
    </xdr:from>
    <xdr:ext cx="397353" cy="172227"/>
    <mc:AlternateContent xmlns:mc="http://schemas.openxmlformats.org/markup-compatibility/2006" xmlns:a14="http://schemas.microsoft.com/office/drawing/2010/main">
      <mc:Choice Requires="a14">
        <xdr:sp macro="" textlink="">
          <xdr:nvSpPr>
            <xdr:cNvPr id="7" name="CuadroTexto 6">
              <a:extLst>
                <a:ext uri="{FF2B5EF4-FFF2-40B4-BE49-F238E27FC236}">
                  <a16:creationId xmlns:a16="http://schemas.microsoft.com/office/drawing/2014/main" id="{00000000-0008-0000-0800-000007000000}"/>
                </a:ext>
              </a:extLst>
            </xdr:cNvPr>
            <xdr:cNvSpPr txBox="1"/>
          </xdr:nvSpPr>
          <xdr:spPr>
            <a:xfrm>
              <a:off x="1212570" y="23708845"/>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𝒂</m:t>
                        </m:r>
                      </m:sub>
                    </m:sSub>
                    <m:r>
                      <a:rPr lang="es-CO" sz="1100" b="1" i="1">
                        <a:latin typeface="Cambria Math" panose="02040503050406030204" pitchFamily="18" charset="0"/>
                      </a:rPr>
                      <m:t>)</m:t>
                    </m:r>
                  </m:oMath>
                </m:oMathPara>
              </a14:m>
              <a:endParaRPr lang="es-CO" sz="1100" b="1"/>
            </a:p>
          </xdr:txBody>
        </xdr:sp>
      </mc:Choice>
      <mc:Fallback xmlns="">
        <xdr:sp macro="" textlink="">
          <xdr:nvSpPr>
            <xdr:cNvPr id="7" name="CuadroTexto 6">
              <a:extLst>
                <a:ext uri="{FF2B5EF4-FFF2-40B4-BE49-F238E27FC236}">
                  <a16:creationId xmlns:a16="http://schemas.microsoft.com/office/drawing/2014/main" id="{D7DC3947-8B71-4F92-A8CC-A52EAC4B6617}"/>
                </a:ext>
              </a:extLst>
            </xdr:cNvPr>
            <xdr:cNvSpPr txBox="1"/>
          </xdr:nvSpPr>
          <xdr:spPr>
            <a:xfrm>
              <a:off x="1212570" y="23708845"/>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𝒂)</a:t>
              </a:r>
              <a:endParaRPr lang="es-CO" sz="1100" b="1"/>
            </a:p>
          </xdr:txBody>
        </xdr:sp>
      </mc:Fallback>
    </mc:AlternateContent>
    <xdr:clientData/>
  </xdr:oneCellAnchor>
  <xdr:oneCellAnchor>
    <xdr:from>
      <xdr:col>1</xdr:col>
      <xdr:colOff>186298</xdr:colOff>
      <xdr:row>63</xdr:row>
      <xdr:rowOff>266606</xdr:rowOff>
    </xdr:from>
    <xdr:ext cx="376642" cy="172227"/>
    <mc:AlternateContent xmlns:mc="http://schemas.openxmlformats.org/markup-compatibility/2006" xmlns:a14="http://schemas.microsoft.com/office/drawing/2010/main">
      <mc:Choice Requires="a14">
        <xdr:sp macro="" textlink="">
          <xdr:nvSpPr>
            <xdr:cNvPr id="8" name="CuadroTexto 7">
              <a:extLst>
                <a:ext uri="{FF2B5EF4-FFF2-40B4-BE49-F238E27FC236}">
                  <a16:creationId xmlns:a16="http://schemas.microsoft.com/office/drawing/2014/main" id="{00000000-0008-0000-0800-000008000000}"/>
                </a:ext>
              </a:extLst>
            </xdr:cNvPr>
            <xdr:cNvSpPr txBox="1"/>
          </xdr:nvSpPr>
          <xdr:spPr>
            <a:xfrm>
              <a:off x="1214998" y="244474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𝒕</m:t>
                        </m:r>
                      </m:sub>
                    </m:sSub>
                    <m:r>
                      <a:rPr lang="es-CO" sz="1100" b="1" i="1">
                        <a:latin typeface="Cambria Math" panose="02040503050406030204" pitchFamily="18" charset="0"/>
                      </a:rPr>
                      <m:t>)</m:t>
                    </m:r>
                  </m:oMath>
                </m:oMathPara>
              </a14:m>
              <a:endParaRPr lang="es-CO" sz="1100" b="1"/>
            </a:p>
          </xdr:txBody>
        </xdr:sp>
      </mc:Choice>
      <mc:Fallback xmlns="">
        <xdr:sp macro="" textlink="">
          <xdr:nvSpPr>
            <xdr:cNvPr id="8" name="CuadroTexto 7">
              <a:extLst>
                <a:ext uri="{FF2B5EF4-FFF2-40B4-BE49-F238E27FC236}">
                  <a16:creationId xmlns:a16="http://schemas.microsoft.com/office/drawing/2014/main" id="{DC19C8CE-F69E-400C-819C-E408F81F5FB5}"/>
                </a:ext>
              </a:extLst>
            </xdr:cNvPr>
            <xdr:cNvSpPr txBox="1"/>
          </xdr:nvSpPr>
          <xdr:spPr>
            <a:xfrm>
              <a:off x="1214998" y="244474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𝒕)</a:t>
              </a:r>
              <a:endParaRPr lang="es-CO" sz="1100" b="1"/>
            </a:p>
          </xdr:txBody>
        </xdr:sp>
      </mc:Fallback>
    </mc:AlternateContent>
    <xdr:clientData/>
  </xdr:oneCellAnchor>
  <xdr:oneCellAnchor>
    <xdr:from>
      <xdr:col>1</xdr:col>
      <xdr:colOff>186298</xdr:colOff>
      <xdr:row>64</xdr:row>
      <xdr:rowOff>222250</xdr:rowOff>
    </xdr:from>
    <xdr:ext cx="388696" cy="172227"/>
    <mc:AlternateContent xmlns:mc="http://schemas.openxmlformats.org/markup-compatibility/2006" xmlns:a14="http://schemas.microsoft.com/office/drawing/2010/main">
      <mc:Choice Requires="a14">
        <xdr:sp macro="" textlink="">
          <xdr:nvSpPr>
            <xdr:cNvPr id="9" name="CuadroTexto 8">
              <a:extLst>
                <a:ext uri="{FF2B5EF4-FFF2-40B4-BE49-F238E27FC236}">
                  <a16:creationId xmlns:a16="http://schemas.microsoft.com/office/drawing/2014/main" id="{00000000-0008-0000-0800-000009000000}"/>
                </a:ext>
              </a:extLst>
            </xdr:cNvPr>
            <xdr:cNvSpPr txBox="1"/>
          </xdr:nvSpPr>
          <xdr:spPr>
            <a:xfrm>
              <a:off x="1214998" y="25139650"/>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9" name="CuadroTexto 8">
              <a:extLst>
                <a:ext uri="{FF2B5EF4-FFF2-40B4-BE49-F238E27FC236}">
                  <a16:creationId xmlns:a16="http://schemas.microsoft.com/office/drawing/2014/main" id="{CF66F76F-7219-4285-BFFA-94D3DF8D188A}"/>
                </a:ext>
              </a:extLst>
            </xdr:cNvPr>
            <xdr:cNvSpPr txBox="1"/>
          </xdr:nvSpPr>
          <xdr:spPr>
            <a:xfrm>
              <a:off x="1214998" y="25139650"/>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𝒓)</a:t>
              </a:r>
              <a:endParaRPr lang="es-CO" sz="1100" b="1"/>
            </a:p>
          </xdr:txBody>
        </xdr:sp>
      </mc:Fallback>
    </mc:AlternateContent>
    <xdr:clientData/>
  </xdr:oneCellAnchor>
  <xdr:oneCellAnchor>
    <xdr:from>
      <xdr:col>1</xdr:col>
      <xdr:colOff>265579</xdr:colOff>
      <xdr:row>65</xdr:row>
      <xdr:rowOff>288458</xdr:rowOff>
    </xdr:from>
    <xdr:ext cx="191271" cy="172227"/>
    <mc:AlternateContent xmlns:mc="http://schemas.openxmlformats.org/markup-compatibility/2006" xmlns:a14="http://schemas.microsoft.com/office/drawing/2010/main">
      <mc:Choice Requires="a14">
        <xdr:sp macro="" textlink="">
          <xdr:nvSpPr>
            <xdr:cNvPr id="10" name="CuadroTexto 9">
              <a:extLst>
                <a:ext uri="{FF2B5EF4-FFF2-40B4-BE49-F238E27FC236}">
                  <a16:creationId xmlns:a16="http://schemas.microsoft.com/office/drawing/2014/main" id="{00000000-0008-0000-0800-00000A000000}"/>
                </a:ext>
              </a:extLst>
            </xdr:cNvPr>
            <xdr:cNvSpPr txBox="1"/>
          </xdr:nvSpPr>
          <xdr:spPr>
            <a:xfrm>
              <a:off x="1294279" y="2594245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𝒃</m:t>
                        </m:r>
                      </m:sub>
                    </m:sSub>
                  </m:oMath>
                </m:oMathPara>
              </a14:m>
              <a:endParaRPr lang="es-CO" sz="1100" b="1"/>
            </a:p>
          </xdr:txBody>
        </xdr:sp>
      </mc:Choice>
      <mc:Fallback xmlns="">
        <xdr:sp macro="" textlink="">
          <xdr:nvSpPr>
            <xdr:cNvPr id="10" name="CuadroTexto 9">
              <a:extLst>
                <a:ext uri="{FF2B5EF4-FFF2-40B4-BE49-F238E27FC236}">
                  <a16:creationId xmlns:a16="http://schemas.microsoft.com/office/drawing/2014/main" id="{09A22FA5-512D-4179-8197-63379C1F2DF9}"/>
                </a:ext>
              </a:extLst>
            </xdr:cNvPr>
            <xdr:cNvSpPr txBox="1"/>
          </xdr:nvSpPr>
          <xdr:spPr>
            <a:xfrm>
              <a:off x="1294279" y="2594245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𝒖_𝒃</a:t>
              </a:r>
              <a:endParaRPr lang="es-CO" sz="1100" b="1"/>
            </a:p>
          </xdr:txBody>
        </xdr:sp>
      </mc:Fallback>
    </mc:AlternateContent>
    <xdr:clientData/>
  </xdr:oneCellAnchor>
  <xdr:oneCellAnchor>
    <xdr:from>
      <xdr:col>1</xdr:col>
      <xdr:colOff>261391</xdr:colOff>
      <xdr:row>66</xdr:row>
      <xdr:rowOff>294234</xdr:rowOff>
    </xdr:from>
    <xdr:ext cx="195053" cy="172227"/>
    <mc:AlternateContent xmlns:mc="http://schemas.openxmlformats.org/markup-compatibility/2006" xmlns:a14="http://schemas.microsoft.com/office/drawing/2010/main">
      <mc:Choice Requires="a14">
        <xdr:sp macro="" textlink="">
          <xdr:nvSpPr>
            <xdr:cNvPr id="11" name="CuadroTexto 10">
              <a:extLst>
                <a:ext uri="{FF2B5EF4-FFF2-40B4-BE49-F238E27FC236}">
                  <a16:creationId xmlns:a16="http://schemas.microsoft.com/office/drawing/2014/main" id="{00000000-0008-0000-0800-00000B000000}"/>
                </a:ext>
              </a:extLst>
            </xdr:cNvPr>
            <xdr:cNvSpPr txBox="1"/>
          </xdr:nvSpPr>
          <xdr:spPr>
            <a:xfrm>
              <a:off x="1290091" y="26684834"/>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𝒅</m:t>
                        </m:r>
                      </m:sub>
                    </m:sSub>
                  </m:oMath>
                </m:oMathPara>
              </a14:m>
              <a:endParaRPr lang="es-CO" sz="1100" b="1"/>
            </a:p>
          </xdr:txBody>
        </xdr:sp>
      </mc:Choice>
      <mc:Fallback xmlns="">
        <xdr:sp macro="" textlink="">
          <xdr:nvSpPr>
            <xdr:cNvPr id="11" name="CuadroTexto 10">
              <a:extLst>
                <a:ext uri="{FF2B5EF4-FFF2-40B4-BE49-F238E27FC236}">
                  <a16:creationId xmlns:a16="http://schemas.microsoft.com/office/drawing/2014/main" id="{B93A2F9C-DF42-4B84-BB4D-2F29499CDFAE}"/>
                </a:ext>
              </a:extLst>
            </xdr:cNvPr>
            <xdr:cNvSpPr txBox="1"/>
          </xdr:nvSpPr>
          <xdr:spPr>
            <a:xfrm>
              <a:off x="1290091" y="26684834"/>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𝒖_𝒅</a:t>
              </a:r>
              <a:endParaRPr lang="es-CO" sz="1100" b="1"/>
            </a:p>
          </xdr:txBody>
        </xdr:sp>
      </mc:Fallback>
    </mc:AlternateContent>
    <xdr:clientData/>
  </xdr:oneCellAnchor>
  <xdr:oneCellAnchor>
    <xdr:from>
      <xdr:col>5</xdr:col>
      <xdr:colOff>393571</xdr:colOff>
      <xdr:row>69</xdr:row>
      <xdr:rowOff>265119</xdr:rowOff>
    </xdr:from>
    <xdr:ext cx="529697" cy="172227"/>
    <mc:AlternateContent xmlns:mc="http://schemas.openxmlformats.org/markup-compatibility/2006" xmlns:a14="http://schemas.microsoft.com/office/drawing/2010/main">
      <mc:Choice Requires="a14">
        <xdr:sp macro="" textlink="">
          <xdr:nvSpPr>
            <xdr:cNvPr id="12" name="CuadroTexto 11">
              <a:extLst>
                <a:ext uri="{FF2B5EF4-FFF2-40B4-BE49-F238E27FC236}">
                  <a16:creationId xmlns:a16="http://schemas.microsoft.com/office/drawing/2014/main" id="{00000000-0008-0000-0800-00000C000000}"/>
                </a:ext>
              </a:extLst>
            </xdr:cNvPr>
            <xdr:cNvSpPr txBox="1"/>
          </xdr:nvSpPr>
          <xdr:spPr>
            <a:xfrm>
              <a:off x="5632321" y="28217819"/>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𝒄</m:t>
                        </m:r>
                      </m:sub>
                    </m:sSub>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12" name="CuadroTexto 11">
              <a:extLst>
                <a:ext uri="{FF2B5EF4-FFF2-40B4-BE49-F238E27FC236}">
                  <a16:creationId xmlns:a16="http://schemas.microsoft.com/office/drawing/2014/main" id="{8A7DF78D-25FE-4732-840F-F235CA8FCA69}"/>
                </a:ext>
              </a:extLst>
            </xdr:cNvPr>
            <xdr:cNvSpPr txBox="1"/>
          </xdr:nvSpPr>
          <xdr:spPr>
            <a:xfrm>
              <a:off x="5632321" y="28217819"/>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𝒖_𝒄 (</a:t>
              </a:r>
              <a:r>
                <a:rPr lang="es-CO" sz="1100" b="1" i="0">
                  <a:latin typeface="Cambria Math" panose="02040503050406030204" pitchFamily="18" charset="0"/>
                  <a:ea typeface="Cambria Math" panose="02040503050406030204" pitchFamily="18" charset="0"/>
                </a:rPr>
                <a:t>𝒎_𝒄𝒕)</a:t>
              </a:r>
              <a:endParaRPr lang="es-CO" sz="1100" b="1"/>
            </a:p>
          </xdr:txBody>
        </xdr:sp>
      </mc:Fallback>
    </mc:AlternateContent>
    <xdr:clientData/>
  </xdr:oneCellAnchor>
  <xdr:oneCellAnchor>
    <xdr:from>
      <xdr:col>5</xdr:col>
      <xdr:colOff>243965</xdr:colOff>
      <xdr:row>70</xdr:row>
      <xdr:rowOff>130277</xdr:rowOff>
    </xdr:from>
    <xdr:ext cx="780598" cy="172227"/>
    <mc:AlternateContent xmlns:mc="http://schemas.openxmlformats.org/markup-compatibility/2006" xmlns:a14="http://schemas.microsoft.com/office/drawing/2010/main">
      <mc:Choice Requires="a14">
        <xdr:sp macro="" textlink="">
          <xdr:nvSpPr>
            <xdr:cNvPr id="13" name="CuadroTexto 12">
              <a:extLst>
                <a:ext uri="{FF2B5EF4-FFF2-40B4-BE49-F238E27FC236}">
                  <a16:creationId xmlns:a16="http://schemas.microsoft.com/office/drawing/2014/main" id="{00000000-0008-0000-0800-00000D000000}"/>
                </a:ext>
              </a:extLst>
            </xdr:cNvPr>
            <xdr:cNvSpPr txBox="1"/>
          </xdr:nvSpPr>
          <xdr:spPr>
            <a:xfrm>
              <a:off x="5482715" y="2873702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100" b="1" i="1">
                      <a:latin typeface="Cambria Math" panose="02040503050406030204" pitchFamily="18" charset="0"/>
                    </a:rPr>
                    <m:t>𝑼</m:t>
                  </m:r>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a14:m>
              <a:r>
                <a:rPr lang="es-CO" sz="1100" b="1"/>
                <a:t> (k=2)</a:t>
              </a:r>
            </a:p>
          </xdr:txBody>
        </xdr:sp>
      </mc:Choice>
      <mc:Fallback xmlns="">
        <xdr:sp macro="" textlink="">
          <xdr:nvSpPr>
            <xdr:cNvPr id="13" name="CuadroTexto 12">
              <a:extLst>
                <a:ext uri="{FF2B5EF4-FFF2-40B4-BE49-F238E27FC236}">
                  <a16:creationId xmlns:a16="http://schemas.microsoft.com/office/drawing/2014/main" id="{398AC936-AFB4-4C14-8339-AB30E71C7BB8}"/>
                </a:ext>
              </a:extLst>
            </xdr:cNvPr>
            <xdr:cNvSpPr txBox="1"/>
          </xdr:nvSpPr>
          <xdr:spPr>
            <a:xfrm>
              <a:off x="5482715" y="2873702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100" b="1" i="0">
                  <a:latin typeface="Cambria Math" panose="02040503050406030204" pitchFamily="18" charset="0"/>
                </a:rPr>
                <a:t>𝑼(</a:t>
              </a:r>
              <a:r>
                <a:rPr lang="es-CO" sz="1100" b="1" i="0">
                  <a:latin typeface="Cambria Math" panose="02040503050406030204" pitchFamily="18" charset="0"/>
                  <a:ea typeface="Cambria Math" panose="02040503050406030204" pitchFamily="18" charset="0"/>
                </a:rPr>
                <a:t>𝒎_𝒄𝒕)</a:t>
              </a:r>
              <a:r>
                <a:rPr lang="es-CO" sz="1100" b="1"/>
                <a:t> (k=2)</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14" name="CuadroTexto 13">
              <a:extLst>
                <a:ext uri="{FF2B5EF4-FFF2-40B4-BE49-F238E27FC236}">
                  <a16:creationId xmlns:a16="http://schemas.microsoft.com/office/drawing/2014/main" id="{00000000-0008-0000-0800-00000E000000}"/>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14" name="CuadroTexto 13">
              <a:extLst>
                <a:ext uri="{FF2B5EF4-FFF2-40B4-BE49-F238E27FC236}">
                  <a16:creationId xmlns:a16="http://schemas.microsoft.com/office/drawing/2014/main" id="{4CD7CD32-82E9-43B5-B6D7-4AC6B87C0332}"/>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8</xdr:col>
      <xdr:colOff>541269</xdr:colOff>
      <xdr:row>52</xdr:row>
      <xdr:rowOff>78683</xdr:rowOff>
    </xdr:from>
    <xdr:ext cx="304571" cy="172227"/>
    <mc:AlternateContent xmlns:mc="http://schemas.openxmlformats.org/markup-compatibility/2006" xmlns:a14="http://schemas.microsoft.com/office/drawing/2010/main">
      <mc:Choice Requires="a14">
        <xdr:sp macro="" textlink="">
          <xdr:nvSpPr>
            <xdr:cNvPr id="15" name="CuadroTexto 14">
              <a:extLst>
                <a:ext uri="{FF2B5EF4-FFF2-40B4-BE49-F238E27FC236}">
                  <a16:creationId xmlns:a16="http://schemas.microsoft.com/office/drawing/2014/main" id="{00000000-0008-0000-0800-00000F000000}"/>
                </a:ext>
              </a:extLst>
            </xdr:cNvPr>
            <xdr:cNvSpPr txBox="1"/>
          </xdr:nvSpPr>
          <xdr:spPr>
            <a:xfrm>
              <a:off x="9882119" y="18595283"/>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oMath>
                </m:oMathPara>
              </a14:m>
              <a:endParaRPr lang="es-CO" sz="1100" b="1"/>
            </a:p>
          </xdr:txBody>
        </xdr:sp>
      </mc:Choice>
      <mc:Fallback xmlns="">
        <xdr:sp macro="" textlink="">
          <xdr:nvSpPr>
            <xdr:cNvPr id="15" name="CuadroTexto 14">
              <a:extLst>
                <a:ext uri="{FF2B5EF4-FFF2-40B4-BE49-F238E27FC236}">
                  <a16:creationId xmlns:a16="http://schemas.microsoft.com/office/drawing/2014/main" id="{FFF16703-952A-407B-9E08-FFF515B31B5F}"/>
                </a:ext>
              </a:extLst>
            </xdr:cNvPr>
            <xdr:cNvSpPr txBox="1"/>
          </xdr:nvSpPr>
          <xdr:spPr>
            <a:xfrm>
              <a:off x="9882119" y="18595283"/>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4</xdr:col>
      <xdr:colOff>155713</xdr:colOff>
      <xdr:row>39</xdr:row>
      <xdr:rowOff>106017</xdr:rowOff>
    </xdr:from>
    <xdr:ext cx="65" cy="172227"/>
    <xdr:sp macro="" textlink="">
      <xdr:nvSpPr>
        <xdr:cNvPr id="16" name="CuadroTexto 15">
          <a:extLst>
            <a:ext uri="{FF2B5EF4-FFF2-40B4-BE49-F238E27FC236}">
              <a16:creationId xmlns:a16="http://schemas.microsoft.com/office/drawing/2014/main" id="{00000000-0008-0000-0800-000010000000}"/>
            </a:ext>
          </a:extLst>
        </xdr:cNvPr>
        <xdr:cNvSpPr txBox="1"/>
      </xdr:nvSpPr>
      <xdr:spPr>
        <a:xfrm>
          <a:off x="4308613" y="1369501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17" name="CuadroTexto 16">
              <a:extLst>
                <a:ext uri="{FF2B5EF4-FFF2-40B4-BE49-F238E27FC236}">
                  <a16:creationId xmlns:a16="http://schemas.microsoft.com/office/drawing/2014/main" id="{00000000-0008-0000-0800-000011000000}"/>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7" name="CuadroTexto 16">
              <a:extLst>
                <a:ext uri="{FF2B5EF4-FFF2-40B4-BE49-F238E27FC236}">
                  <a16:creationId xmlns:a16="http://schemas.microsoft.com/office/drawing/2014/main" id="{8F8FCF1C-DFF3-47F1-B7AB-813F73E6BA41}"/>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18" name="CuadroTexto 17">
              <a:extLst>
                <a:ext uri="{FF2B5EF4-FFF2-40B4-BE49-F238E27FC236}">
                  <a16:creationId xmlns:a16="http://schemas.microsoft.com/office/drawing/2014/main" id="{00000000-0008-0000-0800-000012000000}"/>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18" name="CuadroTexto 17">
              <a:extLst>
                <a:ext uri="{FF2B5EF4-FFF2-40B4-BE49-F238E27FC236}">
                  <a16:creationId xmlns:a16="http://schemas.microsoft.com/office/drawing/2014/main" id="{B5B8A8D2-BFC9-465C-B778-3CA2632FE863}"/>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19" name="CuadroTexto 18">
              <a:extLst>
                <a:ext uri="{FF2B5EF4-FFF2-40B4-BE49-F238E27FC236}">
                  <a16:creationId xmlns:a16="http://schemas.microsoft.com/office/drawing/2014/main" id="{00000000-0008-0000-0800-000013000000}"/>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9" name="CuadroTexto 18">
              <a:extLst>
                <a:ext uri="{FF2B5EF4-FFF2-40B4-BE49-F238E27FC236}">
                  <a16:creationId xmlns:a16="http://schemas.microsoft.com/office/drawing/2014/main" id="{0F0A2A69-D893-420E-960C-582318521671}"/>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0" name="CuadroTexto 19">
              <a:extLst>
                <a:ext uri="{FF2B5EF4-FFF2-40B4-BE49-F238E27FC236}">
                  <a16:creationId xmlns:a16="http://schemas.microsoft.com/office/drawing/2014/main" id="{00000000-0008-0000-0800-000014000000}"/>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0" name="CuadroTexto 19">
              <a:extLst>
                <a:ext uri="{FF2B5EF4-FFF2-40B4-BE49-F238E27FC236}">
                  <a16:creationId xmlns:a16="http://schemas.microsoft.com/office/drawing/2014/main" id="{944E767A-B254-432A-B404-D377C1E0B79B}"/>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1" name="CuadroTexto 20">
          <a:extLst>
            <a:ext uri="{FF2B5EF4-FFF2-40B4-BE49-F238E27FC236}">
              <a16:creationId xmlns:a16="http://schemas.microsoft.com/office/drawing/2014/main" id="{00000000-0008-0000-0800-000015000000}"/>
            </a:ext>
          </a:extLst>
        </xdr:cNvPr>
        <xdr:cNvSpPr txBox="1"/>
      </xdr:nvSpPr>
      <xdr:spPr>
        <a:xfrm>
          <a:off x="1376572" y="14521621"/>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3</xdr:col>
      <xdr:colOff>236456</xdr:colOff>
      <xdr:row>73</xdr:row>
      <xdr:rowOff>141002</xdr:rowOff>
    </xdr:from>
    <xdr:ext cx="730521" cy="219163"/>
    <mc:AlternateContent xmlns:mc="http://schemas.openxmlformats.org/markup-compatibility/2006" xmlns:a14="http://schemas.microsoft.com/office/drawing/2010/main">
      <mc:Choice Requires="a14">
        <xdr:sp macro="" textlink="">
          <xdr:nvSpPr>
            <xdr:cNvPr id="22" name="CuadroTexto 21">
              <a:extLst>
                <a:ext uri="{FF2B5EF4-FFF2-40B4-BE49-F238E27FC236}">
                  <a16:creationId xmlns:a16="http://schemas.microsoft.com/office/drawing/2014/main" id="{00000000-0008-0000-0800-000016000000}"/>
                </a:ext>
              </a:extLst>
            </xdr:cNvPr>
            <xdr:cNvSpPr txBox="1"/>
          </xdr:nvSpPr>
          <xdr:spPr>
            <a:xfrm>
              <a:off x="3201906" y="30062202"/>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m:t>
                  </m:r>
                  <m:sSub>
                    <m:sSubPr>
                      <m:ctrlPr>
                        <a:rPr lang="es-CO" sz="1400" b="1" i="1">
                          <a:latin typeface="Cambria Math" panose="02040503050406030204" pitchFamily="18" charset="0"/>
                          <a:ea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𝒎</m:t>
                      </m:r>
                    </m:e>
                    <m:sub>
                      <m:r>
                        <a:rPr lang="es-CO" sz="1400" b="1" i="1">
                          <a:latin typeface="Cambria Math" panose="02040503050406030204" pitchFamily="18" charset="0"/>
                          <a:ea typeface="Cambria Math" panose="02040503050406030204" pitchFamily="18" charset="0"/>
                        </a:rPr>
                        <m:t>𝒄</m:t>
                      </m:r>
                    </m:sub>
                  </m:sSub>
                </m:oMath>
              </a14:m>
              <a:r>
                <a:rPr lang="es-CO" sz="1400" b="1" i="1"/>
                <a:t> (mg</a:t>
              </a:r>
              <a:r>
                <a:rPr lang="es-CO" sz="1200" b="1" i="0"/>
                <a:t>)</a:t>
              </a:r>
            </a:p>
          </xdr:txBody>
        </xdr:sp>
      </mc:Choice>
      <mc:Fallback xmlns="">
        <xdr:sp macro="" textlink="">
          <xdr:nvSpPr>
            <xdr:cNvPr id="22" name="CuadroTexto 21">
              <a:extLst>
                <a:ext uri="{FF2B5EF4-FFF2-40B4-BE49-F238E27FC236}">
                  <a16:creationId xmlns:a16="http://schemas.microsoft.com/office/drawing/2014/main" id="{29FC3807-E9A2-49AD-B5E3-81BD2B0F7587}"/>
                </a:ext>
              </a:extLst>
            </xdr:cNvPr>
            <xdr:cNvSpPr txBox="1"/>
          </xdr:nvSpPr>
          <xdr:spPr>
            <a:xfrm>
              <a:off x="3201906" y="30062202"/>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400" b="1" i="0">
                  <a:latin typeface="Cambria Math" panose="02040503050406030204" pitchFamily="18" charset="0"/>
                  <a:ea typeface="Cambria Math" panose="02040503050406030204" pitchFamily="18" charset="0"/>
                </a:rPr>
                <a:t>∆𝒎_𝒄</a:t>
              </a:r>
              <a:r>
                <a:rPr lang="es-CO" sz="1400" b="1" i="1"/>
                <a:t> (mg</a:t>
              </a:r>
              <a:r>
                <a:rPr lang="es-CO" sz="1200" b="1" i="0"/>
                <a:t>)</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23" name="CuadroTexto 22">
              <a:extLst>
                <a:ext uri="{FF2B5EF4-FFF2-40B4-BE49-F238E27FC236}">
                  <a16:creationId xmlns:a16="http://schemas.microsoft.com/office/drawing/2014/main" id="{00000000-0008-0000-0800-000017000000}"/>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23" name="CuadroTexto 22">
              <a:extLst>
                <a:ext uri="{FF2B5EF4-FFF2-40B4-BE49-F238E27FC236}">
                  <a16:creationId xmlns:a16="http://schemas.microsoft.com/office/drawing/2014/main" id="{AFC0990B-F26D-4BFF-B069-FA60A74D3478}"/>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24" name="CuadroTexto 23">
          <a:extLst>
            <a:ext uri="{FF2B5EF4-FFF2-40B4-BE49-F238E27FC236}">
              <a16:creationId xmlns:a16="http://schemas.microsoft.com/office/drawing/2014/main" id="{00000000-0008-0000-0800-000018000000}"/>
            </a:ext>
          </a:extLst>
        </xdr:cNvPr>
        <xdr:cNvSpPr txBox="1"/>
      </xdr:nvSpPr>
      <xdr:spPr>
        <a:xfrm>
          <a:off x="4308613" y="1369501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25" name="CuadroTexto 24">
              <a:extLst>
                <a:ext uri="{FF2B5EF4-FFF2-40B4-BE49-F238E27FC236}">
                  <a16:creationId xmlns:a16="http://schemas.microsoft.com/office/drawing/2014/main" id="{00000000-0008-0000-0800-000019000000}"/>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5" name="CuadroTexto 24">
              <a:extLst>
                <a:ext uri="{FF2B5EF4-FFF2-40B4-BE49-F238E27FC236}">
                  <a16:creationId xmlns:a16="http://schemas.microsoft.com/office/drawing/2014/main" id="{CF99763B-25C6-4C17-8BBF-F55297774898}"/>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26" name="CuadroTexto 25">
              <a:extLst>
                <a:ext uri="{FF2B5EF4-FFF2-40B4-BE49-F238E27FC236}">
                  <a16:creationId xmlns:a16="http://schemas.microsoft.com/office/drawing/2014/main" id="{00000000-0008-0000-0800-00001A000000}"/>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6" name="CuadroTexto 25">
              <a:extLst>
                <a:ext uri="{FF2B5EF4-FFF2-40B4-BE49-F238E27FC236}">
                  <a16:creationId xmlns:a16="http://schemas.microsoft.com/office/drawing/2014/main" id="{3AFA4FAC-B2E1-4A8C-B205-435204143999}"/>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27" name="CuadroTexto 26">
              <a:extLst>
                <a:ext uri="{FF2B5EF4-FFF2-40B4-BE49-F238E27FC236}">
                  <a16:creationId xmlns:a16="http://schemas.microsoft.com/office/drawing/2014/main" id="{00000000-0008-0000-0800-00001B000000}"/>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7" name="CuadroTexto 26">
              <a:extLst>
                <a:ext uri="{FF2B5EF4-FFF2-40B4-BE49-F238E27FC236}">
                  <a16:creationId xmlns:a16="http://schemas.microsoft.com/office/drawing/2014/main" id="{107FAC86-110F-4776-9891-DE55E32E07E0}"/>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8" name="CuadroTexto 27">
              <a:extLst>
                <a:ext uri="{FF2B5EF4-FFF2-40B4-BE49-F238E27FC236}">
                  <a16:creationId xmlns:a16="http://schemas.microsoft.com/office/drawing/2014/main" id="{00000000-0008-0000-0800-00001C000000}"/>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8" name="CuadroTexto 27">
              <a:extLst>
                <a:ext uri="{FF2B5EF4-FFF2-40B4-BE49-F238E27FC236}">
                  <a16:creationId xmlns:a16="http://schemas.microsoft.com/office/drawing/2014/main" id="{19EE0673-319E-4377-BF7A-CDFD6E5E30DE}"/>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9" name="CuadroTexto 28">
          <a:extLst>
            <a:ext uri="{FF2B5EF4-FFF2-40B4-BE49-F238E27FC236}">
              <a16:creationId xmlns:a16="http://schemas.microsoft.com/office/drawing/2014/main" id="{00000000-0008-0000-0800-00001D000000}"/>
            </a:ext>
          </a:extLst>
        </xdr:cNvPr>
        <xdr:cNvSpPr txBox="1"/>
      </xdr:nvSpPr>
      <xdr:spPr>
        <a:xfrm>
          <a:off x="1376572" y="14521621"/>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30" name="CuadroTexto 29">
              <a:extLst>
                <a:ext uri="{FF2B5EF4-FFF2-40B4-BE49-F238E27FC236}">
                  <a16:creationId xmlns:a16="http://schemas.microsoft.com/office/drawing/2014/main" id="{00000000-0008-0000-0800-00001E000000}"/>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30" name="CuadroTexto 29">
              <a:extLst>
                <a:ext uri="{FF2B5EF4-FFF2-40B4-BE49-F238E27FC236}">
                  <a16:creationId xmlns:a16="http://schemas.microsoft.com/office/drawing/2014/main" id="{04AACD63-517F-482F-89E3-45C5D9D0A058}"/>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31" name="CuadroTexto 30">
          <a:extLst>
            <a:ext uri="{FF2B5EF4-FFF2-40B4-BE49-F238E27FC236}">
              <a16:creationId xmlns:a16="http://schemas.microsoft.com/office/drawing/2014/main" id="{00000000-0008-0000-0800-00001F000000}"/>
            </a:ext>
          </a:extLst>
        </xdr:cNvPr>
        <xdr:cNvSpPr txBox="1"/>
      </xdr:nvSpPr>
      <xdr:spPr>
        <a:xfrm>
          <a:off x="4308613" y="1369501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32" name="CuadroTexto 31">
              <a:extLst>
                <a:ext uri="{FF2B5EF4-FFF2-40B4-BE49-F238E27FC236}">
                  <a16:creationId xmlns:a16="http://schemas.microsoft.com/office/drawing/2014/main" id="{00000000-0008-0000-0800-000020000000}"/>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2" name="CuadroTexto 31">
              <a:extLst>
                <a:ext uri="{FF2B5EF4-FFF2-40B4-BE49-F238E27FC236}">
                  <a16:creationId xmlns:a16="http://schemas.microsoft.com/office/drawing/2014/main" id="{67895240-B5DF-4259-87E5-90059E16DB61}"/>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33" name="CuadroTexto 32">
              <a:extLst>
                <a:ext uri="{FF2B5EF4-FFF2-40B4-BE49-F238E27FC236}">
                  <a16:creationId xmlns:a16="http://schemas.microsoft.com/office/drawing/2014/main" id="{00000000-0008-0000-0800-000021000000}"/>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3" name="CuadroTexto 32">
              <a:extLst>
                <a:ext uri="{FF2B5EF4-FFF2-40B4-BE49-F238E27FC236}">
                  <a16:creationId xmlns:a16="http://schemas.microsoft.com/office/drawing/2014/main" id="{D7D24AFC-F189-408E-9BCF-AB926B452149}"/>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34" name="CuadroTexto 33">
              <a:extLst>
                <a:ext uri="{FF2B5EF4-FFF2-40B4-BE49-F238E27FC236}">
                  <a16:creationId xmlns:a16="http://schemas.microsoft.com/office/drawing/2014/main" id="{00000000-0008-0000-0800-000022000000}"/>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4" name="CuadroTexto 33">
              <a:extLst>
                <a:ext uri="{FF2B5EF4-FFF2-40B4-BE49-F238E27FC236}">
                  <a16:creationId xmlns:a16="http://schemas.microsoft.com/office/drawing/2014/main" id="{0DECF0C2-E920-4BBE-9737-C5017E397021}"/>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35" name="CuadroTexto 34">
              <a:extLst>
                <a:ext uri="{FF2B5EF4-FFF2-40B4-BE49-F238E27FC236}">
                  <a16:creationId xmlns:a16="http://schemas.microsoft.com/office/drawing/2014/main" id="{00000000-0008-0000-0800-000023000000}"/>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5" name="CuadroTexto 34">
              <a:extLst>
                <a:ext uri="{FF2B5EF4-FFF2-40B4-BE49-F238E27FC236}">
                  <a16:creationId xmlns:a16="http://schemas.microsoft.com/office/drawing/2014/main" id="{5725B29D-AAE8-4790-BE1C-1E80D71A6AA6}"/>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36" name="CuadroTexto 35">
          <a:extLst>
            <a:ext uri="{FF2B5EF4-FFF2-40B4-BE49-F238E27FC236}">
              <a16:creationId xmlns:a16="http://schemas.microsoft.com/office/drawing/2014/main" id="{00000000-0008-0000-0800-000024000000}"/>
            </a:ext>
          </a:extLst>
        </xdr:cNvPr>
        <xdr:cNvSpPr txBox="1"/>
      </xdr:nvSpPr>
      <xdr:spPr>
        <a:xfrm>
          <a:off x="1376572" y="14521621"/>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11</xdr:col>
      <xdr:colOff>628650</xdr:colOff>
      <xdr:row>61</xdr:row>
      <xdr:rowOff>0</xdr:rowOff>
    </xdr:from>
    <xdr:ext cx="65" cy="172227"/>
    <xdr:sp macro="" textlink="">
      <xdr:nvSpPr>
        <xdr:cNvPr id="37" name="CuadroTexto 36">
          <a:extLst>
            <a:ext uri="{FF2B5EF4-FFF2-40B4-BE49-F238E27FC236}">
              <a16:creationId xmlns:a16="http://schemas.microsoft.com/office/drawing/2014/main" id="{00000000-0008-0000-0800-000025000000}"/>
            </a:ext>
          </a:extLst>
        </xdr:cNvPr>
        <xdr:cNvSpPr txBox="1"/>
      </xdr:nvSpPr>
      <xdr:spPr>
        <a:xfrm>
          <a:off x="12693650" y="22707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5</xdr:col>
      <xdr:colOff>539750</xdr:colOff>
      <xdr:row>73</xdr:row>
      <xdr:rowOff>158749</xdr:rowOff>
    </xdr:from>
    <xdr:ext cx="984250" cy="210507"/>
    <mc:AlternateContent xmlns:mc="http://schemas.openxmlformats.org/markup-compatibility/2006" xmlns:a14="http://schemas.microsoft.com/office/drawing/2010/main">
      <mc:Choice Requires="a14">
        <xdr:sp macro="" textlink="">
          <xdr:nvSpPr>
            <xdr:cNvPr id="38" name="CuadroTexto 37">
              <a:extLst>
                <a:ext uri="{FF2B5EF4-FFF2-40B4-BE49-F238E27FC236}">
                  <a16:creationId xmlns:a16="http://schemas.microsoft.com/office/drawing/2014/main" id="{00000000-0008-0000-0800-000026000000}"/>
                </a:ext>
              </a:extLst>
            </xdr:cNvPr>
            <xdr:cNvSpPr txBox="1"/>
          </xdr:nvSpPr>
          <xdr:spPr>
            <a:xfrm>
              <a:off x="5778500" y="30079949"/>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𝒆</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38" name="CuadroTexto 37">
              <a:extLst>
                <a:ext uri="{FF2B5EF4-FFF2-40B4-BE49-F238E27FC236}">
                  <a16:creationId xmlns:a16="http://schemas.microsoft.com/office/drawing/2014/main" id="{1066849C-BA75-4BAA-A2D7-BED5ED307534}"/>
                </a:ext>
              </a:extLst>
            </xdr:cNvPr>
            <xdr:cNvSpPr txBox="1"/>
          </xdr:nvSpPr>
          <xdr:spPr>
            <a:xfrm>
              <a:off x="5778500" y="30079949"/>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𝒆 𝒄𝒕</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4</xdr:col>
      <xdr:colOff>52917</xdr:colOff>
      <xdr:row>73</xdr:row>
      <xdr:rowOff>148167</xdr:rowOff>
    </xdr:from>
    <xdr:ext cx="984250" cy="210507"/>
    <mc:AlternateContent xmlns:mc="http://schemas.openxmlformats.org/markup-compatibility/2006" xmlns:a14="http://schemas.microsoft.com/office/drawing/2010/main">
      <mc:Choice Requires="a14">
        <xdr:sp macro="" textlink="">
          <xdr:nvSpPr>
            <xdr:cNvPr id="39" name="CuadroTexto 38">
              <a:extLst>
                <a:ext uri="{FF2B5EF4-FFF2-40B4-BE49-F238E27FC236}">
                  <a16:creationId xmlns:a16="http://schemas.microsoft.com/office/drawing/2014/main" id="{00000000-0008-0000-0800-000027000000}"/>
                </a:ext>
              </a:extLst>
            </xdr:cNvPr>
            <xdr:cNvSpPr txBox="1"/>
          </xdr:nvSpPr>
          <xdr:spPr>
            <a:xfrm>
              <a:off x="4205817" y="30069367"/>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39" name="CuadroTexto 38">
              <a:extLst>
                <a:ext uri="{FF2B5EF4-FFF2-40B4-BE49-F238E27FC236}">
                  <a16:creationId xmlns:a16="http://schemas.microsoft.com/office/drawing/2014/main" id="{384E22B9-6322-497E-9FFD-3FFF22AB48B7}"/>
                </a:ext>
              </a:extLst>
            </xdr:cNvPr>
            <xdr:cNvSpPr txBox="1"/>
          </xdr:nvSpPr>
          <xdr:spPr>
            <a:xfrm>
              <a:off x="4205817" y="30069367"/>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𝒄𝒕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1</xdr:col>
      <xdr:colOff>47625</xdr:colOff>
      <xdr:row>73</xdr:row>
      <xdr:rowOff>166688</xdr:rowOff>
    </xdr:from>
    <xdr:ext cx="833438" cy="210507"/>
    <mc:AlternateContent xmlns:mc="http://schemas.openxmlformats.org/markup-compatibility/2006" xmlns:a14="http://schemas.microsoft.com/office/drawing/2010/main">
      <mc:Choice Requires="a14">
        <xdr:sp macro="" textlink="">
          <xdr:nvSpPr>
            <xdr:cNvPr id="40" name="CuadroTexto 39">
              <a:extLst>
                <a:ext uri="{FF2B5EF4-FFF2-40B4-BE49-F238E27FC236}">
                  <a16:creationId xmlns:a16="http://schemas.microsoft.com/office/drawing/2014/main" id="{00000000-0008-0000-0800-000028000000}"/>
                </a:ext>
              </a:extLst>
            </xdr:cNvPr>
            <xdr:cNvSpPr txBox="1"/>
          </xdr:nvSpPr>
          <xdr:spPr>
            <a:xfrm>
              <a:off x="1079500" y="29979938"/>
              <a:ext cx="833438"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𝑵𝒓</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0" name="CuadroTexto 39">
              <a:extLst>
                <a:ext uri="{FF2B5EF4-FFF2-40B4-BE49-F238E27FC236}">
                  <a16:creationId xmlns:a16="http://schemas.microsoft.com/office/drawing/2014/main" id="{4AB026A0-5A79-47D3-9E87-06A2D404DC6B}"/>
                </a:ext>
              </a:extLst>
            </xdr:cNvPr>
            <xdr:cNvSpPr txBox="1"/>
          </xdr:nvSpPr>
          <xdr:spPr>
            <a:xfrm>
              <a:off x="1079500" y="29979938"/>
              <a:ext cx="833438"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𝑵𝒓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8</xdr:col>
      <xdr:colOff>624417</xdr:colOff>
      <xdr:row>73</xdr:row>
      <xdr:rowOff>285751</xdr:rowOff>
    </xdr:from>
    <xdr:ext cx="1524000" cy="210507"/>
    <mc:AlternateContent xmlns:mc="http://schemas.openxmlformats.org/markup-compatibility/2006" xmlns:a14="http://schemas.microsoft.com/office/drawing/2010/main">
      <mc:Choice Requires="a14">
        <xdr:sp macro="" textlink="">
          <xdr:nvSpPr>
            <xdr:cNvPr id="41" name="CuadroTexto 40">
              <a:extLst>
                <a:ext uri="{FF2B5EF4-FFF2-40B4-BE49-F238E27FC236}">
                  <a16:creationId xmlns:a16="http://schemas.microsoft.com/office/drawing/2014/main" id="{00000000-0008-0000-0800-000029000000}"/>
                </a:ext>
              </a:extLst>
            </xdr:cNvPr>
            <xdr:cNvSpPr txBox="1"/>
          </xdr:nvSpPr>
          <xdr:spPr>
            <a:xfrm>
              <a:off x="9965267" y="30206951"/>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𝑼</m:t>
                  </m:r>
                  <m:r>
                    <a:rPr lang="es-CO" sz="1400" b="1" i="1">
                      <a:latin typeface="Cambria Math" panose="02040503050406030204" pitchFamily="18" charset="0"/>
                      <a:ea typeface="Cambria Math" panose="02040503050406030204" pitchFamily="18" charset="0"/>
                    </a:rPr>
                    <m:t> </m:t>
                  </m:r>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 </m:t>
                  </m:r>
                  <m:r>
                    <a:rPr lang="es-CO" sz="1400" b="1" i="1">
                      <a:latin typeface="Cambria Math" panose="02040503050406030204" pitchFamily="18" charset="0"/>
                      <a:ea typeface="Cambria Math" panose="02040503050406030204" pitchFamily="18" charset="0"/>
                    </a:rPr>
                    <m:t>𝒌</m:t>
                  </m:r>
                  <m:r>
                    <a:rPr lang="es-CO" sz="1400" b="1" i="1">
                      <a:latin typeface="Cambria Math" panose="02040503050406030204" pitchFamily="18" charset="0"/>
                      <a:ea typeface="Cambria Math" panose="02040503050406030204" pitchFamily="18" charset="0"/>
                    </a:rPr>
                    <m:t>=</m:t>
                  </m:r>
                  <m:r>
                    <a:rPr lang="es-CO" sz="1400" b="1" i="1">
                      <a:latin typeface="Cambria Math" panose="02040503050406030204" pitchFamily="18" charset="0"/>
                      <a:ea typeface="Cambria Math" panose="02040503050406030204" pitchFamily="18" charset="0"/>
                    </a:rPr>
                    <m:t>𝟐</m:t>
                  </m:r>
                </m:oMath>
              </a14:m>
              <a:r>
                <a:rPr lang="es-CO" sz="1400" b="1" i="1">
                  <a:latin typeface="Arial" panose="020B0604020202020204" pitchFamily="34" charset="0"/>
                  <a:cs typeface="Arial" panose="020B0604020202020204" pitchFamily="34" charset="0"/>
                </a:rPr>
                <a:t>)</a:t>
              </a:r>
            </a:p>
          </xdr:txBody>
        </xdr:sp>
      </mc:Choice>
      <mc:Fallback xmlns="">
        <xdr:sp macro="" textlink="">
          <xdr:nvSpPr>
            <xdr:cNvPr id="41" name="CuadroTexto 40">
              <a:extLst>
                <a:ext uri="{FF2B5EF4-FFF2-40B4-BE49-F238E27FC236}">
                  <a16:creationId xmlns:a16="http://schemas.microsoft.com/office/drawing/2014/main" id="{284015EE-DAD7-4CA2-8458-F9EF73F331ED}"/>
                </a:ext>
              </a:extLst>
            </xdr:cNvPr>
            <xdr:cNvSpPr txBox="1"/>
          </xdr:nvSpPr>
          <xdr:spPr>
            <a:xfrm>
              <a:off x="9965267" y="30206951"/>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0">
                  <a:latin typeface="Cambria Math" panose="02040503050406030204" pitchFamily="18" charset="0"/>
                  <a:ea typeface="Cambria Math" panose="02040503050406030204" pitchFamily="18" charset="0"/>
                </a:rPr>
                <a:t>𝑼 ( 𝒎 𝒄𝒕 )  ( 𝒌=𝟐</a:t>
              </a:r>
              <a:r>
                <a:rPr lang="es-CO" sz="1400" b="1" i="1">
                  <a:latin typeface="Arial" panose="020B0604020202020204" pitchFamily="34" charset="0"/>
                  <a:cs typeface="Arial" panose="020B0604020202020204" pitchFamily="34" charset="0"/>
                </a:rPr>
                <a:t>)</a:t>
              </a:r>
            </a:p>
          </xdr:txBody>
        </xdr:sp>
      </mc:Fallback>
    </mc:AlternateContent>
    <xdr:clientData/>
  </xdr:oneCellAnchor>
  <xdr:oneCellAnchor>
    <xdr:from>
      <xdr:col>9</xdr:col>
      <xdr:colOff>603252</xdr:colOff>
      <xdr:row>74</xdr:row>
      <xdr:rowOff>84667</xdr:rowOff>
    </xdr:from>
    <xdr:ext cx="465666" cy="219163"/>
    <xdr:sp macro="" textlink="">
      <xdr:nvSpPr>
        <xdr:cNvPr id="42" name="CuadroTexto 41">
          <a:extLst>
            <a:ext uri="{FF2B5EF4-FFF2-40B4-BE49-F238E27FC236}">
              <a16:creationId xmlns:a16="http://schemas.microsoft.com/office/drawing/2014/main" id="{00000000-0008-0000-0800-00002A000000}"/>
            </a:ext>
          </a:extLst>
        </xdr:cNvPr>
        <xdr:cNvSpPr txBox="1"/>
      </xdr:nvSpPr>
      <xdr:spPr>
        <a:xfrm>
          <a:off x="10909302" y="30520217"/>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9</xdr:col>
      <xdr:colOff>571499</xdr:colOff>
      <xdr:row>75</xdr:row>
      <xdr:rowOff>116416</xdr:rowOff>
    </xdr:from>
    <xdr:ext cx="359835" cy="219163"/>
    <xdr:sp macro="" textlink="">
      <xdr:nvSpPr>
        <xdr:cNvPr id="43" name="CuadroTexto 42">
          <a:extLst>
            <a:ext uri="{FF2B5EF4-FFF2-40B4-BE49-F238E27FC236}">
              <a16:creationId xmlns:a16="http://schemas.microsoft.com/office/drawing/2014/main" id="{00000000-0008-0000-0800-00002B000000}"/>
            </a:ext>
          </a:extLst>
        </xdr:cNvPr>
        <xdr:cNvSpPr txBox="1"/>
      </xdr:nvSpPr>
      <xdr:spPr>
        <a:xfrm>
          <a:off x="10877549" y="30996466"/>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6</xdr:col>
      <xdr:colOff>275167</xdr:colOff>
      <xdr:row>74</xdr:row>
      <xdr:rowOff>148166</xdr:rowOff>
    </xdr:from>
    <xdr:ext cx="465666" cy="219163"/>
    <xdr:sp macro="" textlink="">
      <xdr:nvSpPr>
        <xdr:cNvPr id="44" name="CuadroTexto 43">
          <a:extLst>
            <a:ext uri="{FF2B5EF4-FFF2-40B4-BE49-F238E27FC236}">
              <a16:creationId xmlns:a16="http://schemas.microsoft.com/office/drawing/2014/main" id="{00000000-0008-0000-0800-00002C000000}"/>
            </a:ext>
          </a:extLst>
        </xdr:cNvPr>
        <xdr:cNvSpPr txBox="1"/>
      </xdr:nvSpPr>
      <xdr:spPr>
        <a:xfrm>
          <a:off x="6809317" y="30583716"/>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6</xdr:col>
      <xdr:colOff>328083</xdr:colOff>
      <xdr:row>75</xdr:row>
      <xdr:rowOff>84667</xdr:rowOff>
    </xdr:from>
    <xdr:ext cx="359835" cy="219163"/>
    <xdr:sp macro="" textlink="">
      <xdr:nvSpPr>
        <xdr:cNvPr id="45" name="CuadroTexto 44">
          <a:extLst>
            <a:ext uri="{FF2B5EF4-FFF2-40B4-BE49-F238E27FC236}">
              <a16:creationId xmlns:a16="http://schemas.microsoft.com/office/drawing/2014/main" id="{00000000-0008-0000-0800-00002D000000}"/>
            </a:ext>
          </a:extLst>
        </xdr:cNvPr>
        <xdr:cNvSpPr txBox="1"/>
      </xdr:nvSpPr>
      <xdr:spPr>
        <a:xfrm>
          <a:off x="6862233" y="30964717"/>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3</xdr:col>
      <xdr:colOff>560916</xdr:colOff>
      <xdr:row>72</xdr:row>
      <xdr:rowOff>74084</xdr:rowOff>
    </xdr:from>
    <xdr:ext cx="1524000" cy="210507"/>
    <mc:AlternateContent xmlns:mc="http://schemas.openxmlformats.org/markup-compatibility/2006" xmlns:a14="http://schemas.microsoft.com/office/drawing/2010/main">
      <mc:Choice Requires="a14">
        <xdr:sp macro="" textlink="">
          <xdr:nvSpPr>
            <xdr:cNvPr id="46" name="CuadroTexto 45">
              <a:extLst>
                <a:ext uri="{FF2B5EF4-FFF2-40B4-BE49-F238E27FC236}">
                  <a16:creationId xmlns:a16="http://schemas.microsoft.com/office/drawing/2014/main" id="{00000000-0008-0000-0800-00002E000000}"/>
                </a:ext>
              </a:extLst>
            </xdr:cNvPr>
            <xdr:cNvSpPr txBox="1"/>
          </xdr:nvSpPr>
          <xdr:spPr>
            <a:xfrm>
              <a:off x="3526366" y="29550784"/>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m:t>
                    </m:r>
                  </m:oMath>
                </m:oMathPara>
              </a14:m>
              <a:endParaRPr lang="es-CO" sz="1400" b="1" i="1">
                <a:latin typeface="Arial" panose="020B0604020202020204" pitchFamily="34" charset="0"/>
                <a:cs typeface="Arial" panose="020B0604020202020204" pitchFamily="34" charset="0"/>
              </a:endParaRPr>
            </a:p>
          </xdr:txBody>
        </xdr:sp>
      </mc:Choice>
      <mc:Fallback xmlns="">
        <xdr:sp macro="" textlink="">
          <xdr:nvSpPr>
            <xdr:cNvPr id="46" name="CuadroTexto 45">
              <a:extLst>
                <a:ext uri="{FF2B5EF4-FFF2-40B4-BE49-F238E27FC236}">
                  <a16:creationId xmlns:a16="http://schemas.microsoft.com/office/drawing/2014/main" id="{B0115895-1786-48DA-95C2-2298C108B52B}"/>
                </a:ext>
              </a:extLst>
            </xdr:cNvPr>
            <xdr:cNvSpPr txBox="1"/>
          </xdr:nvSpPr>
          <xdr:spPr>
            <a:xfrm>
              <a:off x="3526366" y="29550784"/>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 𝒎 𝒄𝒕 )   </a:t>
              </a:r>
              <a:endParaRPr lang="es-CO" sz="1400" b="1" i="1">
                <a:latin typeface="Arial" panose="020B0604020202020204" pitchFamily="34" charset="0"/>
                <a:cs typeface="Arial" panose="020B0604020202020204" pitchFamily="34" charset="0"/>
              </a:endParaRPr>
            </a:p>
          </xdr:txBody>
        </xdr:sp>
      </mc:Fallback>
    </mc:AlternateContent>
    <xdr:clientData/>
  </xdr:oneCellAnchor>
  <xdr:oneCellAnchor>
    <xdr:from>
      <xdr:col>7</xdr:col>
      <xdr:colOff>411956</xdr:colOff>
      <xdr:row>71</xdr:row>
      <xdr:rowOff>406003</xdr:rowOff>
    </xdr:from>
    <xdr:ext cx="65" cy="172227"/>
    <xdr:sp macro="" textlink="">
      <xdr:nvSpPr>
        <xdr:cNvPr id="47" name="CuadroTexto 46">
          <a:extLst>
            <a:ext uri="{FF2B5EF4-FFF2-40B4-BE49-F238E27FC236}">
              <a16:creationId xmlns:a16="http://schemas.microsoft.com/office/drawing/2014/main" id="{00000000-0008-0000-0800-00002F000000}"/>
            </a:ext>
          </a:extLst>
        </xdr:cNvPr>
        <xdr:cNvSpPr txBox="1"/>
      </xdr:nvSpPr>
      <xdr:spPr>
        <a:xfrm>
          <a:off x="8044656" y="29457253"/>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49" name="CuadroTexto 48">
              <a:extLst>
                <a:ext uri="{FF2B5EF4-FFF2-40B4-BE49-F238E27FC236}">
                  <a16:creationId xmlns:a16="http://schemas.microsoft.com/office/drawing/2014/main" id="{00000000-0008-0000-0800-000031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49" name="CuadroTexto 48">
              <a:extLst>
                <a:ext uri="{FF2B5EF4-FFF2-40B4-BE49-F238E27FC236}">
                  <a16:creationId xmlns:a16="http://schemas.microsoft.com/office/drawing/2014/main" id="{D88EFB20-EFD2-4DDC-9356-EB30DD8779CD}"/>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50" name="CuadroTexto 49">
              <a:extLst>
                <a:ext uri="{FF2B5EF4-FFF2-40B4-BE49-F238E27FC236}">
                  <a16:creationId xmlns:a16="http://schemas.microsoft.com/office/drawing/2014/main" id="{00000000-0008-0000-0800-000032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50" name="CuadroTexto 49">
              <a:extLst>
                <a:ext uri="{FF2B5EF4-FFF2-40B4-BE49-F238E27FC236}">
                  <a16:creationId xmlns:a16="http://schemas.microsoft.com/office/drawing/2014/main" id="{142CC3D4-CAB8-48C2-BE43-7085D7DE3EA3}"/>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twoCellAnchor>
    <xdr:from>
      <xdr:col>7</xdr:col>
      <xdr:colOff>865187</xdr:colOff>
      <xdr:row>62</xdr:row>
      <xdr:rowOff>277812</xdr:rowOff>
    </xdr:from>
    <xdr:to>
      <xdr:col>11</xdr:col>
      <xdr:colOff>801686</xdr:colOff>
      <xdr:row>64</xdr:row>
      <xdr:rowOff>547687</xdr:rowOff>
    </xdr:to>
    <xdr:graphicFrame macro="">
      <xdr:nvGraphicFramePr>
        <xdr:cNvPr id="52" name="Gráfico 51">
          <a:extLst>
            <a:ext uri="{FF2B5EF4-FFF2-40B4-BE49-F238E27FC236}">
              <a16:creationId xmlns:a16="http://schemas.microsoft.com/office/drawing/2014/main" id="{00000000-0008-0000-0800-00003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226219</xdr:colOff>
      <xdr:row>0</xdr:row>
      <xdr:rowOff>83344</xdr:rowOff>
    </xdr:from>
    <xdr:to>
      <xdr:col>1</xdr:col>
      <xdr:colOff>566756</xdr:colOff>
      <xdr:row>0</xdr:row>
      <xdr:rowOff>699093</xdr:rowOff>
    </xdr:to>
    <xdr:pic>
      <xdr:nvPicPr>
        <xdr:cNvPr id="48" name="47 Imagen">
          <a:extLst>
            <a:ext uri="{FF2B5EF4-FFF2-40B4-BE49-F238E27FC236}">
              <a16:creationId xmlns:a16="http://schemas.microsoft.com/office/drawing/2014/main" id="{00000000-0008-0000-0800-000030000000}"/>
            </a:ext>
          </a:extLst>
        </xdr:cNvPr>
        <xdr:cNvPicPr>
          <a:picLocks noChangeAspect="1"/>
        </xdr:cNvPicPr>
      </xdr:nvPicPr>
      <xdr:blipFill>
        <a:blip xmlns:r="http://schemas.openxmlformats.org/officeDocument/2006/relationships" r:embed="rId2"/>
        <a:stretch>
          <a:fillRect/>
        </a:stretch>
      </xdr:blipFill>
      <xdr:spPr>
        <a:xfrm>
          <a:off x="226219" y="83344"/>
          <a:ext cx="1316850" cy="61574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IC20736\Users\Users\eaguirre\Documents\Laboratorios%20de%20masas%20y%20volumen%20(RT03)\Calibraciones%20Balanzas\CERTIFICADO%200000%202016Abril19%20HCB%20MAX%202200%20g%20PEDRO%20VARGA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Mi%20unidad/Evaluacion%20lab%20%20julio%202020/H.C%20Evaluacion%20y%20autorizacion%20juego%20pesas%20M1%202020-07-0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PRUEBAS DE CALIBRACION"/>
      <sheetName val="COMPONENTES DE INCERTI"/>
      <sheetName val="APROXIMACION LINEL"/>
      <sheetName val="RESULTADOS"/>
      <sheetName val="Certificado 0,000"/>
    </sheetNames>
    <sheetDataSet>
      <sheetData sheetId="0">
        <row r="7">
          <cell r="C7" t="str">
            <v>Bogotá. D.C.</v>
          </cell>
        </row>
        <row r="13">
          <cell r="E13">
            <v>0.1</v>
          </cell>
        </row>
      </sheetData>
      <sheetData sheetId="1">
        <row r="6">
          <cell r="E6">
            <v>20.549999999999997</v>
          </cell>
        </row>
        <row r="11">
          <cell r="H11">
            <v>100</v>
          </cell>
        </row>
        <row r="18">
          <cell r="G18">
            <v>0.10000000000331966</v>
          </cell>
        </row>
      </sheetData>
      <sheetData sheetId="2"/>
      <sheetData sheetId="3"/>
      <sheetData sheetId="4">
        <row r="6">
          <cell r="C6" t="str">
            <v>ERROR (mg)</v>
          </cell>
        </row>
      </sheetData>
      <sheetData sheetId="5">
        <row r="114">
          <cell r="A114">
            <v>10</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T03-F13 @"/>
      <sheetName val="1 g @"/>
      <sheetName val="2 g @"/>
      <sheetName val="2 g + @"/>
      <sheetName val="5 g @"/>
      <sheetName val="10 g @"/>
      <sheetName val="20 g @"/>
      <sheetName val="20 g + @"/>
      <sheetName val="50 g @"/>
      <sheetName val="100 g @"/>
      <sheetName val="200 g @"/>
      <sheetName val="200 g + @"/>
      <sheetName val="500 g @"/>
      <sheetName val="1 kg @"/>
      <sheetName val="2 kg @"/>
      <sheetName val="2 kg + @"/>
      <sheetName val="5 kg @"/>
      <sheetName val="10 kg @"/>
      <sheetName val="20 kg @ (C)"/>
      <sheetName val="DATOS @"/>
      <sheetName val="RT03-F16 @"/>
      <sheetName val="RT03-F40 @ "/>
      <sheetName val="Max-Min @"/>
      <sheetName val="5 kg @ (C)"/>
      <sheetName val="Certif 5 kg @ (C)"/>
      <sheetName val="10 kg @ (C)"/>
      <sheetName val="Certif 10 kg @ (C)"/>
      <sheetName val="Pc"/>
      <sheetName val="Certif 20 kg @ (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ow r="11">
          <cell r="G11">
            <v>0.4</v>
          </cell>
        </row>
        <row r="12">
          <cell r="G12">
            <v>0.5</v>
          </cell>
        </row>
        <row r="13">
          <cell r="G13">
            <v>0.6</v>
          </cell>
        </row>
        <row r="14">
          <cell r="G14">
            <v>0.8</v>
          </cell>
        </row>
        <row r="17">
          <cell r="G17">
            <v>3</v>
          </cell>
        </row>
        <row r="18">
          <cell r="G18">
            <v>8</v>
          </cell>
        </row>
        <row r="19">
          <cell r="G19">
            <v>16</v>
          </cell>
        </row>
        <row r="20">
          <cell r="G20">
            <v>30</v>
          </cell>
        </row>
      </sheetData>
      <sheetData sheetId="28"/>
    </sheetDataSet>
  </externalBook>
</externalLink>
</file>

<file path=xl/persons/person.xml><?xml version="1.0" encoding="utf-8"?>
<personList xmlns="http://schemas.microsoft.com/office/spreadsheetml/2018/threadedcomments" xmlns:x="http://schemas.openxmlformats.org/spreadsheetml/2006/main">
  <person displayName="Luis Henry Barreto Rojas" id="{3158BA57-9FEC-4E58-B7F7-7571081DBE60}" userId="Luis Henry Barreto Rojas" providerId="None"/>
  <person displayName="Elvis Aguirre Romero" id="{9D17B2A7-7058-4669-AB42-D03FCE3F4352}" userId="S::eaguirre@sic.gov.co::374a4117-b831-4a3d-8ba0-a79639956d31" providerId="AD"/>
</personList>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readedComments/threadedComment1.xml><?xml version="1.0" encoding="utf-8"?>
<ThreadedComments xmlns="http://schemas.microsoft.com/office/spreadsheetml/2018/threadedcomments" xmlns:x="http://schemas.openxmlformats.org/spreadsheetml/2006/main">
  <threadedComment ref="F45" dT="2020-10-21T16:24:30.52" personId="{9D17B2A7-7058-4669-AB42-D03FCE3F4352}" id="{B16603F9-1199-4E9B-8D9A-6CDDA89A56E2}">
    <text>Tener en cuenta: valor nominal, unidad, clase,marcación del fabricante y marcación adicional. ejemplo: (5 kg * M LVF TR)</text>
  </threadedComment>
  <threadedComment ref="H119" dT="2020-08-24T21:24:22.16" personId="{3158BA57-9FEC-4E58-B7F7-7571081DBE60}" id="{72CAB778-1D1B-495D-B56A-2C449DE085AD}">
    <text>Valor agregado algebraicamente al resultado no corregido de una medición para compensar un error sistemático. Nota: la corrección es igual al error sistemático, con signo negativo.</text>
  </threadedComment>
</ThreadedComments>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7.xml"/><Relationship Id="rId1" Type="http://schemas.openxmlformats.org/officeDocument/2006/relationships/printerSettings" Target="../printerSettings/printerSettings17.bin"/><Relationship Id="rId5" Type="http://schemas.microsoft.com/office/2017/10/relationships/threadedComment" Target="../threadedComments/threadedComment1.xml"/><Relationship Id="rId4" Type="http://schemas.openxmlformats.org/officeDocument/2006/relationships/comments" Target="../comments2.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5.xml"/><Relationship Id="rId1" Type="http://schemas.openxmlformats.org/officeDocument/2006/relationships/printerSettings" Target="../printerSettings/printerSettings35.bin"/><Relationship Id="rId4" Type="http://schemas.openxmlformats.org/officeDocument/2006/relationships/comments" Target="../comments3.xml"/></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FF00"/>
  </sheetPr>
  <dimension ref="A1:U114"/>
  <sheetViews>
    <sheetView showGridLines="0" view="pageBreakPreview" zoomScale="80" zoomScaleNormal="60" zoomScaleSheetLayoutView="80" workbookViewId="0">
      <selection activeCell="C65" sqref="C65"/>
    </sheetView>
  </sheetViews>
  <sheetFormatPr baseColWidth="10" defaultColWidth="11.42578125" defaultRowHeight="31.5" customHeight="1" x14ac:dyDescent="0.2"/>
  <cols>
    <col min="1" max="1" width="16.28515625" style="37" customWidth="1"/>
    <col min="2" max="2" width="19" style="37" customWidth="1"/>
    <col min="3" max="3" width="15.7109375" style="37" customWidth="1"/>
    <col min="4" max="4" width="17" style="37" customWidth="1"/>
    <col min="5" max="5" width="15.5703125" style="37" customWidth="1"/>
    <col min="6" max="6" width="18.5703125" style="37" customWidth="1"/>
    <col min="7" max="7" width="15.7109375" style="37" customWidth="1"/>
    <col min="8" max="8" width="24.42578125" style="37" bestFit="1" customWidth="1"/>
    <col min="9" max="9" width="13.85546875" style="37" bestFit="1" customWidth="1"/>
    <col min="10" max="10" width="13.7109375" style="37" customWidth="1"/>
    <col min="11" max="11" width="11.42578125" style="8"/>
    <col min="12" max="12" width="13.85546875" style="8" bestFit="1" customWidth="1"/>
    <col min="13" max="18" width="11.42578125" style="8"/>
    <col min="19" max="19" width="13" style="8" bestFit="1" customWidth="1"/>
    <col min="20" max="20" width="15.85546875" style="8" bestFit="1" customWidth="1"/>
    <col min="21" max="21" width="14.42578125" style="8" bestFit="1" customWidth="1"/>
    <col min="22" max="16384" width="11.42578125" style="8"/>
  </cols>
  <sheetData>
    <row r="1" spans="1:16" ht="60" customHeight="1" thickBot="1" x14ac:dyDescent="0.25">
      <c r="A1" s="1257"/>
      <c r="B1" s="1258"/>
      <c r="C1" s="1259" t="s">
        <v>57</v>
      </c>
      <c r="D1" s="1260"/>
      <c r="E1" s="1260"/>
      <c r="F1" s="1260"/>
      <c r="G1" s="1260"/>
      <c r="H1" s="1260"/>
      <c r="I1" s="1260"/>
      <c r="J1" s="1260"/>
      <c r="K1" s="1260"/>
      <c r="L1" s="1260"/>
      <c r="M1" s="1261"/>
      <c r="N1" s="7"/>
      <c r="O1" s="7"/>
      <c r="P1" s="7"/>
    </row>
    <row r="2" spans="1:16" s="11" customFormat="1" ht="9.75" customHeight="1" thickBot="1" x14ac:dyDescent="0.25">
      <c r="A2" s="9"/>
      <c r="B2" s="9"/>
      <c r="C2" s="10"/>
      <c r="D2" s="10"/>
      <c r="E2" s="10"/>
      <c r="F2" s="10"/>
      <c r="G2" s="10"/>
      <c r="H2" s="10"/>
      <c r="K2" s="12"/>
      <c r="M2" s="7"/>
    </row>
    <row r="3" spans="1:16" s="12" customFormat="1" ht="35.25" customHeight="1" thickBot="1" x14ac:dyDescent="0.25">
      <c r="A3" s="13" t="s">
        <v>17</v>
      </c>
      <c r="B3" s="14" t="s">
        <v>55</v>
      </c>
      <c r="C3" s="15" t="s">
        <v>209</v>
      </c>
      <c r="D3" s="15" t="s">
        <v>56</v>
      </c>
      <c r="E3" s="15" t="s">
        <v>8</v>
      </c>
      <c r="F3" s="16" t="s">
        <v>18</v>
      </c>
      <c r="G3" s="16" t="s">
        <v>297</v>
      </c>
      <c r="H3" s="17" t="s">
        <v>24</v>
      </c>
      <c r="I3" s="1262"/>
      <c r="J3" s="1263"/>
      <c r="K3" s="11"/>
      <c r="M3" s="7"/>
    </row>
    <row r="4" spans="1:16" s="11" customFormat="1" ht="32.25" customHeight="1" thickBot="1" x14ac:dyDescent="0.25">
      <c r="A4" s="18" t="e">
        <f>VLOOKUP($I$3,'DATOS %'!B7:J29,2,FALSE)</f>
        <v>#N/A</v>
      </c>
      <c r="B4" s="212" t="e">
        <f>VLOOKUP($I$3,'DATOS %'!$B$7:$J$29,3,FALSE)</f>
        <v>#N/A</v>
      </c>
      <c r="C4" s="19" t="e">
        <f>VLOOKUP($I$3,'DATOS %'!$B$7:$J$29,8,FALSE)</f>
        <v>#N/A</v>
      </c>
      <c r="D4" s="19" t="e">
        <f>VLOOKUP($I$3,'DATOS %'!$B$7:$J$29,6,FALSE)</f>
        <v>#N/A</v>
      </c>
      <c r="E4" s="212" t="e">
        <f>VLOOKUP($I$3,'DATOS %'!$B$7:$J$29,7,FALSE)</f>
        <v>#N/A</v>
      </c>
      <c r="F4" s="18" t="e">
        <f>VLOOKUP($I$3,'DATOS %'!$B$7:$J$29,4,FALSE)</f>
        <v>#N/A</v>
      </c>
      <c r="G4" s="18" t="e">
        <f>VLOOKUP($I$3,'DATOS %'!$B$7:$J$29,5,FALSE)</f>
        <v>#N/A</v>
      </c>
      <c r="H4" s="19" t="e">
        <f>VLOOKUP($I$3,'DATOS %'!$B$7:$J$29,9,FALSE)</f>
        <v>#N/A</v>
      </c>
      <c r="I4" s="1264"/>
      <c r="J4" s="1265"/>
      <c r="K4" s="8"/>
      <c r="L4" s="20"/>
      <c r="M4" s="20"/>
    </row>
    <row r="5" spans="1:16" s="22" customFormat="1" ht="6.75" customHeight="1" thickBot="1" x14ac:dyDescent="0.25">
      <c r="A5" s="21"/>
      <c r="B5" s="21"/>
      <c r="C5" s="21"/>
      <c r="F5" s="21"/>
      <c r="G5" s="21"/>
      <c r="H5" s="21"/>
      <c r="K5" s="8"/>
    </row>
    <row r="6" spans="1:16" ht="31.5" customHeight="1" thickBot="1" x14ac:dyDescent="0.25">
      <c r="A6" s="1266" t="s">
        <v>19</v>
      </c>
      <c r="B6" s="1267"/>
      <c r="C6" s="1267"/>
      <c r="D6" s="1268"/>
      <c r="E6" s="4"/>
      <c r="F6" s="1266" t="s">
        <v>20</v>
      </c>
      <c r="G6" s="1267"/>
      <c r="H6" s="1267"/>
      <c r="I6" s="1268"/>
      <c r="J6" s="523">
        <f>I3</f>
        <v>0</v>
      </c>
      <c r="K6" s="403"/>
    </row>
    <row r="7" spans="1:16" ht="31.5" customHeight="1" x14ac:dyDescent="0.2">
      <c r="A7" s="23" t="s">
        <v>21</v>
      </c>
      <c r="B7" s="24" t="e">
        <f>VLOOKUP($E$6,'DATOS %'!N11:AA113,2,FALSE)</f>
        <v>#N/A</v>
      </c>
      <c r="C7" s="25" t="s">
        <v>10</v>
      </c>
      <c r="D7" s="26" t="e">
        <f>VLOOKUP($E$6,'DATOS %'!N11:AA113,3,FALSE)</f>
        <v>#N/A</v>
      </c>
      <c r="E7" s="27"/>
      <c r="F7" s="23" t="s">
        <v>21</v>
      </c>
      <c r="G7" s="24" t="e">
        <f>VLOOKUP($J$6,'DATOS %'!B47:I79,2,FALSE)</f>
        <v>#N/A</v>
      </c>
      <c r="H7" s="28" t="s">
        <v>10</v>
      </c>
      <c r="I7" s="26" t="e">
        <f>VLOOKUP($J$6,'DATOS %'!B47:I79,3,FALSE)</f>
        <v>#N/A</v>
      </c>
      <c r="J7" s="29"/>
    </row>
    <row r="8" spans="1:16" ht="31.5" customHeight="1" x14ac:dyDescent="0.2">
      <c r="A8" s="30" t="s">
        <v>22</v>
      </c>
      <c r="B8" s="31" t="e">
        <f>VLOOKUP($E$6,'DATOS %'!N11:AA113,4,FALSE)</f>
        <v>#N/A</v>
      </c>
      <c r="C8" s="32" t="s">
        <v>23</v>
      </c>
      <c r="D8" s="33" t="e">
        <f>VLOOKUP($E$6,'DATOS %'!N11:AA113,5,FALSE)</f>
        <v>#N/A</v>
      </c>
      <c r="E8" s="27"/>
      <c r="F8" s="30" t="s">
        <v>22</v>
      </c>
      <c r="G8" s="31" t="e">
        <f>VLOOKUP($J$6,'DATOS %'!B47:I79,4,FALSE)</f>
        <v>#N/A</v>
      </c>
      <c r="H8" s="32" t="s">
        <v>23</v>
      </c>
      <c r="I8" s="297" t="e">
        <f>VLOOKUP($J$6,'DATOS %'!B47:I79,5,FALSE)</f>
        <v>#N/A</v>
      </c>
      <c r="J8" s="29"/>
    </row>
    <row r="9" spans="1:16" ht="31.5" customHeight="1" x14ac:dyDescent="0.2">
      <c r="A9" s="34" t="s">
        <v>24</v>
      </c>
      <c r="B9" s="31" t="e">
        <f>VLOOKUP($E$6,'DATOS %'!N11:AA113,6,FALSE)</f>
        <v>#N/A</v>
      </c>
      <c r="C9" s="35" t="s">
        <v>15</v>
      </c>
      <c r="D9" s="36" t="e">
        <f>VLOOKUP($E$6,'DATOS %'!N11:AA113,7,FALSE)</f>
        <v>#N/A</v>
      </c>
      <c r="F9" s="1252" t="s">
        <v>62</v>
      </c>
      <c r="G9" s="1253"/>
      <c r="H9" s="31" t="e">
        <f>(VLOOKUP($J$6,'DATOS %'!B47:I79,6,FALSE))/1000</f>
        <v>#N/A</v>
      </c>
      <c r="I9" s="33" t="s">
        <v>1</v>
      </c>
      <c r="J9" s="29"/>
      <c r="K9" s="208"/>
    </row>
    <row r="10" spans="1:16" s="38" customFormat="1" ht="31.5" customHeight="1" x14ac:dyDescent="0.25">
      <c r="A10" s="1269" t="s">
        <v>558</v>
      </c>
      <c r="B10" s="1270"/>
      <c r="C10" s="33" t="e">
        <f>(VLOOKUP($E$6,'DATOS %'!N11:AA113,8,FALSE))/1000</f>
        <v>#N/A</v>
      </c>
      <c r="D10" s="33" t="s">
        <v>1</v>
      </c>
      <c r="F10" s="1252" t="s">
        <v>64</v>
      </c>
      <c r="G10" s="1253"/>
      <c r="H10" s="213" t="e">
        <f>VLOOKUP($J$6,'DATOS %'!B47:I79,7,FALSE)</f>
        <v>#N/A</v>
      </c>
      <c r="I10" s="33" t="s">
        <v>532</v>
      </c>
      <c r="J10" s="39"/>
    </row>
    <row r="11" spans="1:16" s="38" customFormat="1" ht="31.5" customHeight="1" thickBot="1" x14ac:dyDescent="0.3">
      <c r="A11" s="1252" t="s">
        <v>65</v>
      </c>
      <c r="B11" s="1253"/>
      <c r="C11" s="31" t="e">
        <f>VLOOKUP($E$6,'DATOS %'!N11:AA113,9,FALSE)</f>
        <v>#N/A</v>
      </c>
      <c r="D11" s="33" t="s">
        <v>3</v>
      </c>
      <c r="E11" s="40"/>
      <c r="F11" s="1271" t="s">
        <v>66</v>
      </c>
      <c r="G11" s="1272"/>
      <c r="H11" s="41" t="e">
        <f>VLOOKUP($J$6,'DATOS %'!B47:I79,8,FALSE)</f>
        <v>#N/A</v>
      </c>
      <c r="I11" s="45" t="s">
        <v>532</v>
      </c>
      <c r="J11" s="39"/>
    </row>
    <row r="12" spans="1:16" s="38" customFormat="1" ht="31.5" customHeight="1" thickBot="1" x14ac:dyDescent="0.3">
      <c r="A12" s="1252" t="s">
        <v>67</v>
      </c>
      <c r="B12" s="1253"/>
      <c r="C12" s="31" t="e">
        <f>VLOOKUP($E$6,'DATOS %'!N11:AA113,10,FALSE)</f>
        <v>#N/A</v>
      </c>
      <c r="D12" s="33" t="s">
        <v>3</v>
      </c>
      <c r="E12" s="39"/>
      <c r="F12" s="39"/>
      <c r="G12" s="39"/>
      <c r="H12" s="39"/>
    </row>
    <row r="13" spans="1:16" s="38" customFormat="1" ht="31.5" customHeight="1" thickBot="1" x14ac:dyDescent="0.3">
      <c r="A13" s="1252" t="s">
        <v>68</v>
      </c>
      <c r="B13" s="1253"/>
      <c r="C13" s="213" t="e">
        <f>VLOOKUP($E$6,'DATOS %'!N11:AA113,11,FALSE)</f>
        <v>#N/A</v>
      </c>
      <c r="D13" s="33" t="s">
        <v>532</v>
      </c>
      <c r="E13" s="39"/>
      <c r="F13" s="1254" t="s">
        <v>559</v>
      </c>
      <c r="G13" s="1255"/>
      <c r="H13" s="1255"/>
      <c r="I13" s="1256"/>
      <c r="J13" s="5"/>
    </row>
    <row r="14" spans="1:16" s="38" customFormat="1" ht="31.5" customHeight="1" x14ac:dyDescent="0.2">
      <c r="A14" s="1252" t="s">
        <v>305</v>
      </c>
      <c r="B14" s="1253"/>
      <c r="C14" s="31" t="e">
        <f>VLOOKUP($E$6,'DATOS %'!N11:AA113,12,FALSE)</f>
        <v>#N/A</v>
      </c>
      <c r="D14" s="33" t="s">
        <v>532</v>
      </c>
      <c r="E14" s="39"/>
      <c r="F14" s="23" t="s">
        <v>10</v>
      </c>
      <c r="G14" s="24" t="e">
        <f>VLOOKUP($J$13,'DATOS %'!$V$119:$Y$126,2,FALSE)</f>
        <v>#N/A</v>
      </c>
      <c r="H14" s="28" t="s">
        <v>22</v>
      </c>
      <c r="I14" s="24" t="e">
        <f>VLOOKUP($J$13,'DATOS %'!$V$119:$Z$126,3,FALSE)</f>
        <v>#N/A</v>
      </c>
      <c r="J14" s="42"/>
      <c r="K14" s="8"/>
    </row>
    <row r="15" spans="1:16" ht="31.5" customHeight="1" thickBot="1" x14ac:dyDescent="0.25">
      <c r="A15" s="1277" t="s">
        <v>69</v>
      </c>
      <c r="B15" s="1278"/>
      <c r="C15" s="31" t="e">
        <f>VLOOKUP($E$6,'DATOS %'!N11:AA113,13,FALSE)</f>
        <v>#N/A</v>
      </c>
      <c r="D15" s="33" t="s">
        <v>532</v>
      </c>
      <c r="E15" s="29"/>
      <c r="F15" s="43" t="s">
        <v>61</v>
      </c>
      <c r="G15" s="41" t="e">
        <f>VLOOKUP($J$13,'DATOS %'!$V$119:$Y$126,4,FALSE)</f>
        <v>#N/A</v>
      </c>
      <c r="H15" s="41" t="s">
        <v>1</v>
      </c>
      <c r="I15" s="243" t="s">
        <v>210</v>
      </c>
      <c r="J15" s="45" t="e">
        <f>VLOOKUP($J$13,'DATOS %'!$V$119:$Z$126,5,FALSE)</f>
        <v>#N/A</v>
      </c>
      <c r="K15" s="22"/>
    </row>
    <row r="16" spans="1:16" ht="30.95" customHeight="1" thickBot="1" x14ac:dyDescent="0.25">
      <c r="A16" s="1279" t="s">
        <v>210</v>
      </c>
      <c r="B16" s="1280"/>
      <c r="C16" s="1281" t="e">
        <f>VLOOKUP($E$6,'DATOS %'!N11:AA113,14,FALSE)</f>
        <v>#N/A</v>
      </c>
      <c r="D16" s="1282"/>
      <c r="E16" s="29"/>
      <c r="F16" s="8"/>
      <c r="G16" s="8"/>
      <c r="H16" s="8"/>
      <c r="I16" s="8"/>
      <c r="J16" s="8"/>
    </row>
    <row r="17" spans="1:11" s="22" customFormat="1" ht="30.95" customHeight="1" thickBot="1" x14ac:dyDescent="0.25">
      <c r="A17" s="29"/>
      <c r="B17" s="29"/>
      <c r="C17" s="29"/>
      <c r="D17" s="29"/>
      <c r="E17" s="29"/>
      <c r="F17" s="29"/>
      <c r="G17" s="29"/>
      <c r="H17" s="29"/>
      <c r="I17" s="29"/>
      <c r="J17" s="29"/>
      <c r="K17" s="8"/>
    </row>
    <row r="18" spans="1:11" ht="31.5" customHeight="1" thickBot="1" x14ac:dyDescent="0.25">
      <c r="A18" s="1283" t="s">
        <v>26</v>
      </c>
      <c r="B18" s="1284"/>
      <c r="C18" s="1284"/>
      <c r="D18" s="1284"/>
      <c r="E18" s="1284"/>
      <c r="F18" s="1284"/>
      <c r="G18" s="1284"/>
      <c r="H18" s="1284"/>
      <c r="I18" s="1284"/>
      <c r="J18" s="1285"/>
    </row>
    <row r="19" spans="1:11" ht="46.5" customHeight="1" thickBot="1" x14ac:dyDescent="0.25">
      <c r="A19" s="96" t="s">
        <v>10</v>
      </c>
      <c r="B19" s="97" t="e">
        <f>VLOOKUP(J19,'DATOS %'!J174:W180,2,FALSE)</f>
        <v>#N/A</v>
      </c>
      <c r="C19" s="98" t="s">
        <v>7</v>
      </c>
      <c r="D19" s="99" t="e">
        <f>VLOOKUP(J19,'DATOS %'!J174:W180,3,FALSE)</f>
        <v>#N/A</v>
      </c>
      <c r="E19" s="298" t="s">
        <v>24</v>
      </c>
      <c r="F19" s="1286" t="e">
        <f>VLOOKUP(J19,'DATOS %'!J174:W180,5,FALSE)</f>
        <v>#N/A</v>
      </c>
      <c r="G19" s="1287"/>
      <c r="H19" s="98" t="s">
        <v>25</v>
      </c>
      <c r="I19" s="212" t="e">
        <f>VLOOKUP(J19,'DATOS %'!J174:W180,4,FALSE)</f>
        <v>#N/A</v>
      </c>
      <c r="J19" s="1288"/>
    </row>
    <row r="20" spans="1:11" ht="31.5" customHeight="1" thickBot="1" x14ac:dyDescent="0.25">
      <c r="A20" s="1290" t="s">
        <v>316</v>
      </c>
      <c r="B20" s="1291"/>
      <c r="C20" s="94" t="s">
        <v>27</v>
      </c>
      <c r="D20" s="101" t="e">
        <f>VLOOKUP(J19,'DATOS %'!J174:W180,6,FALSE)</f>
        <v>#N/A</v>
      </c>
      <c r="E20" s="1292" t="s">
        <v>307</v>
      </c>
      <c r="F20" s="1293"/>
      <c r="G20" s="101" t="e">
        <f>VLOOKUP(J19,'DATOS %'!J174:W180,7,FALSE)</f>
        <v>#N/A</v>
      </c>
      <c r="H20" s="95" t="s">
        <v>9</v>
      </c>
      <c r="I20" s="214" t="e">
        <f>VLOOKUP(J19,'DATOS %'!J174:W180,8,FALSE)</f>
        <v>#N/A</v>
      </c>
      <c r="J20" s="1289"/>
    </row>
    <row r="21" spans="1:11" s="46" customFormat="1" ht="15" customHeight="1" thickBot="1" x14ac:dyDescent="0.25">
      <c r="A21" s="47"/>
      <c r="B21" s="47"/>
      <c r="C21" s="47"/>
      <c r="D21" s="47"/>
      <c r="E21" s="47"/>
      <c r="F21" s="47"/>
      <c r="G21" s="47"/>
      <c r="H21" s="47"/>
      <c r="I21" s="47"/>
      <c r="J21" s="47"/>
      <c r="K21" s="8"/>
    </row>
    <row r="22" spans="1:11" s="48" customFormat="1" ht="31.5" customHeight="1" thickBot="1" x14ac:dyDescent="0.25">
      <c r="A22" s="1294" t="s">
        <v>28</v>
      </c>
      <c r="B22" s="1295"/>
      <c r="C22" s="1295"/>
      <c r="D22" s="1295"/>
      <c r="E22" s="1295"/>
      <c r="F22" s="1295"/>
      <c r="G22" s="1295"/>
      <c r="H22" s="1295"/>
      <c r="I22" s="1295"/>
      <c r="J22" s="1296"/>
      <c r="K22" s="47"/>
    </row>
    <row r="23" spans="1:11" s="47" customFormat="1" ht="2.25" customHeight="1" thickBot="1" x14ac:dyDescent="0.25">
      <c r="A23" s="49"/>
      <c r="B23" s="50"/>
      <c r="C23" s="50"/>
      <c r="D23" s="50"/>
      <c r="E23" s="50"/>
      <c r="F23" s="50"/>
      <c r="G23" s="50"/>
      <c r="H23" s="50"/>
      <c r="I23" s="50"/>
      <c r="J23" s="51"/>
      <c r="K23" s="48"/>
    </row>
    <row r="24" spans="1:11" s="48" customFormat="1" ht="31.5" customHeight="1" thickBot="1" x14ac:dyDescent="0.25">
      <c r="A24" s="52" t="s">
        <v>29</v>
      </c>
      <c r="B24" s="916"/>
      <c r="C24" s="1297" t="s">
        <v>27</v>
      </c>
      <c r="D24" s="1298"/>
      <c r="E24" s="1"/>
      <c r="F24" s="1299" t="s">
        <v>307</v>
      </c>
      <c r="G24" s="1300"/>
      <c r="H24" s="2"/>
      <c r="I24" s="224" t="s">
        <v>9</v>
      </c>
      <c r="J24" s="215"/>
      <c r="K24" s="46"/>
    </row>
    <row r="25" spans="1:11" s="46" customFormat="1" ht="15" customHeight="1" thickBot="1" x14ac:dyDescent="0.25">
      <c r="A25" s="47"/>
      <c r="B25" s="47"/>
      <c r="C25" s="47"/>
      <c r="D25" s="47"/>
      <c r="E25" s="47"/>
      <c r="F25" s="47"/>
      <c r="G25" s="47"/>
      <c r="H25" s="6"/>
      <c r="I25" s="47"/>
      <c r="K25" s="48"/>
    </row>
    <row r="26" spans="1:11" s="48" customFormat="1" ht="29.25" customHeight="1" thickBot="1" x14ac:dyDescent="0.25">
      <c r="A26" s="115" t="s">
        <v>129</v>
      </c>
      <c r="B26" s="105">
        <v>4</v>
      </c>
      <c r="C26" s="1301" t="s">
        <v>30</v>
      </c>
      <c r="D26" s="1302"/>
      <c r="E26" s="1302"/>
      <c r="F26" s="1303"/>
      <c r="G26" s="1304" t="s">
        <v>211</v>
      </c>
      <c r="H26" s="1305"/>
    </row>
    <row r="27" spans="1:11" s="48" customFormat="1" ht="31.5" customHeight="1" thickBot="1" x14ac:dyDescent="0.25">
      <c r="A27" s="1273" t="s">
        <v>31</v>
      </c>
      <c r="B27" s="1274"/>
      <c r="C27" s="865">
        <v>1</v>
      </c>
      <c r="D27" s="865">
        <v>2</v>
      </c>
      <c r="E27" s="865">
        <v>3</v>
      </c>
      <c r="F27" s="129">
        <v>4</v>
      </c>
      <c r="G27" s="1275" t="e">
        <f>VLOOKUP($H$25,'DATOS %'!$V$161:$AA$165,2,FALSE)</f>
        <v>#N/A</v>
      </c>
      <c r="H27" s="1276"/>
    </row>
    <row r="28" spans="1:11" s="48" customFormat="1" ht="31.5" customHeight="1" x14ac:dyDescent="0.2">
      <c r="A28" s="1310" t="s">
        <v>32</v>
      </c>
      <c r="B28" s="141" t="s">
        <v>0</v>
      </c>
      <c r="C28" s="142"/>
      <c r="D28" s="142"/>
      <c r="E28" s="142"/>
      <c r="F28" s="143"/>
      <c r="G28" s="47"/>
      <c r="H28" s="47"/>
      <c r="I28" s="47"/>
      <c r="J28" s="47"/>
    </row>
    <row r="29" spans="1:11" s="48" customFormat="1" ht="31.5" customHeight="1" x14ac:dyDescent="0.2">
      <c r="A29" s="1311"/>
      <c r="B29" s="104" t="s">
        <v>2</v>
      </c>
      <c r="C29" s="127"/>
      <c r="D29" s="127"/>
      <c r="E29" s="127"/>
      <c r="F29" s="128"/>
      <c r="G29" s="47"/>
      <c r="H29" s="47"/>
      <c r="I29" s="47"/>
      <c r="J29" s="47"/>
    </row>
    <row r="30" spans="1:11" s="48" customFormat="1" ht="31.5" customHeight="1" x14ac:dyDescent="0.2">
      <c r="A30" s="1311"/>
      <c r="B30" s="104" t="s">
        <v>2</v>
      </c>
      <c r="C30" s="127"/>
      <c r="D30" s="127"/>
      <c r="E30" s="127"/>
      <c r="F30" s="128"/>
      <c r="G30" s="47"/>
      <c r="H30" s="47"/>
      <c r="I30" s="47"/>
      <c r="J30" s="47"/>
    </row>
    <row r="31" spans="1:11" s="48" customFormat="1" ht="31.5" customHeight="1" thickBot="1" x14ac:dyDescent="0.25">
      <c r="A31" s="1312"/>
      <c r="B31" s="53" t="s">
        <v>0</v>
      </c>
      <c r="C31" s="144"/>
      <c r="D31" s="144"/>
      <c r="E31" s="144"/>
      <c r="F31" s="145"/>
      <c r="G31" s="47"/>
      <c r="H31" s="47"/>
      <c r="I31" s="47"/>
      <c r="J31" s="47"/>
      <c r="K31" s="46"/>
    </row>
    <row r="32" spans="1:11" s="46" customFormat="1" ht="15" customHeight="1" thickBot="1" x14ac:dyDescent="0.25">
      <c r="A32" s="47"/>
      <c r="B32" s="47"/>
      <c r="C32" s="47"/>
      <c r="D32" s="47"/>
      <c r="E32" s="47"/>
      <c r="F32" s="47"/>
      <c r="G32" s="47"/>
      <c r="H32" s="47"/>
      <c r="I32" s="47"/>
      <c r="J32" s="47"/>
      <c r="K32" s="48"/>
    </row>
    <row r="33" spans="1:13" s="48" customFormat="1" ht="31.5" customHeight="1" thickBot="1" x14ac:dyDescent="0.25">
      <c r="A33" s="54" t="s">
        <v>33</v>
      </c>
      <c r="B33" s="916"/>
      <c r="C33" s="1297" t="s">
        <v>27</v>
      </c>
      <c r="D33" s="1298"/>
      <c r="E33" s="1"/>
      <c r="F33" s="1299" t="s">
        <v>307</v>
      </c>
      <c r="G33" s="1300"/>
      <c r="H33" s="2"/>
      <c r="I33" s="225" t="s">
        <v>9</v>
      </c>
      <c r="J33" s="3"/>
      <c r="K33" s="46"/>
    </row>
    <row r="34" spans="1:13" s="46" customFormat="1" ht="12" customHeight="1" x14ac:dyDescent="0.2">
      <c r="A34" s="55"/>
      <c r="B34" s="55"/>
      <c r="C34" s="55"/>
      <c r="D34" s="55"/>
      <c r="E34" s="55"/>
      <c r="F34" s="55"/>
      <c r="G34" s="55"/>
      <c r="H34" s="55"/>
      <c r="I34" s="55"/>
      <c r="J34" s="55"/>
      <c r="K34" s="48"/>
    </row>
    <row r="35" spans="1:13" s="48" customFormat="1" ht="15" customHeight="1" thickBot="1" x14ac:dyDescent="0.25">
      <c r="A35" s="56"/>
      <c r="B35" s="56"/>
      <c r="C35" s="56"/>
      <c r="D35" s="56"/>
      <c r="E35" s="56"/>
      <c r="F35" s="56"/>
      <c r="G35" s="56"/>
      <c r="H35" s="56"/>
      <c r="I35" s="56"/>
      <c r="J35" s="56"/>
    </row>
    <row r="36" spans="1:13" s="48" customFormat="1" ht="32.25" customHeight="1" thickBot="1" x14ac:dyDescent="0.25">
      <c r="A36" s="1313" t="s">
        <v>34</v>
      </c>
      <c r="B36" s="1314"/>
      <c r="C36" s="1314"/>
      <c r="D36" s="1314"/>
      <c r="E36" s="1314"/>
      <c r="F36" s="1314"/>
      <c r="G36" s="1314"/>
      <c r="H36" s="1314"/>
      <c r="I36" s="1314"/>
      <c r="J36" s="1315"/>
    </row>
    <row r="37" spans="1:13" s="48" customFormat="1" ht="3.75" customHeight="1" thickBot="1" x14ac:dyDescent="0.25">
      <c r="A37" s="55"/>
      <c r="B37" s="47"/>
      <c r="C37" s="47"/>
      <c r="D37" s="47"/>
      <c r="E37" s="47"/>
      <c r="F37" s="47"/>
      <c r="G37" s="47"/>
      <c r="H37" s="47"/>
      <c r="I37" s="47"/>
      <c r="J37" s="55"/>
    </row>
    <row r="38" spans="1:13" s="48" customFormat="1" ht="31.5" customHeight="1" thickBot="1" x14ac:dyDescent="0.25">
      <c r="A38" s="47"/>
      <c r="B38" s="1316" t="s">
        <v>35</v>
      </c>
      <c r="C38" s="1317"/>
      <c r="D38" s="1317"/>
      <c r="E38" s="1317"/>
      <c r="F38" s="1318"/>
      <c r="G38" s="47"/>
      <c r="H38" s="1319" t="s">
        <v>236</v>
      </c>
      <c r="I38" s="1320"/>
      <c r="J38" s="1321"/>
      <c r="M38" s="48" t="s">
        <v>282</v>
      </c>
    </row>
    <row r="39" spans="1:13" s="48" customFormat="1" ht="31.5" customHeight="1" thickBot="1" x14ac:dyDescent="0.25">
      <c r="A39" s="47"/>
      <c r="B39" s="57" t="s">
        <v>31</v>
      </c>
      <c r="C39" s="203">
        <v>1</v>
      </c>
      <c r="D39" s="141">
        <v>2</v>
      </c>
      <c r="E39" s="141">
        <v>3</v>
      </c>
      <c r="F39" s="204">
        <v>4</v>
      </c>
      <c r="G39" s="47"/>
      <c r="H39" s="1322"/>
      <c r="I39" s="1323"/>
      <c r="J39" s="1324"/>
    </row>
    <row r="40" spans="1:13" s="48" customFormat="1" ht="31.5" customHeight="1" x14ac:dyDescent="0.2">
      <c r="A40" s="58"/>
      <c r="B40" s="59"/>
      <c r="C40" s="121" t="e">
        <f>+AVERAGE(C28,C31)</f>
        <v>#DIV/0!</v>
      </c>
      <c r="D40" s="122" t="e">
        <f>+AVERAGE(D28,D31)</f>
        <v>#DIV/0!</v>
      </c>
      <c r="E40" s="122" t="e">
        <f>+AVERAGE(E28,E31)</f>
        <v>#DIV/0!</v>
      </c>
      <c r="F40" s="205" t="e">
        <f>+AVERAGE(F28,F31)</f>
        <v>#DIV/0!</v>
      </c>
      <c r="G40" s="47"/>
      <c r="H40" s="1325"/>
      <c r="I40" s="1326"/>
      <c r="J40" s="1327"/>
    </row>
    <row r="41" spans="1:13" s="48" customFormat="1" ht="31.5" customHeight="1" x14ac:dyDescent="0.2">
      <c r="A41" s="58"/>
      <c r="B41" s="60"/>
      <c r="C41" s="123" t="e">
        <f>+AVERAGE(C29:C30)</f>
        <v>#DIV/0!</v>
      </c>
      <c r="D41" s="61" t="e">
        <f>+AVERAGE(D29:D30)</f>
        <v>#DIV/0!</v>
      </c>
      <c r="E41" s="61" t="e">
        <f>+AVERAGE(E29:E30)</f>
        <v>#DIV/0!</v>
      </c>
      <c r="F41" s="206" t="e">
        <f>+AVERAGE(F29:F30)</f>
        <v>#DIV/0!</v>
      </c>
      <c r="G41" s="47"/>
      <c r="H41" s="1325"/>
      <c r="I41" s="1326"/>
      <c r="J41" s="1327"/>
    </row>
    <row r="42" spans="1:13" s="48" customFormat="1" ht="31.5" customHeight="1" thickBot="1" x14ac:dyDescent="0.25">
      <c r="A42" s="58"/>
      <c r="B42" s="62"/>
      <c r="C42" s="124" t="e">
        <f>+C41-C40</f>
        <v>#DIV/0!</v>
      </c>
      <c r="D42" s="125" t="e">
        <f>+D41-D40</f>
        <v>#DIV/0!</v>
      </c>
      <c r="E42" s="125" t="e">
        <f>+E41-E40</f>
        <v>#DIV/0!</v>
      </c>
      <c r="F42" s="207" t="e">
        <f>+F41-F40</f>
        <v>#DIV/0!</v>
      </c>
      <c r="G42" s="47"/>
      <c r="H42" s="1328"/>
      <c r="I42" s="1329"/>
      <c r="J42" s="1330"/>
    </row>
    <row r="43" spans="1:13" s="48" customFormat="1" ht="31.5" customHeight="1" thickBot="1" x14ac:dyDescent="0.25">
      <c r="A43" s="47"/>
      <c r="B43" s="63" t="s">
        <v>36</v>
      </c>
      <c r="C43" s="1063" t="e">
        <f>+AVERAGE(C42:F42)</f>
        <v>#DIV/0!</v>
      </c>
      <c r="D43" s="47"/>
      <c r="E43" s="47"/>
      <c r="F43" s="47"/>
      <c r="G43" s="47"/>
      <c r="H43" s="47"/>
      <c r="I43" s="47"/>
      <c r="J43" s="47"/>
    </row>
    <row r="44" spans="1:13" s="48" customFormat="1" ht="31.5" customHeight="1" thickBot="1" x14ac:dyDescent="0.25">
      <c r="A44" s="47"/>
      <c r="B44" s="64" t="s">
        <v>77</v>
      </c>
      <c r="C44" s="1062" t="e">
        <f>+STDEV(C42:F42)</f>
        <v>#DIV/0!</v>
      </c>
      <c r="D44" s="47"/>
      <c r="E44" s="47"/>
      <c r="F44" s="47"/>
      <c r="G44" s="47"/>
      <c r="H44" s="47"/>
      <c r="I44" s="47"/>
      <c r="J44" s="47"/>
      <c r="K44" s="46"/>
    </row>
    <row r="45" spans="1:13" s="46" customFormat="1" ht="15" customHeight="1" thickBot="1" x14ac:dyDescent="0.25">
      <c r="A45" s="47"/>
      <c r="B45" s="47"/>
      <c r="C45" s="47"/>
      <c r="D45" s="47"/>
      <c r="E45" s="47"/>
      <c r="F45" s="47"/>
      <c r="G45" s="65"/>
      <c r="H45" s="47"/>
      <c r="I45" s="47"/>
      <c r="J45" s="47"/>
      <c r="K45" s="48"/>
    </row>
    <row r="46" spans="1:13" s="48" customFormat="1" ht="31.5" customHeight="1" thickBot="1" x14ac:dyDescent="0.25">
      <c r="A46" s="1331" t="s">
        <v>37</v>
      </c>
      <c r="B46" s="1332"/>
      <c r="C46" s="1284"/>
      <c r="D46" s="1284"/>
      <c r="E46" s="1284"/>
      <c r="F46" s="1332"/>
      <c r="G46" s="1332"/>
      <c r="H46" s="1332"/>
      <c r="I46" s="1332"/>
      <c r="J46" s="1333"/>
    </row>
    <row r="47" spans="1:13" s="48" customFormat="1" ht="31.5" customHeight="1" thickBot="1" x14ac:dyDescent="0.25">
      <c r="A47" s="1334" t="s">
        <v>321</v>
      </c>
      <c r="B47" s="1335"/>
      <c r="C47" s="1338" t="s">
        <v>38</v>
      </c>
      <c r="D47" s="1339"/>
      <c r="E47" s="1340"/>
      <c r="F47" s="47"/>
      <c r="G47" s="47"/>
      <c r="H47" s="47"/>
      <c r="I47" s="47"/>
      <c r="J47" s="47"/>
    </row>
    <row r="48" spans="1:13" s="48" customFormat="1" ht="36.75" customHeight="1" thickBot="1" x14ac:dyDescent="0.25">
      <c r="A48" s="1336"/>
      <c r="B48" s="1337"/>
      <c r="C48" s="82" t="s">
        <v>27</v>
      </c>
      <c r="D48" s="93" t="s">
        <v>307</v>
      </c>
      <c r="E48" s="83" t="s">
        <v>9</v>
      </c>
      <c r="G48" s="1341" t="s">
        <v>70</v>
      </c>
      <c r="H48" s="1342"/>
      <c r="I48" s="102" t="e">
        <f>+(0.34848*E50-0.009*D50*EXP(0.061*C50))/(273.15+C50)</f>
        <v>#DIV/0!</v>
      </c>
      <c r="J48" s="103" t="s">
        <v>73</v>
      </c>
    </row>
    <row r="49" spans="1:21" s="48" customFormat="1" ht="33" customHeight="1" thickBot="1" x14ac:dyDescent="0.25">
      <c r="A49" s="1306" t="s">
        <v>39</v>
      </c>
      <c r="B49" s="1307"/>
      <c r="C49" s="90" t="e">
        <f>+AVERAGE(E33,E24)</f>
        <v>#DIV/0!</v>
      </c>
      <c r="D49" s="91" t="e">
        <f>+AVERAGE(H33,H24)</f>
        <v>#DIV/0!</v>
      </c>
      <c r="E49" s="92" t="e">
        <f>+AVERAGE(J33,J24)</f>
        <v>#DIV/0!</v>
      </c>
      <c r="G49" s="1308" t="s">
        <v>71</v>
      </c>
      <c r="H49" s="1309"/>
      <c r="I49" s="422" t="e">
        <f>I48*((0.0001)^2+(0.001*I20/2)^2+(-0.0034*D20/2)^2+(-0.01*G20/2)^2)^0.5</f>
        <v>#DIV/0!</v>
      </c>
      <c r="J49" s="66" t="s">
        <v>73</v>
      </c>
    </row>
    <row r="50" spans="1:21" s="48" customFormat="1" ht="36.75" customHeight="1" thickBot="1" x14ac:dyDescent="0.25">
      <c r="A50" s="1343" t="s">
        <v>322</v>
      </c>
      <c r="B50" s="1344"/>
      <c r="C50" s="84" t="e">
        <f>C49+(VLOOKUP(J19,'DATOS %'!J174:W180,9,FALSE))*C49+(VLOOKUP(J19,'DATOS %'!J174:W180,10,FALSE))</f>
        <v>#DIV/0!</v>
      </c>
      <c r="D50" s="85" t="e">
        <f>D49+(VLOOKUP(J19,'DATOS %'!J174:W180,11,FALSE))*D49+(VLOOKUP(J19,'DATOS %'!J174:W180,12,FALSE))</f>
        <v>#DIV/0!</v>
      </c>
      <c r="E50" s="86" t="e">
        <f>E49+(VLOOKUP(J19,'DATOS %'!J174:W180,13,FALSE))*E49+(VLOOKUP(J19,'DATOS %'!J174:W180,14,FALSE))</f>
        <v>#DIV/0!</v>
      </c>
      <c r="G50" s="1341" t="s">
        <v>72</v>
      </c>
      <c r="H50" s="1342"/>
      <c r="I50" s="67">
        <v>1.2</v>
      </c>
      <c r="J50" s="66" t="s">
        <v>73</v>
      </c>
    </row>
    <row r="51" spans="1:21" s="46" customFormat="1" ht="15" customHeight="1" thickBot="1" x14ac:dyDescent="0.25">
      <c r="A51" s="47"/>
      <c r="B51" s="47"/>
      <c r="C51" s="47"/>
      <c r="D51" s="47"/>
      <c r="E51" s="47"/>
      <c r="F51" s="47"/>
      <c r="G51" s="47"/>
      <c r="H51" s="47"/>
      <c r="I51" s="47"/>
      <c r="J51" s="47"/>
      <c r="K51" s="48"/>
    </row>
    <row r="52" spans="1:21" s="48" customFormat="1" ht="31.5" customHeight="1" thickBot="1" x14ac:dyDescent="0.25">
      <c r="A52" s="1331" t="s">
        <v>40</v>
      </c>
      <c r="B52" s="1332"/>
      <c r="C52" s="1332"/>
      <c r="D52" s="1332"/>
      <c r="E52" s="1332"/>
      <c r="F52" s="1332"/>
      <c r="G52" s="1332"/>
      <c r="H52" s="1332"/>
      <c r="I52" s="1332"/>
      <c r="J52" s="1333"/>
    </row>
    <row r="53" spans="1:21" s="48" customFormat="1" ht="31.5" customHeight="1" x14ac:dyDescent="0.35">
      <c r="A53" s="47"/>
      <c r="B53" s="68" t="s">
        <v>41</v>
      </c>
      <c r="C53" s="69"/>
      <c r="D53" s="1345" t="s">
        <v>74</v>
      </c>
      <c r="E53" s="1345"/>
      <c r="F53" s="70" t="s">
        <v>42</v>
      </c>
      <c r="G53" s="71" t="s">
        <v>43</v>
      </c>
      <c r="H53" s="1346" t="s">
        <v>44</v>
      </c>
      <c r="I53" s="1347"/>
      <c r="J53" s="47"/>
    </row>
    <row r="54" spans="1:21" s="48" customFormat="1" ht="31.5" customHeight="1" thickBot="1" x14ac:dyDescent="0.25">
      <c r="A54" s="47"/>
      <c r="B54" s="72" t="e">
        <f>+C43</f>
        <v>#DIV/0!</v>
      </c>
      <c r="C54" s="934" t="s">
        <v>1</v>
      </c>
      <c r="D54" s="74" t="e">
        <f>+C10+C11/1000</f>
        <v>#N/A</v>
      </c>
      <c r="E54" s="934" t="s">
        <v>1</v>
      </c>
      <c r="F54" s="74" t="e">
        <f>+(I48-I50)*(1/H10-1/C13)</f>
        <v>#DIV/0!</v>
      </c>
      <c r="G54" s="75"/>
      <c r="H54" s="67" t="e">
        <f>+(B54+D54*F54)*1000</f>
        <v>#DIV/0!</v>
      </c>
      <c r="I54" s="66" t="s">
        <v>3</v>
      </c>
      <c r="J54" s="47"/>
      <c r="K54" s="46"/>
    </row>
    <row r="55" spans="1:21" s="46" customFormat="1" ht="15" customHeight="1" x14ac:dyDescent="0.2">
      <c r="A55" s="47"/>
      <c r="B55" s="47"/>
      <c r="C55" s="47"/>
      <c r="D55" s="47"/>
      <c r="E55" s="47"/>
      <c r="F55" s="47"/>
      <c r="G55" s="47"/>
      <c r="H55" s="47"/>
      <c r="I55" s="47"/>
      <c r="J55" s="47"/>
      <c r="K55" s="48"/>
    </row>
    <row r="56" spans="1:21" s="48" customFormat="1" ht="31.5" customHeight="1" x14ac:dyDescent="0.2">
      <c r="A56" s="1348" t="s">
        <v>45</v>
      </c>
      <c r="B56" s="1349"/>
      <c r="C56" s="1349"/>
      <c r="D56" s="1349"/>
      <c r="E56" s="1349"/>
      <c r="F56" s="1349"/>
      <c r="G56" s="1349"/>
      <c r="H56" s="1349"/>
      <c r="I56" s="1349"/>
      <c r="J56" s="1349"/>
      <c r="K56" s="46"/>
    </row>
    <row r="57" spans="1:21" s="46" customFormat="1" ht="15" customHeight="1" thickBot="1" x14ac:dyDescent="0.25">
      <c r="A57" s="47"/>
      <c r="B57" s="47"/>
      <c r="C57" s="47"/>
      <c r="D57" s="47"/>
      <c r="E57" s="47"/>
      <c r="K57" s="48"/>
    </row>
    <row r="58" spans="1:21" s="48" customFormat="1" ht="31.5" customHeight="1" thickBot="1" x14ac:dyDescent="0.25">
      <c r="A58" s="1350" t="s">
        <v>38</v>
      </c>
      <c r="B58" s="1351"/>
      <c r="C58" s="1352" t="s">
        <v>46</v>
      </c>
      <c r="D58" s="1353"/>
      <c r="E58" s="1354" t="s">
        <v>238</v>
      </c>
      <c r="F58" s="1355"/>
      <c r="G58" s="1142" t="s">
        <v>553</v>
      </c>
      <c r="I58" s="1119"/>
      <c r="J58" s="114"/>
      <c r="L58" s="46"/>
      <c r="Q58" s="47"/>
      <c r="R58" s="47"/>
      <c r="S58" s="47"/>
      <c r="T58" s="47"/>
      <c r="U58" s="47"/>
    </row>
    <row r="59" spans="1:21" s="48" customFormat="1" ht="57.95" customHeight="1" thickBot="1" x14ac:dyDescent="0.25">
      <c r="A59" s="1024" t="s">
        <v>47</v>
      </c>
      <c r="B59" s="1025"/>
      <c r="C59" s="1065" t="e">
        <f>C44/B26^0.5*1000</f>
        <v>#DIV/0!</v>
      </c>
      <c r="D59" s="1051" t="s">
        <v>3</v>
      </c>
      <c r="E59" s="1027" t="s">
        <v>240</v>
      </c>
      <c r="F59" s="1057">
        <f>$B$26-1</f>
        <v>3</v>
      </c>
      <c r="G59" s="1057" t="e">
        <f>(C59/$G$70)^2</f>
        <v>#DIV/0!</v>
      </c>
      <c r="H59" s="1120"/>
      <c r="J59" s="1130"/>
      <c r="K59" s="156">
        <v>0.3</v>
      </c>
      <c r="L59" s="157">
        <v>1.65</v>
      </c>
      <c r="M59" s="113"/>
      <c r="Q59" s="1122"/>
    </row>
    <row r="60" spans="1:21" s="48" customFormat="1" ht="57.95" customHeight="1" thickBot="1" x14ac:dyDescent="0.25">
      <c r="A60" s="1019" t="s">
        <v>343</v>
      </c>
      <c r="B60" s="1020" t="s">
        <v>48</v>
      </c>
      <c r="C60" s="1021" t="e">
        <f>+C12/2</f>
        <v>#N/A</v>
      </c>
      <c r="D60" s="1022" t="s">
        <v>3</v>
      </c>
      <c r="E60" s="1023" t="s">
        <v>239</v>
      </c>
      <c r="F60" s="1058" t="s">
        <v>265</v>
      </c>
      <c r="G60" s="1058"/>
      <c r="H60" s="1356" t="s">
        <v>241</v>
      </c>
      <c r="I60" s="1356"/>
      <c r="J60" s="1356"/>
      <c r="K60" s="1356"/>
      <c r="L60" s="1356"/>
      <c r="M60" s="1357"/>
      <c r="Q60" s="1124"/>
    </row>
    <row r="61" spans="1:21" s="48" customFormat="1" ht="57.95" customHeight="1" thickBot="1" x14ac:dyDescent="0.25">
      <c r="A61" s="1028" t="s">
        <v>344</v>
      </c>
      <c r="B61" s="1029"/>
      <c r="C61" s="1066" t="e">
        <f>+C12/3^0.5</f>
        <v>#N/A</v>
      </c>
      <c r="D61" s="1031" t="s">
        <v>3</v>
      </c>
      <c r="E61" s="1032" t="s">
        <v>239</v>
      </c>
      <c r="F61" s="1059" t="s">
        <v>265</v>
      </c>
      <c r="G61" s="1059"/>
      <c r="H61" s="133" t="s">
        <v>243</v>
      </c>
      <c r="I61" s="1016" t="e">
        <f>MAX(C59:C62,C66:C67,C68)</f>
        <v>#DIV/0!</v>
      </c>
      <c r="J61" s="151" t="e">
        <f>IF((I62)&lt;=(K59),"1,65","2")</f>
        <v>#DIV/0!</v>
      </c>
      <c r="K61" s="1069" t="s">
        <v>242</v>
      </c>
      <c r="L61" s="1070" t="s">
        <v>237</v>
      </c>
      <c r="M61" s="1071" t="s">
        <v>328</v>
      </c>
      <c r="Q61" s="1122"/>
    </row>
    <row r="62" spans="1:21" s="48" customFormat="1" ht="57.95" customHeight="1" thickBot="1" x14ac:dyDescent="0.3">
      <c r="A62" s="1024" t="s">
        <v>49</v>
      </c>
      <c r="B62" s="1035"/>
      <c r="C62" s="1026" t="e">
        <f>+SQRT(SUMSQ(C60:C61))</f>
        <v>#N/A</v>
      </c>
      <c r="D62" s="1017" t="s">
        <v>3</v>
      </c>
      <c r="E62" s="1037" t="s">
        <v>240</v>
      </c>
      <c r="F62" s="1057">
        <v>200</v>
      </c>
      <c r="G62" s="1057" t="e">
        <f t="shared" ref="G62:G68" si="0">(C62/$G$70)^2</f>
        <v>#N/A</v>
      </c>
      <c r="H62" s="133" t="s">
        <v>244</v>
      </c>
      <c r="I62" s="1129" t="e">
        <f>SQRT((C59)^2+(C66)^2+(C67)^2+(C68)^2)/I61</f>
        <v>#DIV/0!</v>
      </c>
      <c r="J62" s="1117"/>
      <c r="K62" s="1069" t="s">
        <v>242</v>
      </c>
      <c r="L62" s="1072" t="s">
        <v>252</v>
      </c>
      <c r="M62" s="1073" t="s">
        <v>329</v>
      </c>
      <c r="Q62" s="1122"/>
    </row>
    <row r="63" spans="1:21" s="48" customFormat="1" ht="57.95" customHeight="1" x14ac:dyDescent="0.2">
      <c r="A63" s="1019" t="s">
        <v>345</v>
      </c>
      <c r="B63" s="1020"/>
      <c r="C63" s="1033" t="e">
        <f>+I49</f>
        <v>#DIV/0!</v>
      </c>
      <c r="D63" s="1021" t="s">
        <v>73</v>
      </c>
      <c r="E63" s="1034" t="s">
        <v>239</v>
      </c>
      <c r="F63" s="1058" t="s">
        <v>265</v>
      </c>
      <c r="G63" s="1058"/>
      <c r="H63" s="130"/>
      <c r="L63" s="46"/>
      <c r="P63" s="1126"/>
      <c r="Q63" s="1122"/>
      <c r="T63" s="46"/>
      <c r="U63" s="46"/>
    </row>
    <row r="64" spans="1:21" s="48" customFormat="1" ht="57.95" customHeight="1" x14ac:dyDescent="0.2">
      <c r="A64" s="426" t="s">
        <v>50</v>
      </c>
      <c r="B64" s="1018"/>
      <c r="C64" s="425" t="e">
        <f>+H11/2</f>
        <v>#N/A</v>
      </c>
      <c r="D64" s="424" t="s">
        <v>73</v>
      </c>
      <c r="E64" s="423" t="s">
        <v>239</v>
      </c>
      <c r="F64" s="1060" t="s">
        <v>265</v>
      </c>
      <c r="G64" s="1060"/>
      <c r="J64" s="130"/>
      <c r="K64" s="130"/>
      <c r="L64" s="130"/>
      <c r="M64" s="130"/>
      <c r="P64" s="1127"/>
      <c r="Q64" s="1122"/>
      <c r="R64" s="47"/>
      <c r="T64" s="47"/>
      <c r="U64" s="47"/>
    </row>
    <row r="65" spans="1:21" s="48" customFormat="1" ht="57.95" customHeight="1" thickBot="1" x14ac:dyDescent="0.25">
      <c r="A65" s="1028" t="s">
        <v>346</v>
      </c>
      <c r="B65" s="1038"/>
      <c r="C65" s="1039" t="e">
        <f>+C14/2</f>
        <v>#N/A</v>
      </c>
      <c r="D65" s="1031" t="s">
        <v>73</v>
      </c>
      <c r="E65" s="1040" t="s">
        <v>239</v>
      </c>
      <c r="F65" s="1059" t="s">
        <v>265</v>
      </c>
      <c r="G65" s="1059"/>
      <c r="H65" s="130"/>
      <c r="I65" s="130"/>
      <c r="J65" s="130"/>
      <c r="K65" s="130"/>
      <c r="L65" s="130"/>
      <c r="M65" s="130"/>
      <c r="P65" s="1127"/>
      <c r="Q65" s="1122"/>
      <c r="R65" s="46"/>
      <c r="S65" s="46"/>
      <c r="T65" s="46"/>
      <c r="U65" s="46"/>
    </row>
    <row r="66" spans="1:21" s="48" customFormat="1" ht="57.95" customHeight="1" thickBot="1" x14ac:dyDescent="0.3">
      <c r="A66" s="1024" t="s">
        <v>347</v>
      </c>
      <c r="B66" s="1035"/>
      <c r="C66" s="1036" t="e">
        <f>+SQRT(ABS(((C10/1000+C11/1000000)*(C13-H10)/(C13*H10)*C63)^2+((C10/1000+C11/1000000)*(I48-I50))^2*C64^2/H10^4+(C10/1000+C11/1000000)^2*(I48-I50)*((I48-I50)-2*(C15-I50))*C65^2/C13^4))*1000000</f>
        <v>#N/A</v>
      </c>
      <c r="D66" s="1051" t="s">
        <v>3</v>
      </c>
      <c r="E66" s="1037" t="s">
        <v>240</v>
      </c>
      <c r="F66" s="1057">
        <v>200</v>
      </c>
      <c r="G66" s="1057" t="e">
        <f t="shared" si="0"/>
        <v>#N/A</v>
      </c>
      <c r="I66" s="1149" t="s">
        <v>554</v>
      </c>
      <c r="J66" s="1150" t="s">
        <v>556</v>
      </c>
      <c r="K66" s="1150" t="s">
        <v>555</v>
      </c>
      <c r="L66" s="130"/>
      <c r="M66" s="130"/>
      <c r="P66" s="1128"/>
      <c r="Q66" s="1122"/>
      <c r="S66" s="47"/>
      <c r="T66" s="47"/>
      <c r="U66" s="47"/>
    </row>
    <row r="67" spans="1:21" s="48" customFormat="1" ht="57.95" customHeight="1" thickBot="1" x14ac:dyDescent="0.3">
      <c r="A67" s="1047" t="s">
        <v>52</v>
      </c>
      <c r="B67" s="1048"/>
      <c r="C67" s="1067" t="e">
        <f>+(G15/2/3^0.5)*2^0.5*1000</f>
        <v>#N/A</v>
      </c>
      <c r="D67" s="1044" t="s">
        <v>3</v>
      </c>
      <c r="E67" s="1045" t="s">
        <v>239</v>
      </c>
      <c r="F67" s="1068">
        <v>200</v>
      </c>
      <c r="G67" s="1068" t="e">
        <f t="shared" si="0"/>
        <v>#N/A</v>
      </c>
      <c r="I67" s="1151" t="e">
        <f>G70^4/((C59^4/F59)+(C62^4/F62)+(C66^4/F66)+(C67^4/F67)+(C68^4/F68))</f>
        <v>#DIV/0!</v>
      </c>
      <c r="J67" s="1152" t="e">
        <f>TINV(0.05,I67)</f>
        <v>#DIV/0!</v>
      </c>
      <c r="K67" s="1152" t="e">
        <f>1-TDIST(J67,I67,2)</f>
        <v>#DIV/0!</v>
      </c>
      <c r="L67" s="130"/>
      <c r="M67" s="130"/>
      <c r="P67" s="1127"/>
      <c r="Q67" s="1123"/>
    </row>
    <row r="68" spans="1:21" s="46" customFormat="1" ht="65.25" customHeight="1" thickBot="1" x14ac:dyDescent="0.3">
      <c r="A68" s="1143" t="s">
        <v>552</v>
      </c>
      <c r="B68" s="1144"/>
      <c r="C68" s="1145">
        <f>0.01/SQRT(45)</f>
        <v>1.4907119849998597E-3</v>
      </c>
      <c r="D68" s="1146" t="s">
        <v>3</v>
      </c>
      <c r="E68" s="1147" t="s">
        <v>240</v>
      </c>
      <c r="F68" s="1148">
        <v>50</v>
      </c>
      <c r="G68" s="1148" t="e">
        <f t="shared" si="0"/>
        <v>#DIV/0!</v>
      </c>
      <c r="P68" s="48"/>
      <c r="Q68" s="1124"/>
      <c r="S68" s="48"/>
      <c r="T68" s="48"/>
      <c r="U68" s="48"/>
    </row>
    <row r="69" spans="1:21" s="106" customFormat="1" ht="51.75" customHeight="1" thickBot="1" x14ac:dyDescent="0.25">
      <c r="C69" s="1064"/>
      <c r="G69" s="1148" t="e">
        <f>SUM(G59,G62,G66,G67,G68)</f>
        <v>#DIV/0!</v>
      </c>
      <c r="J69" s="46"/>
      <c r="P69" s="48"/>
      <c r="Q69" s="1125"/>
      <c r="S69" s="48"/>
      <c r="T69" s="48"/>
      <c r="U69" s="48"/>
    </row>
    <row r="70" spans="1:21" s="106" customFormat="1" ht="35.1" customHeight="1" thickBot="1" x14ac:dyDescent="0.3">
      <c r="D70" s="1306" t="s">
        <v>51</v>
      </c>
      <c r="E70" s="1307"/>
      <c r="F70" s="134"/>
      <c r="G70" s="140" t="e">
        <f>SQRT(SUMSQ(C59,C62,C66,C67,C68))</f>
        <v>#DIV/0!</v>
      </c>
      <c r="H70" s="136" t="s">
        <v>3</v>
      </c>
      <c r="J70" s="46"/>
      <c r="O70" s="48"/>
      <c r="P70" s="48"/>
      <c r="Q70" s="48"/>
      <c r="R70" s="48"/>
      <c r="S70" s="48"/>
      <c r="T70" s="48"/>
      <c r="U70" s="48"/>
    </row>
    <row r="71" spans="1:21" s="106" customFormat="1" ht="33.75" customHeight="1" thickBot="1" x14ac:dyDescent="0.25">
      <c r="D71" s="1306" t="s">
        <v>53</v>
      </c>
      <c r="E71" s="1307"/>
      <c r="F71" s="135"/>
      <c r="G71" s="140" t="e">
        <f>G70*2</f>
        <v>#DIV/0!</v>
      </c>
      <c r="H71" s="137" t="s">
        <v>3</v>
      </c>
      <c r="T71" s="48"/>
      <c r="U71" s="48"/>
    </row>
    <row r="72" spans="1:21" s="106" customFormat="1" ht="35.1" customHeight="1" thickBot="1" x14ac:dyDescent="0.25">
      <c r="B72" s="1313" t="s">
        <v>54</v>
      </c>
      <c r="C72" s="1314"/>
      <c r="D72" s="1314"/>
      <c r="E72" s="1314"/>
      <c r="F72" s="1314"/>
      <c r="G72" s="1314"/>
      <c r="H72" s="1314"/>
      <c r="I72" s="1314"/>
      <c r="J72" s="1314"/>
      <c r="K72" s="1315"/>
      <c r="T72" s="48"/>
      <c r="U72" s="48"/>
    </row>
    <row r="73" spans="1:21" s="106" customFormat="1" ht="40.5" customHeight="1" thickBot="1" x14ac:dyDescent="0.25">
      <c r="B73" s="1368" t="s">
        <v>255</v>
      </c>
      <c r="C73" s="1369"/>
      <c r="D73" s="1369"/>
      <c r="E73" s="1370"/>
      <c r="F73" s="79"/>
      <c r="G73" s="80"/>
      <c r="H73" s="1371"/>
      <c r="I73" s="1372"/>
      <c r="J73" s="1372"/>
      <c r="K73" s="1373"/>
      <c r="T73" s="48"/>
      <c r="U73" s="48"/>
    </row>
    <row r="74" spans="1:21" s="106" customFormat="1" ht="35.1" customHeight="1" x14ac:dyDescent="0.2">
      <c r="B74" s="118"/>
      <c r="C74" s="362" t="s">
        <v>348</v>
      </c>
      <c r="D74" s="119" t="s">
        <v>253</v>
      </c>
      <c r="E74" s="120"/>
      <c r="F74" s="1358"/>
      <c r="G74" s="1358"/>
      <c r="H74" s="1359" t="s">
        <v>266</v>
      </c>
      <c r="I74" s="1362" t="s">
        <v>254</v>
      </c>
      <c r="J74" s="1362"/>
      <c r="K74" s="1363"/>
      <c r="O74" s="48"/>
      <c r="P74" s="48"/>
      <c r="Q74" s="48"/>
      <c r="R74" s="48"/>
      <c r="S74" s="48"/>
      <c r="T74" s="48"/>
      <c r="U74" s="48"/>
    </row>
    <row r="75" spans="1:21" s="106" customFormat="1" ht="35.1" customHeight="1" x14ac:dyDescent="0.2">
      <c r="B75" s="927" t="e">
        <f>C10</f>
        <v>#N/A</v>
      </c>
      <c r="C75" s="77" t="e">
        <f>C11</f>
        <v>#N/A</v>
      </c>
      <c r="D75" s="78" t="e">
        <f>H54</f>
        <v>#DIV/0!</v>
      </c>
      <c r="E75" s="940" t="e">
        <f>B75+(C75/1000)+(D75/1000)</f>
        <v>#N/A</v>
      </c>
      <c r="F75" s="264" t="e">
        <f>E75*1000-B75*1000</f>
        <v>#N/A</v>
      </c>
      <c r="G75" s="61"/>
      <c r="H75" s="1360"/>
      <c r="I75" s="285" t="e">
        <f>G71</f>
        <v>#DIV/0!</v>
      </c>
      <c r="J75" s="1364"/>
      <c r="K75" s="1365"/>
      <c r="O75" s="48"/>
      <c r="P75" s="48"/>
      <c r="Q75" s="48"/>
      <c r="R75" s="48"/>
      <c r="S75" s="48"/>
      <c r="T75" s="48"/>
      <c r="U75" s="48"/>
    </row>
    <row r="76" spans="1:21" s="106" customFormat="1" ht="35.1" customHeight="1" thickBot="1" x14ac:dyDescent="0.25">
      <c r="B76" s="928" t="e">
        <f>B75</f>
        <v>#N/A</v>
      </c>
      <c r="C76" s="88" t="e">
        <f>C75</f>
        <v>#N/A</v>
      </c>
      <c r="D76" s="88" t="e">
        <f>D75</f>
        <v>#DIV/0!</v>
      </c>
      <c r="E76" s="262" t="e">
        <f>B76+(C76/1000)+(D76/1000)</f>
        <v>#N/A</v>
      </c>
      <c r="F76" s="227" t="e">
        <f>F75/1000</f>
        <v>#N/A</v>
      </c>
      <c r="G76" s="89"/>
      <c r="H76" s="1361"/>
      <c r="I76" s="226" t="e">
        <f>I75/1000</f>
        <v>#DIV/0!</v>
      </c>
      <c r="J76" s="1366"/>
      <c r="K76" s="1367"/>
      <c r="O76" s="48"/>
      <c r="P76" s="48"/>
      <c r="Q76" s="48"/>
      <c r="R76" s="48"/>
      <c r="S76" s="48"/>
      <c r="T76" s="48"/>
      <c r="U76" s="48"/>
    </row>
    <row r="77" spans="1:21" s="106" customFormat="1" ht="35.1" customHeight="1" x14ac:dyDescent="0.2">
      <c r="G77" s="47"/>
      <c r="H77" s="47"/>
      <c r="I77" s="47"/>
      <c r="J77" s="47"/>
      <c r="O77" s="48"/>
      <c r="P77" s="48"/>
      <c r="Q77" s="48"/>
      <c r="R77" s="48"/>
      <c r="S77" s="48"/>
      <c r="T77" s="48"/>
      <c r="U77" s="48"/>
    </row>
    <row r="78" spans="1:21" s="106" customFormat="1" ht="35.1" customHeight="1" x14ac:dyDescent="0.2">
      <c r="G78" s="47"/>
      <c r="H78" s="47"/>
      <c r="I78" s="47"/>
      <c r="J78" s="47"/>
    </row>
    <row r="79" spans="1:21" s="107" customFormat="1" ht="9.9499999999999993" customHeight="1" x14ac:dyDescent="0.2">
      <c r="A79" s="109"/>
      <c r="B79" s="106"/>
      <c r="C79" s="106"/>
      <c r="D79" s="106"/>
      <c r="E79" s="106"/>
      <c r="F79" s="106"/>
      <c r="G79" s="47"/>
      <c r="H79" s="47"/>
    </row>
    <row r="80" spans="1:21" s="111" customFormat="1" ht="35.1" customHeight="1" x14ac:dyDescent="0.2"/>
    <row r="81" spans="6:10" s="106" customFormat="1" ht="61.5" customHeight="1" x14ac:dyDescent="0.2"/>
    <row r="82" spans="6:10" s="106" customFormat="1" ht="35.1" customHeight="1" x14ac:dyDescent="0.2"/>
    <row r="83" spans="6:10" s="106" customFormat="1" ht="35.1" customHeight="1" x14ac:dyDescent="0.2"/>
    <row r="84" spans="6:10" s="106" customFormat="1" ht="35.1" customHeight="1" x14ac:dyDescent="0.2"/>
    <row r="85" spans="6:10" s="106" customFormat="1" ht="50.1" customHeight="1" x14ac:dyDescent="0.2"/>
    <row r="86" spans="6:10" s="106" customFormat="1" ht="57.75" customHeight="1" x14ac:dyDescent="0.2"/>
    <row r="87" spans="6:10" s="106" customFormat="1" ht="35.1" customHeight="1" x14ac:dyDescent="0.2"/>
    <row r="88" spans="6:10" s="106" customFormat="1" ht="35.1" customHeight="1" x14ac:dyDescent="0.2">
      <c r="F88" s="108"/>
      <c r="G88" s="108"/>
      <c r="H88" s="108"/>
      <c r="I88" s="108"/>
      <c r="J88" s="108"/>
    </row>
    <row r="89" spans="6:10" s="106" customFormat="1" ht="35.1" customHeight="1" x14ac:dyDescent="0.2"/>
    <row r="90" spans="6:10" s="106" customFormat="1" ht="50.1" customHeight="1" x14ac:dyDescent="0.2">
      <c r="J90" s="47"/>
    </row>
    <row r="91" spans="6:10" s="106" customFormat="1" ht="55.5" customHeight="1" x14ac:dyDescent="0.2">
      <c r="J91" s="111"/>
    </row>
    <row r="92" spans="6:10" s="106" customFormat="1" ht="50.1" customHeight="1" x14ac:dyDescent="0.2">
      <c r="J92" s="111"/>
    </row>
    <row r="93" spans="6:10" s="107" customFormat="1" ht="31.5" customHeight="1" x14ac:dyDescent="0.2">
      <c r="J93" s="111"/>
    </row>
    <row r="94" spans="6:10" s="106" customFormat="1" ht="35.1" customHeight="1" x14ac:dyDescent="0.2">
      <c r="G94" s="111"/>
      <c r="H94" s="111"/>
      <c r="I94" s="111"/>
      <c r="J94" s="111"/>
    </row>
    <row r="95" spans="6:10" s="106" customFormat="1" ht="35.1" customHeight="1" x14ac:dyDescent="0.2">
      <c r="G95" s="111"/>
      <c r="H95" s="111"/>
      <c r="I95" s="111"/>
      <c r="J95" s="111"/>
    </row>
    <row r="96" spans="6:10" s="106" customFormat="1" ht="9.9499999999999993" customHeight="1" x14ac:dyDescent="0.2">
      <c r="G96" s="108"/>
      <c r="H96" s="108"/>
      <c r="I96" s="108"/>
      <c r="J96" s="108"/>
    </row>
    <row r="97" spans="1:12" s="106" customFormat="1" ht="35.1" customHeight="1" x14ac:dyDescent="0.2">
      <c r="J97" s="108"/>
      <c r="K97" s="108"/>
      <c r="L97" s="108"/>
    </row>
    <row r="98" spans="1:12" s="46" customFormat="1" ht="15" customHeight="1" x14ac:dyDescent="0.2">
      <c r="A98" s="47"/>
      <c r="G98" s="47"/>
      <c r="H98" s="47"/>
      <c r="I98" s="47"/>
      <c r="J98" s="47"/>
      <c r="K98" s="48"/>
    </row>
    <row r="99" spans="1:12" s="48" customFormat="1" ht="31.5" customHeight="1" x14ac:dyDescent="0.2">
      <c r="A99" s="47"/>
      <c r="B99" s="47"/>
      <c r="C99" s="47"/>
      <c r="D99" s="47"/>
      <c r="E99" s="47"/>
      <c r="F99" s="47"/>
      <c r="G99" s="47"/>
      <c r="H99" s="47"/>
      <c r="I99" s="47"/>
      <c r="J99" s="47"/>
    </row>
    <row r="100" spans="1:12" s="48" customFormat="1" ht="31.5" customHeight="1" x14ac:dyDescent="0.2"/>
    <row r="101" spans="1:12" s="48" customFormat="1" ht="31.5" customHeight="1" x14ac:dyDescent="0.2"/>
    <row r="102" spans="1:12" s="48" customFormat="1" ht="52.5" customHeight="1" x14ac:dyDescent="0.2"/>
    <row r="103" spans="1:12" s="48" customFormat="1" ht="31.5" customHeight="1" x14ac:dyDescent="0.2">
      <c r="K103" s="8"/>
    </row>
    <row r="104" spans="1:12" s="48" customFormat="1" ht="31.5" customHeight="1" x14ac:dyDescent="0.2">
      <c r="K104" s="8"/>
    </row>
    <row r="105" spans="1:12" ht="31.5" customHeight="1" x14ac:dyDescent="0.2">
      <c r="G105" s="76"/>
    </row>
    <row r="106" spans="1:12" ht="51" customHeight="1" x14ac:dyDescent="0.2"/>
    <row r="108" spans="1:12" ht="31.5" customHeight="1" x14ac:dyDescent="0.2">
      <c r="B108" s="29"/>
      <c r="C108" s="29"/>
      <c r="D108" s="29"/>
      <c r="E108" s="29"/>
      <c r="F108" s="29"/>
      <c r="G108" s="29"/>
      <c r="H108" s="29"/>
      <c r="I108" s="29"/>
      <c r="J108" s="29"/>
    </row>
    <row r="109" spans="1:12" ht="31.5" customHeight="1" x14ac:dyDescent="0.2">
      <c r="B109" s="29"/>
      <c r="C109" s="29"/>
      <c r="D109" s="29"/>
      <c r="E109" s="29"/>
      <c r="F109" s="29"/>
      <c r="G109" s="29"/>
      <c r="H109" s="29"/>
      <c r="I109" s="29"/>
      <c r="J109" s="29"/>
    </row>
    <row r="110" spans="1:12" ht="31.5" customHeight="1" x14ac:dyDescent="0.2">
      <c r="B110" s="29"/>
      <c r="C110" s="29"/>
      <c r="D110" s="29"/>
      <c r="E110" s="29"/>
      <c r="F110" s="29"/>
      <c r="G110" s="29"/>
      <c r="H110" s="29"/>
      <c r="I110" s="29"/>
      <c r="J110" s="29"/>
    </row>
    <row r="111" spans="1:12" ht="31.5" customHeight="1" x14ac:dyDescent="0.2">
      <c r="B111" s="29"/>
      <c r="C111" s="29"/>
      <c r="D111" s="29"/>
      <c r="E111" s="29"/>
      <c r="F111" s="29"/>
      <c r="G111" s="29"/>
      <c r="H111" s="29"/>
      <c r="I111" s="29"/>
      <c r="J111" s="29"/>
    </row>
    <row r="112" spans="1:12" ht="31.5" customHeight="1" x14ac:dyDescent="0.2">
      <c r="B112" s="29"/>
      <c r="C112" s="29"/>
      <c r="D112" s="29"/>
      <c r="E112" s="29"/>
      <c r="F112" s="29"/>
      <c r="G112" s="29"/>
      <c r="H112" s="29"/>
      <c r="I112" s="29"/>
      <c r="J112" s="29"/>
    </row>
    <row r="113" spans="2:10" ht="31.5" customHeight="1" x14ac:dyDescent="0.2">
      <c r="B113" s="29"/>
      <c r="C113" s="29"/>
      <c r="D113" s="29"/>
      <c r="E113" s="29"/>
      <c r="F113" s="29"/>
      <c r="G113" s="29"/>
      <c r="H113" s="29"/>
      <c r="I113" s="29"/>
      <c r="J113" s="29"/>
    </row>
    <row r="114" spans="2:10" ht="31.5" customHeight="1" x14ac:dyDescent="0.2">
      <c r="B114" s="29"/>
      <c r="C114" s="29"/>
      <c r="D114" s="29"/>
      <c r="E114" s="29"/>
      <c r="F114" s="29"/>
      <c r="G114" s="29"/>
      <c r="H114" s="29"/>
      <c r="I114" s="29"/>
      <c r="J114" s="29"/>
    </row>
  </sheetData>
  <sheetProtection password="CF5C" sheet="1" objects="1" scenarios="1"/>
  <mergeCells count="62">
    <mergeCell ref="D70:E70"/>
    <mergeCell ref="D71:E71"/>
    <mergeCell ref="B72:K72"/>
    <mergeCell ref="B73:E73"/>
    <mergeCell ref="H73:K73"/>
    <mergeCell ref="F74:G74"/>
    <mergeCell ref="H74:H76"/>
    <mergeCell ref="I74:K74"/>
    <mergeCell ref="J75:K75"/>
    <mergeCell ref="J76:K76"/>
    <mergeCell ref="A56:J56"/>
    <mergeCell ref="A58:B58"/>
    <mergeCell ref="C58:D58"/>
    <mergeCell ref="E58:F58"/>
    <mergeCell ref="H60:M60"/>
    <mergeCell ref="A50:B50"/>
    <mergeCell ref="G50:H50"/>
    <mergeCell ref="A52:J52"/>
    <mergeCell ref="D53:E53"/>
    <mergeCell ref="H53:I53"/>
    <mergeCell ref="A49:B49"/>
    <mergeCell ref="G49:H49"/>
    <mergeCell ref="A28:A31"/>
    <mergeCell ref="C33:D33"/>
    <mergeCell ref="F33:G33"/>
    <mergeCell ref="A36:J36"/>
    <mergeCell ref="B38:F38"/>
    <mergeCell ref="H38:J38"/>
    <mergeCell ref="H39:J42"/>
    <mergeCell ref="A46:J46"/>
    <mergeCell ref="A47:B48"/>
    <mergeCell ref="C47:E47"/>
    <mergeCell ref="G48:H48"/>
    <mergeCell ref="A27:B27"/>
    <mergeCell ref="G27:H27"/>
    <mergeCell ref="A14:B14"/>
    <mergeCell ref="A15:B15"/>
    <mergeCell ref="A16:B16"/>
    <mergeCell ref="C16:D16"/>
    <mergeCell ref="A18:J18"/>
    <mergeCell ref="F19:G19"/>
    <mergeCell ref="J19:J20"/>
    <mergeCell ref="A20:B20"/>
    <mergeCell ref="E20:F20"/>
    <mergeCell ref="A22:J22"/>
    <mergeCell ref="C24:D24"/>
    <mergeCell ref="F24:G24"/>
    <mergeCell ref="C26:F26"/>
    <mergeCell ref="G26:H26"/>
    <mergeCell ref="A13:B13"/>
    <mergeCell ref="F13:I13"/>
    <mergeCell ref="A1:B1"/>
    <mergeCell ref="C1:M1"/>
    <mergeCell ref="I3:J4"/>
    <mergeCell ref="A6:D6"/>
    <mergeCell ref="F6:I6"/>
    <mergeCell ref="F9:G9"/>
    <mergeCell ref="A10:B10"/>
    <mergeCell ref="F10:G10"/>
    <mergeCell ref="A11:B11"/>
    <mergeCell ref="F11:G11"/>
    <mergeCell ref="A12:B12"/>
  </mergeCells>
  <conditionalFormatting sqref="H63">
    <cfRule type="colorScale" priority="1">
      <colorScale>
        <cfvo type="percent" val="100"/>
        <cfvo type="max"/>
        <color rgb="FFFF7128"/>
        <color rgb="FFFFEF9C"/>
      </colorScale>
    </cfRule>
  </conditionalFormatting>
  <printOptions horizontalCentered="1"/>
  <pageMargins left="0.70866141732283472" right="0.70866141732283472" top="0.74803149606299213" bottom="0.74803149606299213" header="0.31496062992125984" footer="0.31496062992125984"/>
  <pageSetup scale="13" orientation="portrait" r:id="rId1"/>
  <headerFooter>
    <oddHeader xml:space="preserve">&amp;C
&amp;16   
</oddHeader>
    <oddFooter xml:space="preserve">&amp;RRT03-F13 Vr.14 (2021-05-21)
</oddFooter>
  </headerFooter>
  <rowBreaks count="1" manualBreakCount="1">
    <brk id="34" max="16383" man="1"/>
  </rowBreaks>
  <drawing r:id="rId2"/>
  <legacyDrawing r:id="rId3"/>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0000-000000000000}">
          <x14:formula1>
            <xm:f>'DATOS %'!$B$7:$B$40</xm:f>
          </x14:formula1>
          <xm:sqref>I3:J4</xm:sqref>
        </x14:dataValidation>
        <x14:dataValidation type="list" allowBlank="1" showInputMessage="1" showErrorMessage="1" xr:uid="{00000000-0002-0000-0000-000001000000}">
          <x14:formula1>
            <xm:f>'DATOS %'!$V$161:$V$165</xm:f>
          </x14:formula1>
          <xm:sqref>H25</xm:sqref>
        </x14:dataValidation>
        <x14:dataValidation type="list" allowBlank="1" showInputMessage="1" showErrorMessage="1" xr:uid="{00000000-0002-0000-0000-000002000000}">
          <x14:formula1>
            <xm:f>'DATOS %'!$V$120:$V$126</xm:f>
          </x14:formula1>
          <xm:sqref>J13</xm:sqref>
        </x14:dataValidation>
        <x14:dataValidation type="list" allowBlank="1" showInputMessage="1" showErrorMessage="1" xr:uid="{00000000-0002-0000-0000-000003000000}">
          <x14:formula1>
            <xm:f>'DATOS %'!$N$11:$N$113</xm:f>
          </x14:formula1>
          <xm:sqref>E6</xm:sqref>
        </x14:dataValidation>
        <x14:dataValidation type="list" allowBlank="1" showInputMessage="1" showErrorMessage="1" xr:uid="{00000000-0002-0000-0000-000004000000}">
          <x14:formula1>
            <xm:f>'DATOS %'!$N$121:$N$166</xm:f>
          </x14:formula1>
          <xm:sqref>F48</xm:sqref>
        </x14:dataValidation>
        <x14:dataValidation type="list" allowBlank="1" showInputMessage="1" showErrorMessage="1" xr:uid="{00000000-0002-0000-0000-000005000000}">
          <x14:formula1>
            <xm:f>'DATOS %'!$J$174:$J$179</xm:f>
          </x14:formula1>
          <xm:sqref>J19:J20</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FF00"/>
  </sheetPr>
  <dimension ref="A1:U115"/>
  <sheetViews>
    <sheetView showGridLines="0" view="pageBreakPreview" topLeftCell="A16" zoomScale="80" zoomScaleNormal="60" zoomScaleSheetLayoutView="80" workbookViewId="0">
      <selection activeCell="C65" sqref="C65"/>
    </sheetView>
  </sheetViews>
  <sheetFormatPr baseColWidth="10" defaultColWidth="11.42578125" defaultRowHeight="31.5" customHeight="1" x14ac:dyDescent="0.2"/>
  <cols>
    <col min="1" max="1" width="14.7109375" style="37" customWidth="1"/>
    <col min="2" max="2" width="12" style="37" customWidth="1"/>
    <col min="3" max="3" width="15.7109375" style="37" customWidth="1"/>
    <col min="4" max="4" width="17" style="37" customWidth="1"/>
    <col min="5" max="5" width="15.5703125" style="37" customWidth="1"/>
    <col min="6" max="6" width="18.5703125" style="37" customWidth="1"/>
    <col min="7" max="7" width="15.7109375" style="37" customWidth="1"/>
    <col min="8" max="8" width="24.42578125" style="37" bestFit="1" customWidth="1"/>
    <col min="9" max="9" width="13.85546875" style="37" bestFit="1" customWidth="1"/>
    <col min="10" max="10" width="13.7109375" style="37" customWidth="1"/>
    <col min="11" max="19" width="11.42578125" style="8"/>
    <col min="20" max="20" width="15.85546875" style="8" bestFit="1" customWidth="1"/>
    <col min="21" max="21" width="14.42578125" style="8" bestFit="1" customWidth="1"/>
    <col min="22" max="16384" width="11.42578125" style="8"/>
  </cols>
  <sheetData>
    <row r="1" spans="1:16" ht="60" customHeight="1" thickBot="1" x14ac:dyDescent="0.25">
      <c r="A1" s="1257"/>
      <c r="B1" s="1258"/>
      <c r="C1" s="1259" t="s">
        <v>57</v>
      </c>
      <c r="D1" s="1260"/>
      <c r="E1" s="1260"/>
      <c r="F1" s="1260"/>
      <c r="G1" s="1260"/>
      <c r="H1" s="1260"/>
      <c r="I1" s="1260"/>
      <c r="J1" s="1260"/>
      <c r="K1" s="1260"/>
      <c r="L1" s="1260"/>
      <c r="M1" s="1261"/>
      <c r="N1" s="7"/>
      <c r="O1" s="7"/>
      <c r="P1" s="7"/>
    </row>
    <row r="2" spans="1:16" s="11" customFormat="1" ht="9.75" customHeight="1" thickBot="1" x14ac:dyDescent="0.25">
      <c r="A2" s="9"/>
      <c r="B2" s="9"/>
      <c r="C2" s="10"/>
      <c r="D2" s="10"/>
      <c r="E2" s="10"/>
      <c r="F2" s="10"/>
      <c r="G2" s="10"/>
      <c r="H2" s="10"/>
      <c r="K2" s="12"/>
      <c r="M2" s="7"/>
    </row>
    <row r="3" spans="1:16" s="12" customFormat="1" ht="35.25" customHeight="1" thickBot="1" x14ac:dyDescent="0.25">
      <c r="A3" s="13" t="s">
        <v>17</v>
      </c>
      <c r="B3" s="14" t="s">
        <v>55</v>
      </c>
      <c r="C3" s="15" t="s">
        <v>209</v>
      </c>
      <c r="D3" s="15" t="s">
        <v>56</v>
      </c>
      <c r="E3" s="15" t="s">
        <v>8</v>
      </c>
      <c r="F3" s="16" t="s">
        <v>18</v>
      </c>
      <c r="G3" s="16" t="s">
        <v>297</v>
      </c>
      <c r="H3" s="17" t="s">
        <v>24</v>
      </c>
      <c r="I3" s="1262"/>
      <c r="J3" s="1263"/>
      <c r="K3" s="11"/>
      <c r="M3" s="7"/>
    </row>
    <row r="4" spans="1:16" s="11" customFormat="1" ht="32.25" customHeight="1" thickBot="1" x14ac:dyDescent="0.25">
      <c r="A4" s="18" t="e">
        <f>VLOOKUP($I$3,'DATOS %'!B7:J29,2,FALSE)</f>
        <v>#N/A</v>
      </c>
      <c r="B4" s="212" t="e">
        <f>VLOOKUP($I$3,'DATOS %'!$B$7:$J$29,3,FALSE)</f>
        <v>#N/A</v>
      </c>
      <c r="C4" s="19" t="e">
        <f>VLOOKUP($I$3,'DATOS %'!$B$7:$J$29,8,FALSE)</f>
        <v>#N/A</v>
      </c>
      <c r="D4" s="19" t="e">
        <f>VLOOKUP($I$3,'DATOS %'!$B$7:$J$29,6,FALSE)</f>
        <v>#N/A</v>
      </c>
      <c r="E4" s="212" t="e">
        <f>VLOOKUP($I$3,'DATOS %'!$B$7:$J$29,7,FALSE)</f>
        <v>#N/A</v>
      </c>
      <c r="F4" s="18" t="e">
        <f>VLOOKUP($I$3,'DATOS %'!$B$7:$J$29,4,FALSE)</f>
        <v>#N/A</v>
      </c>
      <c r="G4" s="18" t="e">
        <f>VLOOKUP($I$3,'DATOS %'!$B$7:$J$29,5,FALSE)</f>
        <v>#N/A</v>
      </c>
      <c r="H4" s="19" t="e">
        <f>VLOOKUP($I$3,'DATOS %'!$B$7:$J$29,9,FALSE)</f>
        <v>#N/A</v>
      </c>
      <c r="I4" s="1264"/>
      <c r="J4" s="1265"/>
      <c r="K4" s="8"/>
      <c r="L4" s="20"/>
      <c r="M4" s="20"/>
    </row>
    <row r="5" spans="1:16" s="22" customFormat="1" ht="6.75" customHeight="1" thickBot="1" x14ac:dyDescent="0.25">
      <c r="A5" s="21"/>
      <c r="B5" s="21"/>
      <c r="C5" s="21"/>
      <c r="F5" s="21"/>
      <c r="G5" s="21"/>
      <c r="H5" s="21"/>
      <c r="K5" s="8"/>
    </row>
    <row r="6" spans="1:16" ht="31.5" customHeight="1" thickBot="1" x14ac:dyDescent="0.25">
      <c r="A6" s="1266" t="s">
        <v>19</v>
      </c>
      <c r="B6" s="1267"/>
      <c r="C6" s="1267"/>
      <c r="D6" s="1268"/>
      <c r="E6" s="4"/>
      <c r="F6" s="1266" t="s">
        <v>20</v>
      </c>
      <c r="G6" s="1267"/>
      <c r="H6" s="1267"/>
      <c r="I6" s="1268"/>
      <c r="J6" s="402">
        <f>I3</f>
        <v>0</v>
      </c>
    </row>
    <row r="7" spans="1:16" ht="31.5" customHeight="1" x14ac:dyDescent="0.2">
      <c r="A7" s="23" t="s">
        <v>21</v>
      </c>
      <c r="B7" s="24" t="e">
        <f>VLOOKUP($E$6,'DATOS %'!N11:AA113,2,FALSE)</f>
        <v>#N/A</v>
      </c>
      <c r="C7" s="25" t="s">
        <v>10</v>
      </c>
      <c r="D7" s="26" t="e">
        <f>VLOOKUP($E$6,'DATOS %'!N11:AA113,3,FALSE)</f>
        <v>#N/A</v>
      </c>
      <c r="E7" s="27"/>
      <c r="F7" s="23" t="s">
        <v>21</v>
      </c>
      <c r="G7" s="24" t="e">
        <f>VLOOKUP($J$6,'DATOS %'!B47:I79,2,FALSE)</f>
        <v>#N/A</v>
      </c>
      <c r="H7" s="28" t="s">
        <v>10</v>
      </c>
      <c r="I7" s="26" t="e">
        <f>VLOOKUP($J$6,'DATOS %'!B47:I79,3,FALSE)</f>
        <v>#N/A</v>
      </c>
      <c r="J7" s="29"/>
    </row>
    <row r="8" spans="1:16" ht="31.5" customHeight="1" x14ac:dyDescent="0.2">
      <c r="A8" s="30" t="s">
        <v>22</v>
      </c>
      <c r="B8" s="31" t="e">
        <f>VLOOKUP($E$6,'DATOS %'!N11:AA113,4,FALSE)</f>
        <v>#N/A</v>
      </c>
      <c r="C8" s="32" t="s">
        <v>23</v>
      </c>
      <c r="D8" s="33" t="e">
        <f>VLOOKUP($E$6,'DATOS %'!N11:AA113,5,FALSE)</f>
        <v>#N/A</v>
      </c>
      <c r="E8" s="27"/>
      <c r="F8" s="30" t="s">
        <v>22</v>
      </c>
      <c r="G8" s="31" t="e">
        <f>VLOOKUP($J$6,'DATOS %'!B47:I79,4,FALSE)</f>
        <v>#N/A</v>
      </c>
      <c r="H8" s="32" t="s">
        <v>23</v>
      </c>
      <c r="I8" s="297" t="e">
        <f>VLOOKUP($J$6,'DATOS %'!B47:I79,5,FALSE)</f>
        <v>#N/A</v>
      </c>
      <c r="J8" s="29"/>
    </row>
    <row r="9" spans="1:16" ht="31.5" customHeight="1" x14ac:dyDescent="0.2">
      <c r="A9" s="34" t="s">
        <v>24</v>
      </c>
      <c r="B9" s="31" t="e">
        <f>VLOOKUP($E$6,'DATOS %'!N11:AA113,6,FALSE)</f>
        <v>#N/A</v>
      </c>
      <c r="C9" s="35" t="s">
        <v>15</v>
      </c>
      <c r="D9" s="36" t="e">
        <f>VLOOKUP($E$6,'DATOS %'!N11:AA113,7,FALSE)</f>
        <v>#N/A</v>
      </c>
      <c r="F9" s="1252" t="s">
        <v>62</v>
      </c>
      <c r="G9" s="1253"/>
      <c r="H9" s="926" t="e">
        <f>(VLOOKUP($J$6,'DATOS %'!B47:I79,6,FALSE))/1000</f>
        <v>#N/A</v>
      </c>
      <c r="I9" s="33" t="s">
        <v>1</v>
      </c>
      <c r="J9" s="29"/>
      <c r="K9" s="208"/>
    </row>
    <row r="10" spans="1:16" s="38" customFormat="1" ht="31.5" customHeight="1" x14ac:dyDescent="0.25">
      <c r="A10" s="1252" t="s">
        <v>63</v>
      </c>
      <c r="B10" s="1253"/>
      <c r="C10" s="926" t="e">
        <f>(VLOOKUP($E$6,'DATOS %'!N11:AA113,8,FALSE))/1000</f>
        <v>#N/A</v>
      </c>
      <c r="D10" s="33" t="s">
        <v>1</v>
      </c>
      <c r="F10" s="1252" t="s">
        <v>64</v>
      </c>
      <c r="G10" s="1253"/>
      <c r="H10" s="213" t="e">
        <f>VLOOKUP($J$6,'DATOS %'!B47:I79,7,FALSE)</f>
        <v>#N/A</v>
      </c>
      <c r="I10" s="33" t="s">
        <v>76</v>
      </c>
      <c r="J10" s="39"/>
    </row>
    <row r="11" spans="1:16" s="38" customFormat="1" ht="31.5" customHeight="1" thickBot="1" x14ac:dyDescent="0.3">
      <c r="A11" s="1252" t="s">
        <v>65</v>
      </c>
      <c r="B11" s="1253"/>
      <c r="C11" s="31" t="e">
        <f>VLOOKUP($E$6,'DATOS %'!N11:AA113,9,FALSE)</f>
        <v>#N/A</v>
      </c>
      <c r="D11" s="33" t="s">
        <v>3</v>
      </c>
      <c r="E11" s="40"/>
      <c r="F11" s="1271" t="s">
        <v>66</v>
      </c>
      <c r="G11" s="1272"/>
      <c r="H11" s="41" t="e">
        <f>VLOOKUP($J$6,'DATOS %'!B47:I79,8,FALSE)</f>
        <v>#N/A</v>
      </c>
      <c r="I11" s="45" t="s">
        <v>76</v>
      </c>
      <c r="J11" s="39"/>
    </row>
    <row r="12" spans="1:16" s="38" customFormat="1" ht="31.5" customHeight="1" thickBot="1" x14ac:dyDescent="0.3">
      <c r="A12" s="1252" t="s">
        <v>67</v>
      </c>
      <c r="B12" s="1253"/>
      <c r="C12" s="31" t="e">
        <f>VLOOKUP($E$6,'DATOS %'!N11:AA113,10,FALSE)</f>
        <v>#N/A</v>
      </c>
      <c r="D12" s="33" t="s">
        <v>3</v>
      </c>
      <c r="E12" s="39"/>
      <c r="F12" s="39"/>
      <c r="G12" s="39"/>
      <c r="H12" s="39"/>
    </row>
    <row r="13" spans="1:16" s="38" customFormat="1" ht="31.5" customHeight="1" thickBot="1" x14ac:dyDescent="0.3">
      <c r="A13" s="1252" t="s">
        <v>68</v>
      </c>
      <c r="B13" s="1253"/>
      <c r="C13" s="213" t="e">
        <f>VLOOKUP($E$6,'DATOS %'!N11:AA113,11,FALSE)</f>
        <v>#N/A</v>
      </c>
      <c r="D13" s="33" t="s">
        <v>76</v>
      </c>
      <c r="E13" s="39"/>
      <c r="F13" s="1254" t="s">
        <v>559</v>
      </c>
      <c r="G13" s="1255"/>
      <c r="H13" s="1255"/>
      <c r="I13" s="1256"/>
      <c r="J13" s="5"/>
    </row>
    <row r="14" spans="1:16" s="38" customFormat="1" ht="31.5" customHeight="1" x14ac:dyDescent="0.2">
      <c r="A14" s="1252" t="s">
        <v>305</v>
      </c>
      <c r="B14" s="1253"/>
      <c r="C14" s="31" t="e">
        <f>VLOOKUP($E$6,'DATOS %'!N11:AA113,12,FALSE)</f>
        <v>#N/A</v>
      </c>
      <c r="D14" s="33" t="s">
        <v>76</v>
      </c>
      <c r="E14" s="39"/>
      <c r="F14" s="23" t="s">
        <v>10</v>
      </c>
      <c r="G14" s="24" t="e">
        <f>VLOOKUP($J$13,'DATOS %'!$V$119:$Y$126,2,FALSE)</f>
        <v>#N/A</v>
      </c>
      <c r="H14" s="28" t="s">
        <v>22</v>
      </c>
      <c r="I14" s="24" t="e">
        <f>VLOOKUP($J$13,'DATOS %'!$V$119:$Z$126,3,FALSE)</f>
        <v>#N/A</v>
      </c>
      <c r="J14" s="42"/>
      <c r="K14" s="8"/>
    </row>
    <row r="15" spans="1:16" ht="31.5" customHeight="1" thickBot="1" x14ac:dyDescent="0.25">
      <c r="A15" s="1277" t="s">
        <v>69</v>
      </c>
      <c r="B15" s="1278"/>
      <c r="C15" s="31" t="e">
        <f>VLOOKUP($E$6,'DATOS %'!N11:AA113,13,FALSE)</f>
        <v>#N/A</v>
      </c>
      <c r="D15" s="33" t="s">
        <v>76</v>
      </c>
      <c r="E15" s="29"/>
      <c r="F15" s="43" t="s">
        <v>61</v>
      </c>
      <c r="G15" s="41" t="e">
        <f>VLOOKUP($J$13,'DATOS %'!$V$119:$Y$126,4,FALSE)</f>
        <v>#N/A</v>
      </c>
      <c r="H15" s="41" t="s">
        <v>1</v>
      </c>
      <c r="I15" s="243" t="s">
        <v>210</v>
      </c>
      <c r="J15" s="45" t="e">
        <f>VLOOKUP($J$13,'DATOS %'!$V$119:$Z$126,5,FALSE)</f>
        <v>#N/A</v>
      </c>
      <c r="K15" s="22"/>
    </row>
    <row r="16" spans="1:16" ht="30.95" customHeight="1" thickBot="1" x14ac:dyDescent="0.25">
      <c r="A16" s="1279" t="s">
        <v>210</v>
      </c>
      <c r="B16" s="1280"/>
      <c r="C16" s="1281" t="e">
        <f>VLOOKUP($E$6,'DATOS %'!N11:AA113,14,FALSE)</f>
        <v>#N/A</v>
      </c>
      <c r="D16" s="1282"/>
      <c r="E16" s="29"/>
      <c r="F16" s="8"/>
      <c r="G16" s="8"/>
      <c r="H16" s="8"/>
      <c r="I16" s="8"/>
      <c r="J16" s="8"/>
    </row>
    <row r="17" spans="1:11" s="22" customFormat="1" ht="30.95" customHeight="1" thickBot="1" x14ac:dyDescent="0.25">
      <c r="A17" s="29"/>
      <c r="B17" s="29"/>
      <c r="C17" s="29"/>
      <c r="D17" s="29"/>
      <c r="E17" s="29"/>
      <c r="F17" s="29"/>
      <c r="G17" s="29"/>
      <c r="H17" s="29"/>
      <c r="I17" s="29"/>
      <c r="J17" s="29"/>
      <c r="K17" s="8"/>
    </row>
    <row r="18" spans="1:11" ht="31.5" customHeight="1" thickBot="1" x14ac:dyDescent="0.25">
      <c r="A18" s="1331" t="s">
        <v>26</v>
      </c>
      <c r="B18" s="1332"/>
      <c r="C18" s="1332"/>
      <c r="D18" s="1332"/>
      <c r="E18" s="1332"/>
      <c r="F18" s="1332"/>
      <c r="G18" s="1332"/>
      <c r="H18" s="1332"/>
      <c r="I18" s="1332"/>
      <c r="J18" s="1333"/>
    </row>
    <row r="19" spans="1:11" ht="46.5" customHeight="1" thickBot="1" x14ac:dyDescent="0.25">
      <c r="A19" s="407" t="s">
        <v>10</v>
      </c>
      <c r="B19" s="101" t="e">
        <f>VLOOKUP(J19,'DATOS %'!J174:W180,2,FALSE)</f>
        <v>#N/A</v>
      </c>
      <c r="C19" s="95" t="s">
        <v>7</v>
      </c>
      <c r="D19" s="408" t="e">
        <f>VLOOKUP(J19,'DATOS %'!J174:W180,3,FALSE)</f>
        <v>#N/A</v>
      </c>
      <c r="E19" s="409" t="s">
        <v>24</v>
      </c>
      <c r="F19" s="1286" t="e">
        <f>VLOOKUP(J19,'DATOS %'!J174:W180,5,FALSE)</f>
        <v>#N/A</v>
      </c>
      <c r="G19" s="1287"/>
      <c r="H19" s="95" t="s">
        <v>25</v>
      </c>
      <c r="I19" s="212" t="e">
        <f>VLOOKUP(J19,'DATOS %'!J174:W180,4,FALSE)</f>
        <v>#N/A</v>
      </c>
      <c r="J19" s="1374"/>
    </row>
    <row r="20" spans="1:11" ht="31.5" customHeight="1" thickBot="1" x14ac:dyDescent="0.25">
      <c r="A20" s="1290" t="s">
        <v>316</v>
      </c>
      <c r="B20" s="1291"/>
      <c r="C20" s="94" t="s">
        <v>27</v>
      </c>
      <c r="D20" s="101" t="e">
        <f>VLOOKUP(J19,'DATOS %'!J174:W180,6,FALSE)</f>
        <v>#N/A</v>
      </c>
      <c r="E20" s="1292" t="s">
        <v>307</v>
      </c>
      <c r="F20" s="1293"/>
      <c r="G20" s="101" t="e">
        <f>VLOOKUP(J19,'DATOS %'!J174:W180,7,FALSE)</f>
        <v>#N/A</v>
      </c>
      <c r="H20" s="95" t="s">
        <v>9</v>
      </c>
      <c r="I20" s="214" t="e">
        <f>VLOOKUP(J19,'DATOS %'!J174:W180,8,FALSE)</f>
        <v>#N/A</v>
      </c>
      <c r="J20" s="1289"/>
    </row>
    <row r="21" spans="1:11" s="46" customFormat="1" ht="15" customHeight="1" thickBot="1" x14ac:dyDescent="0.25">
      <c r="A21" s="47"/>
      <c r="B21" s="47"/>
      <c r="C21" s="47"/>
      <c r="D21" s="47"/>
      <c r="E21" s="47"/>
      <c r="F21" s="47"/>
      <c r="G21" s="47"/>
      <c r="H21" s="47"/>
      <c r="I21" s="47"/>
      <c r="J21" s="47"/>
      <c r="K21" s="8"/>
    </row>
    <row r="22" spans="1:11" s="48" customFormat="1" ht="31.5" customHeight="1" thickBot="1" x14ac:dyDescent="0.25">
      <c r="A22" s="1294" t="s">
        <v>28</v>
      </c>
      <c r="B22" s="1295"/>
      <c r="C22" s="1295"/>
      <c r="D22" s="1295"/>
      <c r="E22" s="1295"/>
      <c r="F22" s="1295"/>
      <c r="G22" s="1295"/>
      <c r="H22" s="1295"/>
      <c r="I22" s="1295"/>
      <c r="J22" s="1296"/>
      <c r="K22" s="47"/>
    </row>
    <row r="23" spans="1:11" s="47" customFormat="1" ht="2.25" customHeight="1" thickBot="1" x14ac:dyDescent="0.25">
      <c r="A23" s="49"/>
      <c r="B23" s="50"/>
      <c r="C23" s="50"/>
      <c r="D23" s="50"/>
      <c r="E23" s="50"/>
      <c r="F23" s="50"/>
      <c r="G23" s="50"/>
      <c r="H23" s="50"/>
      <c r="I23" s="50"/>
      <c r="J23" s="51"/>
      <c r="K23" s="48"/>
    </row>
    <row r="24" spans="1:11" s="48" customFormat="1" ht="31.5" customHeight="1" thickBot="1" x14ac:dyDescent="0.25">
      <c r="A24" s="52" t="s">
        <v>29</v>
      </c>
      <c r="B24" s="916"/>
      <c r="C24" s="1297" t="s">
        <v>27</v>
      </c>
      <c r="D24" s="1298"/>
      <c r="E24" s="1"/>
      <c r="F24" s="1299" t="s">
        <v>307</v>
      </c>
      <c r="G24" s="1300"/>
      <c r="H24" s="2"/>
      <c r="I24" s="224" t="s">
        <v>9</v>
      </c>
      <c r="J24" s="215"/>
      <c r="K24" s="46"/>
    </row>
    <row r="25" spans="1:11" s="46" customFormat="1" ht="15" customHeight="1" thickBot="1" x14ac:dyDescent="0.25">
      <c r="A25" s="47"/>
      <c r="B25" s="47"/>
      <c r="C25" s="47"/>
      <c r="D25" s="47"/>
      <c r="E25" s="47"/>
      <c r="F25" s="47"/>
      <c r="G25" s="47"/>
      <c r="H25" s="6"/>
      <c r="I25" s="47"/>
      <c r="K25" s="48"/>
    </row>
    <row r="26" spans="1:11" s="48" customFormat="1" ht="29.25" customHeight="1" thickBot="1" x14ac:dyDescent="0.25">
      <c r="A26" s="115" t="s">
        <v>129</v>
      </c>
      <c r="B26" s="105">
        <v>4</v>
      </c>
      <c r="C26" s="1301" t="s">
        <v>30</v>
      </c>
      <c r="D26" s="1302"/>
      <c r="E26" s="1302"/>
      <c r="F26" s="1303"/>
      <c r="G26" s="1304" t="s">
        <v>211</v>
      </c>
      <c r="H26" s="1305"/>
    </row>
    <row r="27" spans="1:11" s="48" customFormat="1" ht="31.5" customHeight="1" thickBot="1" x14ac:dyDescent="0.25">
      <c r="A27" s="1273" t="s">
        <v>31</v>
      </c>
      <c r="B27" s="1274"/>
      <c r="C27" s="525">
        <v>1</v>
      </c>
      <c r="D27" s="525">
        <v>2</v>
      </c>
      <c r="E27" s="525">
        <v>3</v>
      </c>
      <c r="F27" s="129">
        <v>4</v>
      </c>
      <c r="G27" s="1275" t="e">
        <f>VLOOKUP($H$25,'DATOS %'!$V$161:$AA$165,2,FALSE)</f>
        <v>#N/A</v>
      </c>
      <c r="H27" s="1276"/>
    </row>
    <row r="28" spans="1:11" s="48" customFormat="1" ht="31.5" customHeight="1" x14ac:dyDescent="0.2">
      <c r="A28" s="1310" t="s">
        <v>32</v>
      </c>
      <c r="B28" s="141" t="s">
        <v>0</v>
      </c>
      <c r="C28" s="142"/>
      <c r="D28" s="142"/>
      <c r="E28" s="142"/>
      <c r="F28" s="143"/>
      <c r="G28" s="47"/>
      <c r="H28" s="47"/>
      <c r="I28" s="47"/>
      <c r="J28" s="47"/>
    </row>
    <row r="29" spans="1:11" s="48" customFormat="1" ht="31.5" customHeight="1" x14ac:dyDescent="0.2">
      <c r="A29" s="1311"/>
      <c r="B29" s="104" t="s">
        <v>2</v>
      </c>
      <c r="C29" s="291"/>
      <c r="D29" s="291"/>
      <c r="E29" s="291"/>
      <c r="F29" s="292"/>
      <c r="G29" s="47"/>
      <c r="H29" s="47"/>
      <c r="I29" s="47"/>
      <c r="J29" s="47"/>
    </row>
    <row r="30" spans="1:11" s="48" customFormat="1" ht="31.5" customHeight="1" x14ac:dyDescent="0.2">
      <c r="A30" s="1311"/>
      <c r="B30" s="104" t="s">
        <v>2</v>
      </c>
      <c r="C30" s="291"/>
      <c r="D30" s="291"/>
      <c r="E30" s="291"/>
      <c r="F30" s="292"/>
      <c r="G30" s="47"/>
      <c r="H30" s="47"/>
      <c r="I30" s="47"/>
      <c r="J30" s="47"/>
    </row>
    <row r="31" spans="1:11" s="48" customFormat="1" ht="31.5" customHeight="1" thickBot="1" x14ac:dyDescent="0.25">
      <c r="A31" s="1312"/>
      <c r="B31" s="53" t="s">
        <v>0</v>
      </c>
      <c r="C31" s="293"/>
      <c r="D31" s="293"/>
      <c r="E31" s="293"/>
      <c r="F31" s="294"/>
      <c r="G31" s="47"/>
      <c r="H31" s="47"/>
      <c r="I31" s="47"/>
      <c r="J31" s="47"/>
      <c r="K31" s="46"/>
    </row>
    <row r="32" spans="1:11" s="46" customFormat="1" ht="15" customHeight="1" thickBot="1" x14ac:dyDescent="0.25">
      <c r="A32" s="47"/>
      <c r="B32" s="47"/>
      <c r="C32" s="47"/>
      <c r="D32" s="47"/>
      <c r="E32" s="47"/>
      <c r="F32" s="47"/>
      <c r="G32" s="47"/>
      <c r="H32" s="47"/>
      <c r="I32" s="47"/>
      <c r="J32" s="47"/>
      <c r="K32" s="48"/>
    </row>
    <row r="33" spans="1:11" s="48" customFormat="1" ht="31.5" customHeight="1" thickBot="1" x14ac:dyDescent="0.25">
      <c r="A33" s="54" t="s">
        <v>33</v>
      </c>
      <c r="B33" s="916"/>
      <c r="C33" s="1297" t="s">
        <v>27</v>
      </c>
      <c r="D33" s="1298"/>
      <c r="E33" s="1"/>
      <c r="F33" s="1299" t="s">
        <v>307</v>
      </c>
      <c r="G33" s="1300"/>
      <c r="H33" s="2"/>
      <c r="I33" s="225" t="s">
        <v>9</v>
      </c>
      <c r="J33" s="3"/>
      <c r="K33" s="46"/>
    </row>
    <row r="34" spans="1:11" s="46" customFormat="1" ht="12" customHeight="1" x14ac:dyDescent="0.2">
      <c r="A34" s="55"/>
      <c r="B34" s="55"/>
      <c r="C34" s="55"/>
      <c r="D34" s="55"/>
      <c r="E34" s="55"/>
      <c r="F34" s="55"/>
      <c r="G34" s="55"/>
      <c r="H34" s="55"/>
      <c r="I34" s="55"/>
      <c r="J34" s="55"/>
      <c r="K34" s="48"/>
    </row>
    <row r="35" spans="1:11" s="48" customFormat="1" ht="15" customHeight="1" thickBot="1" x14ac:dyDescent="0.25">
      <c r="A35" s="56"/>
      <c r="B35" s="56"/>
      <c r="C35" s="56"/>
      <c r="D35" s="56"/>
      <c r="E35" s="56"/>
      <c r="F35" s="56"/>
      <c r="G35" s="56"/>
      <c r="H35" s="56"/>
      <c r="I35" s="56"/>
      <c r="J35" s="56"/>
    </row>
    <row r="36" spans="1:11" s="48" customFormat="1" ht="32.25" customHeight="1" thickBot="1" x14ac:dyDescent="0.25">
      <c r="A36" s="1294" t="s">
        <v>34</v>
      </c>
      <c r="B36" s="1295"/>
      <c r="C36" s="1295"/>
      <c r="D36" s="1295"/>
      <c r="E36" s="1295"/>
      <c r="F36" s="1295"/>
      <c r="G36" s="1295"/>
      <c r="H36" s="1295"/>
      <c r="I36" s="1295"/>
      <c r="J36" s="1296"/>
    </row>
    <row r="37" spans="1:11" s="48" customFormat="1" ht="3.75" customHeight="1" thickBot="1" x14ac:dyDescent="0.25">
      <c r="A37" s="55"/>
      <c r="B37" s="47"/>
      <c r="C37" s="47"/>
      <c r="D37" s="47"/>
      <c r="E37" s="47"/>
      <c r="F37" s="47"/>
      <c r="G37" s="47"/>
      <c r="H37" s="47"/>
      <c r="I37" s="47"/>
      <c r="J37" s="55"/>
    </row>
    <row r="38" spans="1:11" s="48" customFormat="1" ht="31.5" customHeight="1" thickBot="1" x14ac:dyDescent="0.25">
      <c r="A38" s="47"/>
      <c r="B38" s="1316" t="s">
        <v>35</v>
      </c>
      <c r="C38" s="1317"/>
      <c r="D38" s="1317"/>
      <c r="E38" s="1317"/>
      <c r="F38" s="1318"/>
      <c r="G38" s="47"/>
      <c r="H38" s="1319" t="s">
        <v>236</v>
      </c>
      <c r="I38" s="1320"/>
      <c r="J38" s="1321"/>
    </row>
    <row r="39" spans="1:11" s="48" customFormat="1" ht="31.5" customHeight="1" thickBot="1" x14ac:dyDescent="0.25">
      <c r="A39" s="47"/>
      <c r="B39" s="57" t="s">
        <v>31</v>
      </c>
      <c r="C39" s="203">
        <v>1</v>
      </c>
      <c r="D39" s="141">
        <v>2</v>
      </c>
      <c r="E39" s="141">
        <v>3</v>
      </c>
      <c r="F39" s="204">
        <v>4</v>
      </c>
      <c r="G39" s="47"/>
      <c r="H39" s="1322"/>
      <c r="I39" s="1323"/>
      <c r="J39" s="1324"/>
    </row>
    <row r="40" spans="1:11" s="48" customFormat="1" ht="31.5" customHeight="1" x14ac:dyDescent="0.2">
      <c r="A40" s="58"/>
      <c r="B40" s="59"/>
      <c r="C40" s="121" t="e">
        <f>+AVERAGE(C28,C31)</f>
        <v>#DIV/0!</v>
      </c>
      <c r="D40" s="122" t="e">
        <f>+AVERAGE(D28,D31)</f>
        <v>#DIV/0!</v>
      </c>
      <c r="E40" s="122" t="e">
        <f>+AVERAGE(E28,E31)</f>
        <v>#DIV/0!</v>
      </c>
      <c r="F40" s="205" t="e">
        <f>+AVERAGE(F28,F31)</f>
        <v>#DIV/0!</v>
      </c>
      <c r="G40" s="47"/>
      <c r="H40" s="1325"/>
      <c r="I40" s="1326"/>
      <c r="J40" s="1327"/>
    </row>
    <row r="41" spans="1:11" s="48" customFormat="1" ht="31.5" customHeight="1" x14ac:dyDescent="0.2">
      <c r="A41" s="58"/>
      <c r="B41" s="60"/>
      <c r="C41" s="123" t="e">
        <f>+AVERAGE(C29:C30)</f>
        <v>#DIV/0!</v>
      </c>
      <c r="D41" s="61" t="e">
        <f>+AVERAGE(D29:D30)</f>
        <v>#DIV/0!</v>
      </c>
      <c r="E41" s="61" t="e">
        <f>+AVERAGE(E29:E30)</f>
        <v>#DIV/0!</v>
      </c>
      <c r="F41" s="206" t="e">
        <f>+AVERAGE(F29:F30)</f>
        <v>#DIV/0!</v>
      </c>
      <c r="G41" s="47"/>
      <c r="H41" s="1325"/>
      <c r="I41" s="1326"/>
      <c r="J41" s="1327"/>
    </row>
    <row r="42" spans="1:11" s="48" customFormat="1" ht="31.5" customHeight="1" thickBot="1" x14ac:dyDescent="0.25">
      <c r="A42" s="58"/>
      <c r="B42" s="62"/>
      <c r="C42" s="124" t="e">
        <f>+C41-C40</f>
        <v>#DIV/0!</v>
      </c>
      <c r="D42" s="125" t="e">
        <f>+D41-D40</f>
        <v>#DIV/0!</v>
      </c>
      <c r="E42" s="125" t="e">
        <f>+E41-E40</f>
        <v>#DIV/0!</v>
      </c>
      <c r="F42" s="207" t="e">
        <f>+F41-F40</f>
        <v>#DIV/0!</v>
      </c>
      <c r="G42" s="47"/>
      <c r="H42" s="1328"/>
      <c r="I42" s="1329"/>
      <c r="J42" s="1330"/>
    </row>
    <row r="43" spans="1:11" s="48" customFormat="1" ht="31.5" customHeight="1" thickBot="1" x14ac:dyDescent="0.25">
      <c r="A43" s="47"/>
      <c r="B43" s="63" t="s">
        <v>36</v>
      </c>
      <c r="C43" s="286" t="e">
        <f>+AVERAGE(C42:F42)</f>
        <v>#DIV/0!</v>
      </c>
      <c r="D43" s="47"/>
      <c r="E43" s="47"/>
      <c r="F43" s="47"/>
      <c r="G43" s="47"/>
      <c r="H43" s="47"/>
      <c r="I43" s="47"/>
      <c r="J43" s="47"/>
    </row>
    <row r="44" spans="1:11" s="48" customFormat="1" ht="31.5" customHeight="1" thickBot="1" x14ac:dyDescent="0.25">
      <c r="A44" s="47"/>
      <c r="B44" s="64" t="s">
        <v>77</v>
      </c>
      <c r="C44" s="415" t="e">
        <f>+STDEV(C42:F42)</f>
        <v>#DIV/0!</v>
      </c>
      <c r="D44" s="47"/>
      <c r="E44" s="47"/>
      <c r="F44" s="47"/>
      <c r="G44" s="47"/>
      <c r="H44" s="47"/>
      <c r="I44" s="47"/>
      <c r="J44" s="47"/>
      <c r="K44" s="46"/>
    </row>
    <row r="45" spans="1:11" s="46" customFormat="1" ht="15" customHeight="1" thickBot="1" x14ac:dyDescent="0.25">
      <c r="A45" s="47"/>
      <c r="B45" s="47"/>
      <c r="C45" s="47"/>
      <c r="D45" s="47"/>
      <c r="E45" s="47"/>
      <c r="F45" s="47"/>
      <c r="G45" s="65"/>
      <c r="H45" s="47"/>
      <c r="I45" s="47"/>
      <c r="J45" s="47"/>
      <c r="K45" s="48"/>
    </row>
    <row r="46" spans="1:11" s="48" customFormat="1" ht="31.5" customHeight="1" thickBot="1" x14ac:dyDescent="0.25">
      <c r="A46" s="1331" t="s">
        <v>37</v>
      </c>
      <c r="B46" s="1332"/>
      <c r="C46" s="1284"/>
      <c r="D46" s="1284"/>
      <c r="E46" s="1284"/>
      <c r="F46" s="1332"/>
      <c r="G46" s="1332"/>
      <c r="H46" s="1332"/>
      <c r="I46" s="1332"/>
      <c r="J46" s="1333"/>
    </row>
    <row r="47" spans="1:11" s="48" customFormat="1" ht="31.5" customHeight="1" thickBot="1" x14ac:dyDescent="0.25">
      <c r="A47" s="1375" t="s">
        <v>321</v>
      </c>
      <c r="B47" s="1376"/>
      <c r="C47" s="1338" t="s">
        <v>38</v>
      </c>
      <c r="D47" s="1339"/>
      <c r="E47" s="1340"/>
      <c r="F47" s="47"/>
      <c r="G47" s="47"/>
      <c r="H47" s="47"/>
      <c r="I47" s="47"/>
      <c r="J47" s="47"/>
    </row>
    <row r="48" spans="1:11" s="48" customFormat="1" ht="36.75" customHeight="1" thickBot="1" x14ac:dyDescent="0.25">
      <c r="A48" s="1377"/>
      <c r="B48" s="1378"/>
      <c r="C48" s="82" t="s">
        <v>27</v>
      </c>
      <c r="D48" s="93" t="s">
        <v>307</v>
      </c>
      <c r="E48" s="83" t="s">
        <v>9</v>
      </c>
      <c r="G48" s="1341" t="s">
        <v>70</v>
      </c>
      <c r="H48" s="1342"/>
      <c r="I48" s="102" t="e">
        <f>+(0.34848*E50-0.009*D50*EXP(0.061*C50))/(273.15+C50)</f>
        <v>#DIV/0!</v>
      </c>
      <c r="J48" s="103" t="s">
        <v>73</v>
      </c>
    </row>
    <row r="49" spans="1:21" s="48" customFormat="1" ht="33" customHeight="1" thickBot="1" x14ac:dyDescent="0.25">
      <c r="A49" s="1306" t="s">
        <v>39</v>
      </c>
      <c r="B49" s="1307"/>
      <c r="C49" s="90" t="e">
        <f>+AVERAGE(E33,E24)</f>
        <v>#DIV/0!</v>
      </c>
      <c r="D49" s="91" t="e">
        <f>+AVERAGE(H33,H24)</f>
        <v>#DIV/0!</v>
      </c>
      <c r="E49" s="92" t="e">
        <f>+AVERAGE(J33,J24)</f>
        <v>#DIV/0!</v>
      </c>
      <c r="G49" s="1308" t="s">
        <v>71</v>
      </c>
      <c r="H49" s="1309"/>
      <c r="I49" s="422" t="e">
        <f>I48*((0.0001)^2+(0.001*I20/2)^2+(-0.0034*D20/2)^2+(-0.01*G20/2)^2)^0.5</f>
        <v>#DIV/0!</v>
      </c>
      <c r="J49" s="66" t="s">
        <v>73</v>
      </c>
    </row>
    <row r="50" spans="1:21" s="48" customFormat="1" ht="36.75" customHeight="1" thickBot="1" x14ac:dyDescent="0.25">
      <c r="A50" s="1343" t="s">
        <v>322</v>
      </c>
      <c r="B50" s="1344"/>
      <c r="C50" s="84" t="e">
        <f>C49+(VLOOKUP(J19,'DATOS %'!J174:W180,9,FALSE))*C49+(VLOOKUP(J19,'DATOS %'!J174:W180,10,FALSE))</f>
        <v>#DIV/0!</v>
      </c>
      <c r="D50" s="85" t="e">
        <f>D49+(VLOOKUP(J19,'DATOS %'!J174:W180,11,FALSE))*D49+(VLOOKUP(J19,'DATOS %'!J174:W180,12,FALSE))</f>
        <v>#DIV/0!</v>
      </c>
      <c r="E50" s="86" t="e">
        <f>E49+(VLOOKUP(J19,'DATOS %'!J174:W180,13,FALSE))*E49+(VLOOKUP(J19,'DATOS %'!J174:W180,14,FALSE))</f>
        <v>#DIV/0!</v>
      </c>
      <c r="G50" s="1341" t="s">
        <v>72</v>
      </c>
      <c r="H50" s="1342"/>
      <c r="I50" s="67">
        <v>1.2</v>
      </c>
      <c r="J50" s="66" t="s">
        <v>73</v>
      </c>
    </row>
    <row r="51" spans="1:21" s="46" customFormat="1" ht="15" customHeight="1" thickBot="1" x14ac:dyDescent="0.25">
      <c r="A51" s="47"/>
      <c r="B51" s="47"/>
      <c r="C51" s="47"/>
      <c r="D51" s="47"/>
      <c r="E51" s="47"/>
      <c r="F51" s="47"/>
      <c r="G51" s="47"/>
      <c r="H51" s="47"/>
      <c r="I51" s="47"/>
      <c r="J51" s="47"/>
      <c r="K51" s="48"/>
    </row>
    <row r="52" spans="1:21" s="48" customFormat="1" ht="31.5" customHeight="1" thickBot="1" x14ac:dyDescent="0.25">
      <c r="A52" s="1331" t="s">
        <v>40</v>
      </c>
      <c r="B52" s="1332"/>
      <c r="C52" s="1332"/>
      <c r="D52" s="1332"/>
      <c r="E52" s="1332"/>
      <c r="F52" s="1332"/>
      <c r="G52" s="1332"/>
      <c r="H52" s="1332"/>
      <c r="I52" s="1332"/>
      <c r="J52" s="1333"/>
    </row>
    <row r="53" spans="1:21" s="48" customFormat="1" ht="31.5" customHeight="1" x14ac:dyDescent="0.35">
      <c r="A53" s="47"/>
      <c r="B53" s="68" t="s">
        <v>41</v>
      </c>
      <c r="C53" s="69"/>
      <c r="D53" s="1345" t="s">
        <v>74</v>
      </c>
      <c r="E53" s="1345"/>
      <c r="F53" s="70" t="s">
        <v>42</v>
      </c>
      <c r="G53" s="71" t="s">
        <v>43</v>
      </c>
      <c r="H53" s="1346" t="s">
        <v>44</v>
      </c>
      <c r="I53" s="1347"/>
      <c r="J53" s="47"/>
    </row>
    <row r="54" spans="1:21" s="48" customFormat="1" ht="31.5" customHeight="1" thickBot="1" x14ac:dyDescent="0.25">
      <c r="A54" s="47"/>
      <c r="B54" s="72" t="e">
        <f>+C43</f>
        <v>#DIV/0!</v>
      </c>
      <c r="C54" s="73" t="s">
        <v>3</v>
      </c>
      <c r="D54" s="74" t="e">
        <f>+C10+C11/1000</f>
        <v>#N/A</v>
      </c>
      <c r="E54" s="73" t="s">
        <v>3</v>
      </c>
      <c r="F54" s="939" t="e">
        <f>+(I48-I50)*(1/H10-1/C13)</f>
        <v>#DIV/0!</v>
      </c>
      <c r="G54" s="75"/>
      <c r="H54" s="938" t="e">
        <f>+(B54+D54*F54)*1000</f>
        <v>#DIV/0!</v>
      </c>
      <c r="I54" s="66" t="s">
        <v>3</v>
      </c>
      <c r="J54" s="47"/>
      <c r="K54" s="46"/>
    </row>
    <row r="55" spans="1:21" s="46" customFormat="1" ht="15" customHeight="1" x14ac:dyDescent="0.2">
      <c r="A55" s="47"/>
      <c r="B55" s="47"/>
      <c r="C55" s="47"/>
      <c r="D55" s="47"/>
      <c r="E55" s="47"/>
      <c r="F55" s="47"/>
      <c r="G55" s="47"/>
      <c r="H55" s="47"/>
      <c r="I55" s="47"/>
      <c r="J55" s="47"/>
      <c r="K55" s="48"/>
    </row>
    <row r="56" spans="1:21" s="48" customFormat="1" ht="31.5" customHeight="1" x14ac:dyDescent="0.2">
      <c r="A56" s="1348" t="s">
        <v>45</v>
      </c>
      <c r="B56" s="1349"/>
      <c r="C56" s="1349"/>
      <c r="D56" s="1349"/>
      <c r="E56" s="1349"/>
      <c r="F56" s="1349"/>
      <c r="G56" s="1349"/>
      <c r="H56" s="1349"/>
      <c r="I56" s="1349"/>
      <c r="J56" s="1349"/>
      <c r="K56" s="46"/>
    </row>
    <row r="57" spans="1:21" s="46" customFormat="1" ht="15" customHeight="1" thickBot="1" x14ac:dyDescent="0.25">
      <c r="A57" s="47"/>
      <c r="B57" s="47"/>
      <c r="C57" s="47"/>
      <c r="D57" s="47"/>
      <c r="E57" s="47"/>
      <c r="K57" s="48"/>
    </row>
    <row r="58" spans="1:21" s="48" customFormat="1" ht="31.5" customHeight="1" thickBot="1" x14ac:dyDescent="0.25">
      <c r="A58" s="1350" t="s">
        <v>38</v>
      </c>
      <c r="B58" s="1351"/>
      <c r="C58" s="1352" t="s">
        <v>46</v>
      </c>
      <c r="D58" s="1353"/>
      <c r="E58" s="1354" t="s">
        <v>238</v>
      </c>
      <c r="F58" s="1379"/>
      <c r="G58" s="1061" t="s">
        <v>553</v>
      </c>
      <c r="J58" s="114"/>
      <c r="L58" s="46"/>
      <c r="Q58" s="47"/>
      <c r="R58" s="47"/>
      <c r="S58" s="47"/>
      <c r="T58" s="47"/>
      <c r="U58" s="47"/>
    </row>
    <row r="59" spans="1:21" s="48" customFormat="1" ht="57.95" customHeight="1" thickBot="1" x14ac:dyDescent="0.25">
      <c r="A59" s="1024" t="s">
        <v>47</v>
      </c>
      <c r="B59" s="1025"/>
      <c r="C59" s="1026" t="e">
        <f>+C44/B26^0.5*1000</f>
        <v>#DIV/0!</v>
      </c>
      <c r="D59" s="1017" t="s">
        <v>3</v>
      </c>
      <c r="E59" s="1027" t="s">
        <v>240</v>
      </c>
      <c r="F59" s="139">
        <f>$B$26-1</f>
        <v>3</v>
      </c>
      <c r="G59" s="1111" t="e">
        <f>(C59/$G$70)^2</f>
        <v>#DIV/0!</v>
      </c>
      <c r="H59" s="47"/>
      <c r="K59" s="156">
        <v>0.3</v>
      </c>
      <c r="L59" s="157">
        <v>1.65</v>
      </c>
      <c r="M59" s="113"/>
    </row>
    <row r="60" spans="1:21" s="48" customFormat="1" ht="57.95" customHeight="1" thickBot="1" x14ac:dyDescent="0.25">
      <c r="A60" s="1019" t="s">
        <v>343</v>
      </c>
      <c r="B60" s="1020" t="s">
        <v>48</v>
      </c>
      <c r="C60" s="1021" t="e">
        <f>+C12/2</f>
        <v>#N/A</v>
      </c>
      <c r="D60" s="1022" t="s">
        <v>3</v>
      </c>
      <c r="E60" s="1023" t="s">
        <v>239</v>
      </c>
      <c r="F60" s="146" t="s">
        <v>265</v>
      </c>
      <c r="G60" s="1112"/>
      <c r="H60" s="1380" t="s">
        <v>241</v>
      </c>
      <c r="I60" s="1356"/>
      <c r="J60" s="1356"/>
      <c r="K60" s="1356"/>
      <c r="L60" s="1356"/>
      <c r="M60" s="1357"/>
    </row>
    <row r="61" spans="1:21" s="48" customFormat="1" ht="57.95" customHeight="1" thickBot="1" x14ac:dyDescent="0.25">
      <c r="A61" s="1028" t="s">
        <v>344</v>
      </c>
      <c r="B61" s="1029"/>
      <c r="C61" s="1030" t="e">
        <f>+C12/3^0.5</f>
        <v>#N/A</v>
      </c>
      <c r="D61" s="1031" t="s">
        <v>3</v>
      </c>
      <c r="E61" s="1032" t="s">
        <v>239</v>
      </c>
      <c r="F61" s="147" t="s">
        <v>265</v>
      </c>
      <c r="G61" s="1112"/>
      <c r="H61" s="132" t="s">
        <v>243</v>
      </c>
      <c r="I61" s="1015" t="e">
        <f>MAX(C59:C62,C66:C67,C68)</f>
        <v>#DIV/0!</v>
      </c>
      <c r="J61" s="151" t="e">
        <f>IF((I62)&lt;=(K59),"1,65","2")</f>
        <v>#DIV/0!</v>
      </c>
      <c r="K61" s="152" t="s">
        <v>242</v>
      </c>
      <c r="L61" s="153" t="s">
        <v>237</v>
      </c>
      <c r="M61" s="360" t="s">
        <v>328</v>
      </c>
    </row>
    <row r="62" spans="1:21" s="48" customFormat="1" ht="57.95" customHeight="1" thickBot="1" x14ac:dyDescent="0.3">
      <c r="A62" s="1024" t="s">
        <v>49</v>
      </c>
      <c r="B62" s="1035"/>
      <c r="C62" s="1036" t="e">
        <f>+SQRT(SUMSQ(C60:C61))</f>
        <v>#N/A</v>
      </c>
      <c r="D62" s="1017" t="s">
        <v>3</v>
      </c>
      <c r="E62" s="1037" t="s">
        <v>240</v>
      </c>
      <c r="F62" s="139">
        <v>200</v>
      </c>
      <c r="G62" s="1112" t="e">
        <f t="shared" ref="G62:G68" si="0">(C62/$G$70)^2</f>
        <v>#N/A</v>
      </c>
      <c r="H62" s="133" t="s">
        <v>244</v>
      </c>
      <c r="I62" s="150" t="e">
        <f>SQRT((C59)^2+(C66)^2+(C67)^2+(C68)^2)/I61</f>
        <v>#DIV/0!</v>
      </c>
      <c r="J62" s="126"/>
      <c r="K62" s="154" t="s">
        <v>242</v>
      </c>
      <c r="L62" s="155" t="s">
        <v>252</v>
      </c>
      <c r="M62" s="361" t="s">
        <v>329</v>
      </c>
    </row>
    <row r="63" spans="1:21" s="48" customFormat="1" ht="57.95" customHeight="1" x14ac:dyDescent="0.2">
      <c r="A63" s="1019" t="s">
        <v>345</v>
      </c>
      <c r="B63" s="1020"/>
      <c r="C63" s="1033" t="e">
        <f>+I49</f>
        <v>#DIV/0!</v>
      </c>
      <c r="D63" s="1021" t="s">
        <v>73</v>
      </c>
      <c r="E63" s="1034" t="s">
        <v>239</v>
      </c>
      <c r="F63" s="146" t="s">
        <v>265</v>
      </c>
      <c r="G63" s="1112"/>
      <c r="L63" s="46"/>
      <c r="T63" s="46"/>
      <c r="U63" s="46"/>
    </row>
    <row r="64" spans="1:21" s="48" customFormat="1" ht="57.95" customHeight="1" x14ac:dyDescent="0.2">
      <c r="A64" s="426" t="s">
        <v>50</v>
      </c>
      <c r="B64" s="1018"/>
      <c r="C64" s="425" t="e">
        <f>+H11/2</f>
        <v>#N/A</v>
      </c>
      <c r="D64" s="424" t="s">
        <v>73</v>
      </c>
      <c r="E64" s="423" t="s">
        <v>239</v>
      </c>
      <c r="F64" s="148" t="s">
        <v>265</v>
      </c>
      <c r="G64" s="1112"/>
      <c r="H64" s="130"/>
      <c r="J64" s="130"/>
      <c r="K64" s="130"/>
      <c r="L64" s="130"/>
      <c r="M64" s="130"/>
      <c r="Q64" s="47"/>
      <c r="R64" s="47"/>
      <c r="S64" s="47"/>
      <c r="T64" s="47"/>
      <c r="U64" s="47"/>
    </row>
    <row r="65" spans="1:21" s="48" customFormat="1" ht="57.95" customHeight="1" thickBot="1" x14ac:dyDescent="0.25">
      <c r="A65" s="1028" t="s">
        <v>346</v>
      </c>
      <c r="B65" s="1038"/>
      <c r="C65" s="1039" t="e">
        <f>+C14/2</f>
        <v>#N/A</v>
      </c>
      <c r="D65" s="1031" t="s">
        <v>73</v>
      </c>
      <c r="E65" s="1040" t="s">
        <v>239</v>
      </c>
      <c r="F65" s="147" t="s">
        <v>265</v>
      </c>
      <c r="G65" s="1112"/>
      <c r="H65" s="130"/>
      <c r="I65" s="130"/>
      <c r="J65" s="130"/>
      <c r="K65" s="130"/>
      <c r="L65" s="130"/>
      <c r="M65" s="130"/>
      <c r="Q65" s="46"/>
      <c r="R65" s="46"/>
      <c r="S65" s="46"/>
      <c r="T65" s="46"/>
      <c r="U65" s="46"/>
    </row>
    <row r="66" spans="1:21" s="48" customFormat="1" ht="57.95" customHeight="1" thickBot="1" x14ac:dyDescent="0.3">
      <c r="A66" s="1024" t="s">
        <v>347</v>
      </c>
      <c r="B66" s="1035"/>
      <c r="C66" s="1036" t="e">
        <f>+SQRT(ABS(((C10/1000+C11/1000000)*(C13-H10)/(C13*H10)*C63)^2+((C10/1000+C11/1000000)*(I48-I50))^2*C64^2/H10^4+(C10/1000+C11/1000000)^2*(I48-I50)*((I48-I50)-2*(C15-I50))*C65^2/C13^4))*1000000</f>
        <v>#N/A</v>
      </c>
      <c r="D66" s="1051" t="s">
        <v>3</v>
      </c>
      <c r="E66" s="1037" t="s">
        <v>240</v>
      </c>
      <c r="F66" s="139">
        <v>200</v>
      </c>
      <c r="G66" s="1112" t="e">
        <f t="shared" si="0"/>
        <v>#N/A</v>
      </c>
      <c r="H66" s="130"/>
      <c r="I66" s="1093" t="s">
        <v>554</v>
      </c>
      <c r="J66" s="1095" t="s">
        <v>556</v>
      </c>
      <c r="K66" s="1094" t="s">
        <v>555</v>
      </c>
      <c r="L66" s="130"/>
      <c r="M66" s="130"/>
      <c r="Q66" s="47"/>
      <c r="R66" s="47"/>
      <c r="S66" s="47"/>
      <c r="T66" s="47"/>
      <c r="U66" s="47"/>
    </row>
    <row r="67" spans="1:21" s="48" customFormat="1" ht="57.95" customHeight="1" thickBot="1" x14ac:dyDescent="0.3">
      <c r="A67" s="1047" t="s">
        <v>52</v>
      </c>
      <c r="B67" s="1048"/>
      <c r="C67" s="1049" t="e">
        <f>+(G15/2/3^0.5)*2^0.5*1000</f>
        <v>#N/A</v>
      </c>
      <c r="D67" s="1044" t="s">
        <v>3</v>
      </c>
      <c r="E67" s="1045" t="s">
        <v>239</v>
      </c>
      <c r="F67" s="1050">
        <v>200</v>
      </c>
      <c r="G67" s="1112" t="e">
        <f t="shared" si="0"/>
        <v>#N/A</v>
      </c>
      <c r="H67" s="130"/>
      <c r="I67" s="1096" t="e">
        <f>G70^4/((C59^4/F59)+(C62^4/F62)+(C66^4/F66)+(C67^4/F67)+(C68^4/F68))</f>
        <v>#DIV/0!</v>
      </c>
      <c r="J67" s="1097" t="e">
        <f>TINV(0.05,I67)</f>
        <v>#DIV/0!</v>
      </c>
      <c r="K67" s="1098" t="e">
        <f>1-TDIST(J67,I67,2)</f>
        <v>#DIV/0!</v>
      </c>
      <c r="L67" s="130"/>
      <c r="M67" s="130"/>
    </row>
    <row r="68" spans="1:21" s="46" customFormat="1" ht="65.25" customHeight="1" thickBot="1" x14ac:dyDescent="0.3">
      <c r="A68" s="1041" t="s">
        <v>552</v>
      </c>
      <c r="B68" s="1042"/>
      <c r="C68" s="1043">
        <f>0.01/SQRT(45)</f>
        <v>1.4907119849998597E-3</v>
      </c>
      <c r="D68" s="1044" t="s">
        <v>3</v>
      </c>
      <c r="E68" s="1045" t="s">
        <v>240</v>
      </c>
      <c r="F68" s="1046">
        <v>50</v>
      </c>
      <c r="G68" s="1113" t="e">
        <f t="shared" si="0"/>
        <v>#DIV/0!</v>
      </c>
      <c r="H68" s="130"/>
      <c r="I68" s="130"/>
      <c r="J68" s="130"/>
      <c r="K68" s="130"/>
      <c r="L68" s="130"/>
      <c r="M68" s="130"/>
      <c r="S68" s="48"/>
      <c r="T68" s="48"/>
      <c r="U68" s="48"/>
    </row>
    <row r="69" spans="1:21" s="46" customFormat="1" ht="65.25" customHeight="1" thickBot="1" x14ac:dyDescent="0.25">
      <c r="A69" s="130"/>
      <c r="B69" s="130"/>
      <c r="C69" s="130"/>
      <c r="D69" s="130"/>
      <c r="E69" s="130"/>
      <c r="F69" s="130"/>
      <c r="G69" s="1114" t="e">
        <f>SUM(G59,G62,G66,G67,G68)</f>
        <v>#DIV/0!</v>
      </c>
      <c r="H69" s="130"/>
      <c r="I69" s="130"/>
      <c r="J69" s="130"/>
      <c r="K69" s="130"/>
      <c r="L69" s="130"/>
      <c r="M69" s="130"/>
      <c r="S69" s="48"/>
      <c r="T69" s="48"/>
      <c r="U69" s="48"/>
    </row>
    <row r="70" spans="1:21" s="106" customFormat="1" ht="51.75" customHeight="1" thickBot="1" x14ac:dyDescent="0.3">
      <c r="D70" s="1306" t="s">
        <v>51</v>
      </c>
      <c r="E70" s="1307"/>
      <c r="F70" s="134"/>
      <c r="G70" s="140" t="e">
        <f>+SQRT(SUMSQ(C59,C62,C66,C67,C68))</f>
        <v>#DIV/0!</v>
      </c>
      <c r="H70" s="136" t="s">
        <v>3</v>
      </c>
      <c r="K70" s="130"/>
      <c r="L70" s="130"/>
      <c r="M70" s="130"/>
      <c r="S70" s="48"/>
      <c r="T70" s="48"/>
      <c r="U70" s="48"/>
    </row>
    <row r="71" spans="1:21" s="106" customFormat="1" ht="35.1" customHeight="1" thickBot="1" x14ac:dyDescent="0.25">
      <c r="D71" s="1306" t="s">
        <v>53</v>
      </c>
      <c r="E71" s="1307"/>
      <c r="F71" s="135"/>
      <c r="G71" s="140" t="e">
        <f>+G70*2</f>
        <v>#DIV/0!</v>
      </c>
      <c r="H71" s="137" t="s">
        <v>3</v>
      </c>
      <c r="K71" s="110"/>
      <c r="L71" s="107"/>
      <c r="O71" s="48"/>
      <c r="P71" s="48"/>
      <c r="Q71" s="48"/>
      <c r="R71" s="48"/>
      <c r="S71" s="48"/>
      <c r="T71" s="48"/>
      <c r="U71" s="48"/>
    </row>
    <row r="72" spans="1:21" s="106" customFormat="1" ht="33.75" customHeight="1" thickBot="1" x14ac:dyDescent="4.45">
      <c r="B72" s="1313" t="s">
        <v>54</v>
      </c>
      <c r="C72" s="1314"/>
      <c r="D72" s="1314"/>
      <c r="E72" s="1314"/>
      <c r="F72" s="1314"/>
      <c r="G72" s="1314"/>
      <c r="H72" s="1314"/>
      <c r="I72" s="1314"/>
      <c r="J72" s="1314"/>
      <c r="K72" s="1315"/>
      <c r="L72" s="117"/>
      <c r="O72" s="48"/>
      <c r="P72" s="48"/>
      <c r="Q72" s="48"/>
      <c r="R72" s="48"/>
      <c r="S72" s="48"/>
      <c r="T72" s="48"/>
      <c r="U72" s="48"/>
    </row>
    <row r="73" spans="1:21" s="106" customFormat="1" ht="35.1" customHeight="1" thickBot="1" x14ac:dyDescent="0.25">
      <c r="B73" s="1368" t="s">
        <v>255</v>
      </c>
      <c r="C73" s="1369"/>
      <c r="D73" s="1369"/>
      <c r="E73" s="1370"/>
      <c r="F73" s="79"/>
      <c r="G73" s="80"/>
      <c r="H73" s="1371"/>
      <c r="I73" s="1372"/>
      <c r="J73" s="1372"/>
      <c r="K73" s="1373"/>
      <c r="O73" s="48"/>
      <c r="P73" s="48"/>
      <c r="Q73" s="48"/>
      <c r="R73" s="48"/>
      <c r="S73" s="48"/>
      <c r="T73" s="48"/>
      <c r="U73" s="48"/>
    </row>
    <row r="74" spans="1:21" s="106" customFormat="1" ht="40.5" customHeight="1" x14ac:dyDescent="0.2">
      <c r="B74" s="118"/>
      <c r="C74" s="362" t="s">
        <v>348</v>
      </c>
      <c r="D74" s="119" t="s">
        <v>253</v>
      </c>
      <c r="E74" s="120"/>
      <c r="F74" s="1358"/>
      <c r="G74" s="1358"/>
      <c r="H74" s="1359" t="s">
        <v>266</v>
      </c>
      <c r="I74" s="1381" t="s">
        <v>254</v>
      </c>
      <c r="J74" s="1381"/>
      <c r="K74" s="1382"/>
      <c r="O74" s="48"/>
      <c r="P74" s="48"/>
      <c r="Q74" s="48"/>
      <c r="R74" s="48"/>
      <c r="S74" s="48"/>
      <c r="T74" s="48"/>
      <c r="U74" s="48"/>
    </row>
    <row r="75" spans="1:21" s="106" customFormat="1" ht="35.1" customHeight="1" x14ac:dyDescent="0.2">
      <c r="B75" s="927" t="e">
        <f>C10</f>
        <v>#N/A</v>
      </c>
      <c r="C75" s="77" t="e">
        <f>C11</f>
        <v>#N/A</v>
      </c>
      <c r="D75" s="78" t="e">
        <f>H54</f>
        <v>#DIV/0!</v>
      </c>
      <c r="E75" s="940" t="e">
        <f>B75+(C75/1000)+(D75/1000)</f>
        <v>#N/A</v>
      </c>
      <c r="F75" s="264" t="e">
        <f>E75*1000-B75*1000</f>
        <v>#N/A</v>
      </c>
      <c r="G75" s="61"/>
      <c r="H75" s="1360"/>
      <c r="I75" s="285" t="e">
        <f>G71</f>
        <v>#DIV/0!</v>
      </c>
      <c r="J75" s="1364"/>
      <c r="K75" s="1365"/>
      <c r="O75" s="48"/>
      <c r="P75" s="48"/>
      <c r="Q75" s="48"/>
      <c r="R75" s="48"/>
      <c r="S75" s="48"/>
      <c r="T75" s="48"/>
      <c r="U75" s="48"/>
    </row>
    <row r="76" spans="1:21" s="106" customFormat="1" ht="35.1" customHeight="1" thickBot="1" x14ac:dyDescent="0.25">
      <c r="B76" s="928" t="e">
        <f>B75</f>
        <v>#N/A</v>
      </c>
      <c r="C76" s="88" t="e">
        <f>C75</f>
        <v>#N/A</v>
      </c>
      <c r="D76" s="88" t="e">
        <f>D75</f>
        <v>#DIV/0!</v>
      </c>
      <c r="E76" s="262" t="e">
        <f>B76+(C76/1000)+(D76/1000)</f>
        <v>#N/A</v>
      </c>
      <c r="F76" s="281" t="e">
        <f>F75/1000</f>
        <v>#N/A</v>
      </c>
      <c r="G76" s="89"/>
      <c r="H76" s="1361"/>
      <c r="I76" s="284" t="e">
        <f>I75/1000</f>
        <v>#DIV/0!</v>
      </c>
      <c r="J76" s="1366"/>
      <c r="K76" s="1367"/>
      <c r="O76" s="48"/>
      <c r="P76" s="48"/>
      <c r="Q76" s="48"/>
      <c r="R76" s="48"/>
      <c r="S76" s="48"/>
      <c r="T76" s="48"/>
      <c r="U76" s="48"/>
    </row>
    <row r="77" spans="1:21" s="106" customFormat="1" ht="35.1" customHeight="1" x14ac:dyDescent="0.2">
      <c r="G77" s="47"/>
      <c r="H77" s="47"/>
      <c r="I77" s="47"/>
      <c r="J77" s="47"/>
      <c r="O77" s="48"/>
      <c r="P77" s="48"/>
      <c r="Q77" s="48"/>
      <c r="R77" s="48"/>
      <c r="S77" s="48"/>
      <c r="T77" s="48"/>
      <c r="U77" s="48"/>
    </row>
    <row r="78" spans="1:21" s="106" customFormat="1" ht="35.1" customHeight="1" x14ac:dyDescent="0.2">
      <c r="G78" s="47"/>
      <c r="H78" s="47"/>
      <c r="I78" s="47"/>
      <c r="J78" s="47"/>
      <c r="O78" s="48"/>
      <c r="P78" s="48"/>
      <c r="Q78" s="48"/>
      <c r="R78" s="48"/>
      <c r="S78" s="48"/>
      <c r="T78" s="48"/>
      <c r="U78" s="48"/>
    </row>
    <row r="79" spans="1:21" s="106" customFormat="1" ht="35.1" customHeight="1" x14ac:dyDescent="0.2">
      <c r="G79" s="47"/>
      <c r="H79" s="47"/>
      <c r="I79" s="47"/>
      <c r="J79" s="47"/>
    </row>
    <row r="80" spans="1:21" s="107" customFormat="1" ht="9.9499999999999993" customHeight="1" x14ac:dyDescent="0.2">
      <c r="A80" s="109"/>
      <c r="B80" s="106"/>
      <c r="C80" s="106"/>
      <c r="D80" s="106"/>
      <c r="E80" s="106"/>
      <c r="F80" s="106"/>
      <c r="G80" s="47"/>
      <c r="H80" s="47"/>
    </row>
    <row r="81" spans="2:11" s="111" customFormat="1" ht="35.1" customHeight="1" x14ac:dyDescent="0.2">
      <c r="B81" s="106"/>
      <c r="C81" s="106"/>
      <c r="D81" s="106"/>
      <c r="E81" s="106"/>
      <c r="F81" s="106"/>
      <c r="G81" s="47"/>
      <c r="H81" s="47"/>
    </row>
    <row r="82" spans="2:11" s="106" customFormat="1" ht="61.5" customHeight="1" x14ac:dyDescent="0.2">
      <c r="H82" s="111"/>
      <c r="I82" s="111"/>
      <c r="J82" s="111"/>
      <c r="K82" s="108"/>
    </row>
    <row r="83" spans="2:11" s="106" customFormat="1" ht="35.1" customHeight="1" x14ac:dyDescent="0.2">
      <c r="G83" s="111"/>
      <c r="H83" s="111"/>
      <c r="I83" s="111"/>
      <c r="J83" s="111"/>
      <c r="K83" s="108"/>
    </row>
    <row r="84" spans="2:11" s="106" customFormat="1" ht="35.1" customHeight="1" x14ac:dyDescent="0.2">
      <c r="G84" s="111"/>
      <c r="H84" s="111"/>
      <c r="I84" s="111"/>
      <c r="J84" s="111"/>
      <c r="K84" s="108"/>
    </row>
    <row r="85" spans="2:11" s="106" customFormat="1" ht="35.1" customHeight="1" x14ac:dyDescent="0.2">
      <c r="F85" s="107"/>
      <c r="K85" s="108"/>
    </row>
    <row r="86" spans="2:11" s="106" customFormat="1" ht="50.1" customHeight="1" x14ac:dyDescent="0.2"/>
    <row r="87" spans="2:11" s="106" customFormat="1" ht="57.75" customHeight="1" x14ac:dyDescent="0.2">
      <c r="C87" s="112"/>
      <c r="D87" s="112"/>
      <c r="E87" s="112"/>
    </row>
    <row r="88" spans="2:11" s="106" customFormat="1" ht="35.1" customHeight="1" x14ac:dyDescent="0.2"/>
    <row r="89" spans="2:11" s="106" customFormat="1" ht="35.1" customHeight="1" x14ac:dyDescent="0.2">
      <c r="F89" s="108"/>
      <c r="G89" s="108"/>
      <c r="H89" s="108"/>
      <c r="I89" s="108"/>
      <c r="J89" s="108"/>
    </row>
    <row r="90" spans="2:11" s="106" customFormat="1" ht="35.1" customHeight="1" x14ac:dyDescent="0.2"/>
    <row r="91" spans="2:11" s="106" customFormat="1" ht="50.1" customHeight="1" x14ac:dyDescent="0.2">
      <c r="J91" s="47"/>
    </row>
    <row r="92" spans="2:11" s="106" customFormat="1" ht="55.5" customHeight="1" x14ac:dyDescent="0.2">
      <c r="J92" s="111"/>
    </row>
    <row r="93" spans="2:11" s="106" customFormat="1" ht="50.1" customHeight="1" x14ac:dyDescent="0.2">
      <c r="J93" s="111"/>
    </row>
    <row r="94" spans="2:11" s="107" customFormat="1" ht="31.5" customHeight="1" x14ac:dyDescent="0.2">
      <c r="J94" s="111"/>
    </row>
    <row r="95" spans="2:11" s="106" customFormat="1" ht="35.1" customHeight="1" x14ac:dyDescent="0.2">
      <c r="G95" s="111"/>
      <c r="H95" s="111"/>
      <c r="I95" s="111"/>
      <c r="J95" s="111"/>
    </row>
    <row r="96" spans="2:11" s="106" customFormat="1" ht="35.1" customHeight="1" x14ac:dyDescent="0.2">
      <c r="G96" s="111"/>
      <c r="H96" s="111"/>
      <c r="I96" s="111"/>
      <c r="J96" s="111"/>
    </row>
    <row r="97" spans="1:12" s="106" customFormat="1" ht="9.9499999999999993" customHeight="1" x14ac:dyDescent="0.2">
      <c r="G97" s="108"/>
      <c r="H97" s="108"/>
      <c r="I97" s="108"/>
      <c r="J97" s="108"/>
    </row>
    <row r="98" spans="1:12" s="106" customFormat="1" ht="35.1" customHeight="1" x14ac:dyDescent="0.2">
      <c r="J98" s="108"/>
      <c r="K98" s="108"/>
      <c r="L98" s="108"/>
    </row>
    <row r="99" spans="1:12" s="46" customFormat="1" ht="15" customHeight="1" x14ac:dyDescent="0.2">
      <c r="A99" s="47"/>
      <c r="G99" s="47"/>
      <c r="H99" s="47"/>
      <c r="I99" s="47"/>
      <c r="J99" s="47"/>
      <c r="K99" s="48"/>
    </row>
    <row r="100" spans="1:12" s="48" customFormat="1" ht="31.5" customHeight="1" x14ac:dyDescent="0.2">
      <c r="A100" s="47"/>
      <c r="B100" s="47"/>
      <c r="C100" s="47"/>
      <c r="D100" s="47"/>
      <c r="E100" s="47"/>
      <c r="F100" s="47"/>
      <c r="G100" s="47"/>
      <c r="H100" s="47"/>
      <c r="I100" s="47"/>
      <c r="J100" s="47"/>
    </row>
    <row r="101" spans="1:12" s="48" customFormat="1" ht="31.5" customHeight="1" x14ac:dyDescent="0.2"/>
    <row r="102" spans="1:12" s="48" customFormat="1" ht="31.5" customHeight="1" x14ac:dyDescent="0.2"/>
    <row r="103" spans="1:12" s="48" customFormat="1" ht="52.5" customHeight="1" x14ac:dyDescent="0.2"/>
    <row r="104" spans="1:12" s="48" customFormat="1" ht="31.5" customHeight="1" x14ac:dyDescent="0.2">
      <c r="K104" s="8"/>
    </row>
    <row r="105" spans="1:12" s="48" customFormat="1" ht="31.5" customHeight="1" x14ac:dyDescent="0.2">
      <c r="K105" s="8"/>
    </row>
    <row r="106" spans="1:12" ht="31.5" customHeight="1" x14ac:dyDescent="0.2">
      <c r="G106" s="76"/>
    </row>
    <row r="107" spans="1:12" ht="51" customHeight="1" x14ac:dyDescent="0.2"/>
    <row r="109" spans="1:12" ht="31.5" customHeight="1" x14ac:dyDescent="0.2">
      <c r="B109" s="29"/>
      <c r="C109" s="29"/>
      <c r="D109" s="29"/>
      <c r="E109" s="29"/>
      <c r="F109" s="29"/>
      <c r="G109" s="29"/>
      <c r="H109" s="29"/>
      <c r="I109" s="29"/>
      <c r="J109" s="29"/>
    </row>
    <row r="110" spans="1:12" ht="31.5" customHeight="1" x14ac:dyDescent="0.2">
      <c r="B110" s="29"/>
      <c r="C110" s="29"/>
      <c r="D110" s="29"/>
      <c r="E110" s="29"/>
      <c r="F110" s="29"/>
      <c r="G110" s="29"/>
      <c r="H110" s="29"/>
      <c r="I110" s="29"/>
      <c r="J110" s="29"/>
    </row>
    <row r="111" spans="1:12" ht="31.5" customHeight="1" x14ac:dyDescent="0.2">
      <c r="B111" s="29"/>
      <c r="C111" s="29"/>
      <c r="D111" s="29"/>
      <c r="E111" s="29"/>
      <c r="F111" s="29"/>
      <c r="G111" s="29"/>
      <c r="H111" s="29"/>
      <c r="I111" s="29"/>
      <c r="J111" s="29"/>
    </row>
    <row r="112" spans="1:12" ht="31.5" customHeight="1" x14ac:dyDescent="0.2">
      <c r="B112" s="29"/>
      <c r="C112" s="29"/>
      <c r="D112" s="29"/>
      <c r="E112" s="29"/>
      <c r="F112" s="29"/>
      <c r="G112" s="29"/>
      <c r="H112" s="29"/>
      <c r="I112" s="29"/>
      <c r="J112" s="29"/>
    </row>
    <row r="113" spans="2:10" ht="31.5" customHeight="1" x14ac:dyDescent="0.2">
      <c r="B113" s="29"/>
      <c r="C113" s="29"/>
      <c r="D113" s="29"/>
      <c r="E113" s="29"/>
      <c r="F113" s="29"/>
      <c r="G113" s="29"/>
      <c r="H113" s="29"/>
      <c r="I113" s="29"/>
      <c r="J113" s="29"/>
    </row>
    <row r="114" spans="2:10" ht="31.5" customHeight="1" x14ac:dyDescent="0.2">
      <c r="B114" s="29"/>
      <c r="C114" s="29"/>
      <c r="D114" s="29"/>
      <c r="E114" s="29"/>
      <c r="F114" s="29"/>
      <c r="G114" s="29"/>
      <c r="H114" s="29"/>
      <c r="I114" s="29"/>
      <c r="J114" s="29"/>
    </row>
    <row r="115" spans="2:10" ht="31.5" customHeight="1" x14ac:dyDescent="0.2">
      <c r="B115" s="29"/>
      <c r="C115" s="29"/>
      <c r="D115" s="29"/>
      <c r="E115" s="29"/>
      <c r="F115" s="29"/>
      <c r="G115" s="29"/>
      <c r="H115" s="29"/>
      <c r="I115" s="29"/>
      <c r="J115" s="29"/>
    </row>
  </sheetData>
  <sheetProtection password="CF5C" sheet="1" objects="1" scenarios="1"/>
  <mergeCells count="62">
    <mergeCell ref="D70:E70"/>
    <mergeCell ref="D71:E71"/>
    <mergeCell ref="B72:K72"/>
    <mergeCell ref="B73:E73"/>
    <mergeCell ref="H73:K73"/>
    <mergeCell ref="F74:G74"/>
    <mergeCell ref="H74:H76"/>
    <mergeCell ref="I74:K74"/>
    <mergeCell ref="J75:K75"/>
    <mergeCell ref="J76:K76"/>
    <mergeCell ref="A56:J56"/>
    <mergeCell ref="A58:B58"/>
    <mergeCell ref="C58:D58"/>
    <mergeCell ref="E58:F58"/>
    <mergeCell ref="H60:M60"/>
    <mergeCell ref="A50:B50"/>
    <mergeCell ref="G50:H50"/>
    <mergeCell ref="A52:J52"/>
    <mergeCell ref="D53:E53"/>
    <mergeCell ref="H53:I53"/>
    <mergeCell ref="A49:B49"/>
    <mergeCell ref="G49:H49"/>
    <mergeCell ref="A28:A31"/>
    <mergeCell ref="C33:D33"/>
    <mergeCell ref="F33:G33"/>
    <mergeCell ref="A36:J36"/>
    <mergeCell ref="B38:F38"/>
    <mergeCell ref="H38:J38"/>
    <mergeCell ref="H39:J42"/>
    <mergeCell ref="A46:J46"/>
    <mergeCell ref="A47:B48"/>
    <mergeCell ref="C47:E47"/>
    <mergeCell ref="G48:H48"/>
    <mergeCell ref="A27:B27"/>
    <mergeCell ref="G27:H27"/>
    <mergeCell ref="A14:B14"/>
    <mergeCell ref="A15:B15"/>
    <mergeCell ref="A16:B16"/>
    <mergeCell ref="C16:D16"/>
    <mergeCell ref="A18:J18"/>
    <mergeCell ref="F19:G19"/>
    <mergeCell ref="J19:J20"/>
    <mergeCell ref="A20:B20"/>
    <mergeCell ref="E20:F20"/>
    <mergeCell ref="A22:J22"/>
    <mergeCell ref="C24:D24"/>
    <mergeCell ref="F24:G24"/>
    <mergeCell ref="C26:F26"/>
    <mergeCell ref="G26:H26"/>
    <mergeCell ref="A13:B13"/>
    <mergeCell ref="F13:I13"/>
    <mergeCell ref="A1:B1"/>
    <mergeCell ref="C1:M1"/>
    <mergeCell ref="I3:J4"/>
    <mergeCell ref="A6:D6"/>
    <mergeCell ref="F6:I6"/>
    <mergeCell ref="F9:G9"/>
    <mergeCell ref="A10:B10"/>
    <mergeCell ref="F10:G10"/>
    <mergeCell ref="A11:B11"/>
    <mergeCell ref="F11:G11"/>
    <mergeCell ref="A12:B12"/>
  </mergeCells>
  <printOptions horizontalCentered="1"/>
  <pageMargins left="0.70866141732283472" right="0.70866141732283472" top="0.74803149606299213" bottom="0.74803149606299213" header="0.31496062992125984" footer="0.31496062992125984"/>
  <pageSetup scale="13" orientation="portrait" r:id="rId1"/>
  <headerFooter>
    <oddHeader xml:space="preserve">&amp;C
&amp;16   
</oddHeader>
    <oddFooter xml:space="preserve">&amp;RRT03-F13 Vr.14 (2021-05-21)
</oddFooter>
  </headerFooter>
  <rowBreaks count="1" manualBreakCount="1">
    <brk id="34" max="12" man="1"/>
  </rowBreaks>
  <drawing r:id="rId2"/>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0900-000000000000}">
          <x14:formula1>
            <xm:f>'DATOS %'!$B$7:$B$40</xm:f>
          </x14:formula1>
          <xm:sqref>I3:J4</xm:sqref>
        </x14:dataValidation>
        <x14:dataValidation type="list" allowBlank="1" showInputMessage="1" showErrorMessage="1" xr:uid="{00000000-0002-0000-0900-000001000000}">
          <x14:formula1>
            <xm:f>'DATOS %'!$V$161:$V$165</xm:f>
          </x14:formula1>
          <xm:sqref>H25</xm:sqref>
        </x14:dataValidation>
        <x14:dataValidation type="list" allowBlank="1" showInputMessage="1" showErrorMessage="1" xr:uid="{00000000-0002-0000-0900-000002000000}">
          <x14:formula1>
            <xm:f>'DATOS %'!$V$120:$V$126</xm:f>
          </x14:formula1>
          <xm:sqref>J13</xm:sqref>
        </x14:dataValidation>
        <x14:dataValidation type="list" allowBlank="1" showInputMessage="1" showErrorMessage="1" xr:uid="{00000000-0002-0000-0900-000003000000}">
          <x14:formula1>
            <xm:f>'DATOS %'!$N$29:$N$113</xm:f>
          </x14:formula1>
          <xm:sqref>E6</xm:sqref>
        </x14:dataValidation>
        <x14:dataValidation type="list" allowBlank="1" showInputMessage="1" showErrorMessage="1" xr:uid="{00000000-0002-0000-0900-000004000000}">
          <x14:formula1>
            <xm:f>'DATOS %'!$N$121:$N$166</xm:f>
          </x14:formula1>
          <xm:sqref>F48</xm:sqref>
        </x14:dataValidation>
        <x14:dataValidation type="list" allowBlank="1" showInputMessage="1" showErrorMessage="1" xr:uid="{00000000-0002-0000-0900-000005000000}">
          <x14:formula1>
            <xm:f>'DATOS %'!$J$174:$J$179</xm:f>
          </x14:formula1>
          <xm:sqref>J19:J20</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U115"/>
  <sheetViews>
    <sheetView showGridLines="0" view="pageBreakPreview" topLeftCell="A16" zoomScale="80" zoomScaleNormal="60" zoomScaleSheetLayoutView="80" workbookViewId="0">
      <selection activeCell="C65" sqref="C65"/>
    </sheetView>
  </sheetViews>
  <sheetFormatPr baseColWidth="10" defaultColWidth="11.42578125" defaultRowHeight="31.5" customHeight="1" x14ac:dyDescent="0.2"/>
  <cols>
    <col min="1" max="1" width="14.7109375" style="37" customWidth="1"/>
    <col min="2" max="2" width="12" style="37" customWidth="1"/>
    <col min="3" max="3" width="15.7109375" style="37" customWidth="1"/>
    <col min="4" max="4" width="17" style="37" customWidth="1"/>
    <col min="5" max="5" width="15.5703125" style="37" customWidth="1"/>
    <col min="6" max="6" width="18.5703125" style="37" customWidth="1"/>
    <col min="7" max="7" width="15.7109375" style="37" customWidth="1"/>
    <col min="8" max="8" width="24.42578125" style="37" bestFit="1" customWidth="1"/>
    <col min="9" max="9" width="13.85546875" style="37" bestFit="1" customWidth="1"/>
    <col min="10" max="10" width="13.7109375" style="37" customWidth="1"/>
    <col min="11" max="19" width="11.42578125" style="8"/>
    <col min="20" max="20" width="15.85546875" style="8" bestFit="1" customWidth="1"/>
    <col min="21" max="21" width="14.42578125" style="8" bestFit="1" customWidth="1"/>
    <col min="22" max="16384" width="11.42578125" style="8"/>
  </cols>
  <sheetData>
    <row r="1" spans="1:16" ht="60" customHeight="1" thickBot="1" x14ac:dyDescent="0.25">
      <c r="A1" s="1257"/>
      <c r="B1" s="1258"/>
      <c r="C1" s="1259" t="s">
        <v>57</v>
      </c>
      <c r="D1" s="1260"/>
      <c r="E1" s="1260"/>
      <c r="F1" s="1260"/>
      <c r="G1" s="1260"/>
      <c r="H1" s="1260"/>
      <c r="I1" s="1260"/>
      <c r="J1" s="1260"/>
      <c r="K1" s="1260"/>
      <c r="L1" s="1260"/>
      <c r="M1" s="1261"/>
      <c r="N1" s="7"/>
      <c r="O1" s="7"/>
      <c r="P1" s="7"/>
    </row>
    <row r="2" spans="1:16" s="11" customFormat="1" ht="9.75" customHeight="1" thickBot="1" x14ac:dyDescent="0.25">
      <c r="A2" s="9"/>
      <c r="B2" s="9"/>
      <c r="C2" s="10"/>
      <c r="D2" s="10"/>
      <c r="E2" s="10"/>
      <c r="F2" s="10"/>
      <c r="G2" s="10"/>
      <c r="H2" s="10"/>
      <c r="K2" s="12"/>
      <c r="M2" s="7"/>
    </row>
    <row r="3" spans="1:16" s="12" customFormat="1" ht="35.25" customHeight="1" thickBot="1" x14ac:dyDescent="0.25">
      <c r="A3" s="13" t="s">
        <v>17</v>
      </c>
      <c r="B3" s="14" t="s">
        <v>55</v>
      </c>
      <c r="C3" s="15" t="s">
        <v>209</v>
      </c>
      <c r="D3" s="15" t="s">
        <v>56</v>
      </c>
      <c r="E3" s="15" t="s">
        <v>8</v>
      </c>
      <c r="F3" s="16" t="s">
        <v>18</v>
      </c>
      <c r="G3" s="16" t="s">
        <v>297</v>
      </c>
      <c r="H3" s="17" t="s">
        <v>24</v>
      </c>
      <c r="I3" s="1262"/>
      <c r="J3" s="1263"/>
      <c r="K3" s="11"/>
      <c r="M3" s="7"/>
    </row>
    <row r="4" spans="1:16" s="11" customFormat="1" ht="32.25" customHeight="1" thickBot="1" x14ac:dyDescent="0.25">
      <c r="A4" s="18" t="e">
        <f>VLOOKUP($I$3,'DATOS %'!B7:J29,2,FALSE)</f>
        <v>#N/A</v>
      </c>
      <c r="B4" s="212" t="e">
        <f>VLOOKUP($I$3,'DATOS %'!$B$7:$J$29,3,FALSE)</f>
        <v>#N/A</v>
      </c>
      <c r="C4" s="19" t="e">
        <f>VLOOKUP($I$3,'DATOS %'!$B$7:$J$29,8,FALSE)</f>
        <v>#N/A</v>
      </c>
      <c r="D4" s="19" t="e">
        <f>VLOOKUP($I$3,'DATOS %'!$B$7:$J$29,6,FALSE)</f>
        <v>#N/A</v>
      </c>
      <c r="E4" s="212" t="e">
        <f>VLOOKUP($I$3,'DATOS %'!$B$7:$J$29,7,FALSE)</f>
        <v>#N/A</v>
      </c>
      <c r="F4" s="18" t="e">
        <f>VLOOKUP($I$3,'DATOS %'!$B$7:$J$29,4,FALSE)</f>
        <v>#N/A</v>
      </c>
      <c r="G4" s="18" t="e">
        <f>VLOOKUP($I$3,'DATOS %'!$B$7:$J$29,5,FALSE)</f>
        <v>#N/A</v>
      </c>
      <c r="H4" s="19" t="e">
        <f>VLOOKUP($I$3,'DATOS %'!$B$7:$J$29,9,FALSE)</f>
        <v>#N/A</v>
      </c>
      <c r="I4" s="1264"/>
      <c r="J4" s="1265"/>
      <c r="K4" s="8"/>
      <c r="L4" s="20"/>
      <c r="M4" s="20"/>
    </row>
    <row r="5" spans="1:16" s="22" customFormat="1" ht="6.75" customHeight="1" thickBot="1" x14ac:dyDescent="0.25">
      <c r="A5" s="21"/>
      <c r="B5" s="21"/>
      <c r="C5" s="21"/>
      <c r="F5" s="21"/>
      <c r="G5" s="21"/>
      <c r="H5" s="21"/>
      <c r="K5" s="8"/>
    </row>
    <row r="6" spans="1:16" ht="31.5" customHeight="1" thickBot="1" x14ac:dyDescent="0.25">
      <c r="A6" s="1266" t="s">
        <v>19</v>
      </c>
      <c r="B6" s="1267"/>
      <c r="C6" s="1267"/>
      <c r="D6" s="1268"/>
      <c r="E6" s="4"/>
      <c r="F6" s="1266" t="s">
        <v>20</v>
      </c>
      <c r="G6" s="1267"/>
      <c r="H6" s="1267"/>
      <c r="I6" s="1268"/>
      <c r="J6" s="402">
        <f>I3</f>
        <v>0</v>
      </c>
    </row>
    <row r="7" spans="1:16" ht="31.5" customHeight="1" x14ac:dyDescent="0.2">
      <c r="A7" s="23" t="s">
        <v>21</v>
      </c>
      <c r="B7" s="24" t="e">
        <f>VLOOKUP($E$6,'DATOS %'!N11:AA113,2,FALSE)</f>
        <v>#N/A</v>
      </c>
      <c r="C7" s="25" t="s">
        <v>10</v>
      </c>
      <c r="D7" s="26" t="e">
        <f>VLOOKUP($E$6,'DATOS %'!N11:AA113,3,FALSE)</f>
        <v>#N/A</v>
      </c>
      <c r="E7" s="27"/>
      <c r="F7" s="23" t="s">
        <v>21</v>
      </c>
      <c r="G7" s="24" t="e">
        <f>VLOOKUP($J$6,'DATOS %'!B47:I79,2,FALSE)</f>
        <v>#N/A</v>
      </c>
      <c r="H7" s="28" t="s">
        <v>10</v>
      </c>
      <c r="I7" s="26" t="e">
        <f>VLOOKUP($J$6,'DATOS %'!B47:I79,3,FALSE)</f>
        <v>#N/A</v>
      </c>
      <c r="J7" s="29"/>
    </row>
    <row r="8" spans="1:16" ht="31.5" customHeight="1" x14ac:dyDescent="0.2">
      <c r="A8" s="30" t="s">
        <v>22</v>
      </c>
      <c r="B8" s="31" t="e">
        <f>VLOOKUP($E$6,'DATOS %'!N11:AA113,4,FALSE)</f>
        <v>#N/A</v>
      </c>
      <c r="C8" s="32" t="s">
        <v>23</v>
      </c>
      <c r="D8" s="33" t="e">
        <f>VLOOKUP($E$6,'DATOS %'!N11:AA113,5,FALSE)</f>
        <v>#N/A</v>
      </c>
      <c r="E8" s="27"/>
      <c r="F8" s="30" t="s">
        <v>22</v>
      </c>
      <c r="G8" s="31" t="e">
        <f>VLOOKUP($J$6,'DATOS %'!B47:I79,4,FALSE)</f>
        <v>#N/A</v>
      </c>
      <c r="H8" s="32" t="s">
        <v>23</v>
      </c>
      <c r="I8" s="297" t="e">
        <f>VLOOKUP($J$6,'DATOS %'!B47:I79,5,FALSE)</f>
        <v>#N/A</v>
      </c>
      <c r="J8" s="29"/>
    </row>
    <row r="9" spans="1:16" ht="31.5" customHeight="1" x14ac:dyDescent="0.2">
      <c r="A9" s="34" t="s">
        <v>24</v>
      </c>
      <c r="B9" s="31" t="e">
        <f>VLOOKUP($E$6,'DATOS %'!N11:AA113,6,FALSE)</f>
        <v>#N/A</v>
      </c>
      <c r="C9" s="35" t="s">
        <v>15</v>
      </c>
      <c r="D9" s="36" t="e">
        <f>VLOOKUP($E$6,'DATOS %'!N11:AA113,7,FALSE)</f>
        <v>#N/A</v>
      </c>
      <c r="F9" s="1252" t="s">
        <v>62</v>
      </c>
      <c r="G9" s="1253"/>
      <c r="H9" s="926" t="e">
        <f>(VLOOKUP($J$6,'DATOS %'!B47:I79,6,FALSE))/1000</f>
        <v>#N/A</v>
      </c>
      <c r="I9" s="33" t="s">
        <v>1</v>
      </c>
      <c r="J9" s="29"/>
      <c r="K9" s="208"/>
    </row>
    <row r="10" spans="1:16" s="38" customFormat="1" ht="31.5" customHeight="1" x14ac:dyDescent="0.25">
      <c r="A10" s="1252" t="s">
        <v>63</v>
      </c>
      <c r="B10" s="1253"/>
      <c r="C10" s="926" t="e">
        <f>(VLOOKUP($E$6,'DATOS %'!N11:AA113,8,FALSE))/1000</f>
        <v>#N/A</v>
      </c>
      <c r="D10" s="33" t="s">
        <v>1</v>
      </c>
      <c r="F10" s="1252" t="s">
        <v>64</v>
      </c>
      <c r="G10" s="1253"/>
      <c r="H10" s="213" t="e">
        <f>VLOOKUP($J$6,'DATOS %'!B47:I79,7,FALSE)</f>
        <v>#N/A</v>
      </c>
      <c r="I10" s="33" t="s">
        <v>76</v>
      </c>
      <c r="J10" s="39"/>
    </row>
    <row r="11" spans="1:16" s="38" customFormat="1" ht="31.5" customHeight="1" thickBot="1" x14ac:dyDescent="0.3">
      <c r="A11" s="1252" t="s">
        <v>65</v>
      </c>
      <c r="B11" s="1253"/>
      <c r="C11" s="31" t="e">
        <f>VLOOKUP($E$6,'DATOS %'!N11:AA113,9,FALSE)</f>
        <v>#N/A</v>
      </c>
      <c r="D11" s="33" t="s">
        <v>3</v>
      </c>
      <c r="E11" s="40"/>
      <c r="F11" s="1271" t="s">
        <v>66</v>
      </c>
      <c r="G11" s="1272"/>
      <c r="H11" s="41" t="e">
        <f>VLOOKUP($J$6,'DATOS %'!B47:I79,8,FALSE)</f>
        <v>#N/A</v>
      </c>
      <c r="I11" s="45" t="s">
        <v>76</v>
      </c>
      <c r="J11" s="39"/>
    </row>
    <row r="12" spans="1:16" s="38" customFormat="1" ht="31.5" customHeight="1" thickBot="1" x14ac:dyDescent="0.3">
      <c r="A12" s="1252" t="s">
        <v>67</v>
      </c>
      <c r="B12" s="1253"/>
      <c r="C12" s="31" t="e">
        <f>VLOOKUP($E$6,'DATOS %'!N11:AA113,10,FALSE)</f>
        <v>#N/A</v>
      </c>
      <c r="D12" s="33" t="s">
        <v>3</v>
      </c>
      <c r="E12" s="39"/>
      <c r="F12" s="39"/>
      <c r="G12" s="39"/>
      <c r="H12" s="39"/>
    </row>
    <row r="13" spans="1:16" s="38" customFormat="1" ht="31.5" customHeight="1" thickBot="1" x14ac:dyDescent="0.3">
      <c r="A13" s="1252" t="s">
        <v>68</v>
      </c>
      <c r="B13" s="1253"/>
      <c r="C13" s="213" t="e">
        <f>VLOOKUP($E$6,'DATOS %'!N11:AA113,11,FALSE)</f>
        <v>#N/A</v>
      </c>
      <c r="D13" s="33" t="s">
        <v>76</v>
      </c>
      <c r="E13" s="39"/>
      <c r="F13" s="1254" t="s">
        <v>559</v>
      </c>
      <c r="G13" s="1255"/>
      <c r="H13" s="1255"/>
      <c r="I13" s="1256"/>
      <c r="J13" s="5"/>
    </row>
    <row r="14" spans="1:16" s="38" customFormat="1" ht="31.5" customHeight="1" x14ac:dyDescent="0.2">
      <c r="A14" s="1252" t="s">
        <v>305</v>
      </c>
      <c r="B14" s="1253"/>
      <c r="C14" s="31" t="e">
        <f>VLOOKUP($E$6,'DATOS %'!N11:AA113,12,FALSE)</f>
        <v>#N/A</v>
      </c>
      <c r="D14" s="33" t="s">
        <v>76</v>
      </c>
      <c r="E14" s="39"/>
      <c r="F14" s="23" t="s">
        <v>10</v>
      </c>
      <c r="G14" s="24" t="e">
        <f>VLOOKUP($J$13,'DATOS %'!$V$119:$Y$126,2,FALSE)</f>
        <v>#N/A</v>
      </c>
      <c r="H14" s="28" t="s">
        <v>22</v>
      </c>
      <c r="I14" s="24" t="e">
        <f>VLOOKUP($J$13,'DATOS %'!$V$119:$Z$126,3,FALSE)</f>
        <v>#N/A</v>
      </c>
      <c r="J14" s="42"/>
      <c r="K14" s="8"/>
    </row>
    <row r="15" spans="1:16" ht="31.5" customHeight="1" thickBot="1" x14ac:dyDescent="0.25">
      <c r="A15" s="1277" t="s">
        <v>69</v>
      </c>
      <c r="B15" s="1278"/>
      <c r="C15" s="31" t="e">
        <f>VLOOKUP($E$6,'DATOS %'!N11:AA113,13,FALSE)</f>
        <v>#N/A</v>
      </c>
      <c r="D15" s="33" t="s">
        <v>76</v>
      </c>
      <c r="E15" s="29"/>
      <c r="F15" s="43" t="s">
        <v>61</v>
      </c>
      <c r="G15" s="41" t="e">
        <f>VLOOKUP($J$13,'DATOS %'!$V$119:$Y$126,4,FALSE)</f>
        <v>#N/A</v>
      </c>
      <c r="H15" s="41" t="s">
        <v>1</v>
      </c>
      <c r="I15" s="243" t="s">
        <v>210</v>
      </c>
      <c r="J15" s="45" t="e">
        <f>VLOOKUP($J$13,'DATOS %'!$V$119:$Z$126,5,FALSE)</f>
        <v>#N/A</v>
      </c>
      <c r="K15" s="22"/>
    </row>
    <row r="16" spans="1:16" ht="30.95" customHeight="1" thickBot="1" x14ac:dyDescent="0.25">
      <c r="A16" s="1279" t="s">
        <v>210</v>
      </c>
      <c r="B16" s="1280"/>
      <c r="C16" s="1281" t="e">
        <f>VLOOKUP($E$6,'DATOS %'!N11:AA113,14,FALSE)</f>
        <v>#N/A</v>
      </c>
      <c r="D16" s="1282"/>
      <c r="E16" s="29"/>
      <c r="F16" s="8"/>
      <c r="G16" s="8"/>
      <c r="H16" s="8"/>
      <c r="I16" s="8"/>
      <c r="J16" s="8"/>
    </row>
    <row r="17" spans="1:11" s="22" customFormat="1" ht="30.95" customHeight="1" thickBot="1" x14ac:dyDescent="0.25">
      <c r="A17" s="29"/>
      <c r="B17" s="29"/>
      <c r="C17" s="29"/>
      <c r="D17" s="29"/>
      <c r="E17" s="29"/>
      <c r="F17" s="29"/>
      <c r="G17" s="29"/>
      <c r="H17" s="29"/>
      <c r="I17" s="29"/>
      <c r="J17" s="29"/>
      <c r="K17" s="8"/>
    </row>
    <row r="18" spans="1:11" ht="31.5" customHeight="1" thickBot="1" x14ac:dyDescent="0.25">
      <c r="A18" s="1331" t="s">
        <v>26</v>
      </c>
      <c r="B18" s="1332"/>
      <c r="C18" s="1332"/>
      <c r="D18" s="1332"/>
      <c r="E18" s="1332"/>
      <c r="F18" s="1332"/>
      <c r="G18" s="1332"/>
      <c r="H18" s="1332"/>
      <c r="I18" s="1332"/>
      <c r="J18" s="1333"/>
    </row>
    <row r="19" spans="1:11" ht="46.5" customHeight="1" thickBot="1" x14ac:dyDescent="0.25">
      <c r="A19" s="407" t="s">
        <v>10</v>
      </c>
      <c r="B19" s="101" t="e">
        <f>VLOOKUP(J19,'DATOS %'!J174:W180,2,FALSE)</f>
        <v>#N/A</v>
      </c>
      <c r="C19" s="95" t="s">
        <v>7</v>
      </c>
      <c r="D19" s="408" t="e">
        <f>VLOOKUP(J19,'DATOS %'!J174:W180,3,FALSE)</f>
        <v>#N/A</v>
      </c>
      <c r="E19" s="409" t="s">
        <v>24</v>
      </c>
      <c r="F19" s="1286" t="e">
        <f>VLOOKUP(J19,'DATOS %'!J174:W180,5,FALSE)</f>
        <v>#N/A</v>
      </c>
      <c r="G19" s="1287"/>
      <c r="H19" s="95" t="s">
        <v>25</v>
      </c>
      <c r="I19" s="212" t="e">
        <f>VLOOKUP(J19,'DATOS %'!J174:W180,4,FALSE)</f>
        <v>#N/A</v>
      </c>
      <c r="J19" s="1374"/>
    </row>
    <row r="20" spans="1:11" ht="31.5" customHeight="1" thickBot="1" x14ac:dyDescent="0.25">
      <c r="A20" s="1290" t="s">
        <v>316</v>
      </c>
      <c r="B20" s="1291"/>
      <c r="C20" s="94" t="s">
        <v>27</v>
      </c>
      <c r="D20" s="101" t="e">
        <f>VLOOKUP(J19,'DATOS %'!J174:W180,6,FALSE)</f>
        <v>#N/A</v>
      </c>
      <c r="E20" s="1292" t="s">
        <v>307</v>
      </c>
      <c r="F20" s="1293"/>
      <c r="G20" s="101" t="e">
        <f>VLOOKUP(J19,'DATOS %'!J174:W180,7,FALSE)</f>
        <v>#N/A</v>
      </c>
      <c r="H20" s="95" t="s">
        <v>9</v>
      </c>
      <c r="I20" s="214" t="e">
        <f>VLOOKUP(J19,'DATOS %'!J174:W180,8,FALSE)</f>
        <v>#N/A</v>
      </c>
      <c r="J20" s="1289"/>
    </row>
    <row r="21" spans="1:11" s="46" customFormat="1" ht="15" customHeight="1" thickBot="1" x14ac:dyDescent="0.25">
      <c r="A21" s="47"/>
      <c r="B21" s="47"/>
      <c r="C21" s="47"/>
      <c r="D21" s="47"/>
      <c r="E21" s="47"/>
      <c r="F21" s="47"/>
      <c r="G21" s="47"/>
      <c r="H21" s="47"/>
      <c r="I21" s="47"/>
      <c r="J21" s="47"/>
      <c r="K21" s="8"/>
    </row>
    <row r="22" spans="1:11" s="48" customFormat="1" ht="31.5" customHeight="1" thickBot="1" x14ac:dyDescent="0.25">
      <c r="A22" s="1294" t="s">
        <v>28</v>
      </c>
      <c r="B22" s="1295"/>
      <c r="C22" s="1295"/>
      <c r="D22" s="1295"/>
      <c r="E22" s="1295"/>
      <c r="F22" s="1295"/>
      <c r="G22" s="1295"/>
      <c r="H22" s="1295"/>
      <c r="I22" s="1295"/>
      <c r="J22" s="1296"/>
      <c r="K22" s="47"/>
    </row>
    <row r="23" spans="1:11" s="47" customFormat="1" ht="2.25" customHeight="1" thickBot="1" x14ac:dyDescent="0.25">
      <c r="A23" s="49"/>
      <c r="B23" s="50"/>
      <c r="C23" s="50"/>
      <c r="D23" s="50"/>
      <c r="E23" s="50"/>
      <c r="F23" s="50"/>
      <c r="G23" s="50"/>
      <c r="H23" s="50"/>
      <c r="I23" s="50"/>
      <c r="J23" s="51"/>
      <c r="K23" s="48"/>
    </row>
    <row r="24" spans="1:11" s="48" customFormat="1" ht="31.5" customHeight="1" thickBot="1" x14ac:dyDescent="0.25">
      <c r="A24" s="52" t="s">
        <v>29</v>
      </c>
      <c r="B24" s="916"/>
      <c r="C24" s="1297" t="s">
        <v>27</v>
      </c>
      <c r="D24" s="1298"/>
      <c r="E24" s="1"/>
      <c r="F24" s="1299" t="s">
        <v>307</v>
      </c>
      <c r="G24" s="1300"/>
      <c r="H24" s="2"/>
      <c r="I24" s="224" t="s">
        <v>9</v>
      </c>
      <c r="J24" s="215"/>
      <c r="K24" s="46"/>
    </row>
    <row r="25" spans="1:11" s="46" customFormat="1" ht="15" customHeight="1" thickBot="1" x14ac:dyDescent="0.25">
      <c r="A25" s="47"/>
      <c r="B25" s="47"/>
      <c r="C25" s="47"/>
      <c r="D25" s="47"/>
      <c r="E25" s="47"/>
      <c r="F25" s="47"/>
      <c r="G25" s="47"/>
      <c r="H25" s="6"/>
      <c r="I25" s="47"/>
      <c r="K25" s="48"/>
    </row>
    <row r="26" spans="1:11" s="48" customFormat="1" ht="29.25" customHeight="1" thickBot="1" x14ac:dyDescent="0.25">
      <c r="A26" s="115" t="s">
        <v>129</v>
      </c>
      <c r="B26" s="105">
        <v>4</v>
      </c>
      <c r="C26" s="1301" t="s">
        <v>30</v>
      </c>
      <c r="D26" s="1302"/>
      <c r="E26" s="1302"/>
      <c r="F26" s="1303"/>
      <c r="G26" s="1304" t="s">
        <v>211</v>
      </c>
      <c r="H26" s="1305"/>
    </row>
    <row r="27" spans="1:11" s="48" customFormat="1" ht="31.5" customHeight="1" thickBot="1" x14ac:dyDescent="0.25">
      <c r="A27" s="1273" t="s">
        <v>31</v>
      </c>
      <c r="B27" s="1274"/>
      <c r="C27" s="525">
        <v>1</v>
      </c>
      <c r="D27" s="525">
        <v>2</v>
      </c>
      <c r="E27" s="525">
        <v>3</v>
      </c>
      <c r="F27" s="129">
        <v>4</v>
      </c>
      <c r="G27" s="1275" t="e">
        <f>VLOOKUP($H$25,'DATOS %'!$V$161:$AA$165,2,FALSE)</f>
        <v>#N/A</v>
      </c>
      <c r="H27" s="1276"/>
    </row>
    <row r="28" spans="1:11" s="48" customFormat="1" ht="31.5" customHeight="1" x14ac:dyDescent="0.2">
      <c r="A28" s="1310" t="s">
        <v>32</v>
      </c>
      <c r="B28" s="141" t="s">
        <v>0</v>
      </c>
      <c r="C28" s="142"/>
      <c r="D28" s="142"/>
      <c r="E28" s="142"/>
      <c r="F28" s="143"/>
      <c r="G28" s="47"/>
      <c r="H28" s="47"/>
      <c r="I28" s="47"/>
      <c r="J28" s="47"/>
    </row>
    <row r="29" spans="1:11" s="48" customFormat="1" ht="31.5" customHeight="1" x14ac:dyDescent="0.2">
      <c r="A29" s="1311"/>
      <c r="B29" s="104" t="s">
        <v>2</v>
      </c>
      <c r="C29" s="127"/>
      <c r="D29" s="127"/>
      <c r="E29" s="127"/>
      <c r="F29" s="128"/>
      <c r="G29" s="47"/>
      <c r="H29" s="47"/>
      <c r="I29" s="47"/>
      <c r="J29" s="47"/>
    </row>
    <row r="30" spans="1:11" s="48" customFormat="1" ht="31.5" customHeight="1" x14ac:dyDescent="0.2">
      <c r="A30" s="1311"/>
      <c r="B30" s="104" t="s">
        <v>2</v>
      </c>
      <c r="C30" s="127"/>
      <c r="D30" s="127"/>
      <c r="E30" s="127"/>
      <c r="F30" s="128"/>
      <c r="G30" s="47"/>
      <c r="H30" s="47"/>
      <c r="I30" s="47"/>
      <c r="J30" s="47"/>
    </row>
    <row r="31" spans="1:11" s="48" customFormat="1" ht="31.5" customHeight="1" thickBot="1" x14ac:dyDescent="0.25">
      <c r="A31" s="1312"/>
      <c r="B31" s="53" t="s">
        <v>0</v>
      </c>
      <c r="C31" s="144"/>
      <c r="D31" s="144"/>
      <c r="E31" s="144"/>
      <c r="F31" s="145"/>
      <c r="G31" s="47"/>
      <c r="H31" s="47"/>
      <c r="I31" s="47"/>
      <c r="J31" s="47"/>
      <c r="K31" s="46"/>
    </row>
    <row r="32" spans="1:11" s="46" customFormat="1" ht="15" customHeight="1" thickBot="1" x14ac:dyDescent="0.25">
      <c r="A32" s="47"/>
      <c r="B32" s="47"/>
      <c r="C32" s="47"/>
      <c r="D32" s="47"/>
      <c r="E32" s="47"/>
      <c r="F32" s="47"/>
      <c r="G32" s="47"/>
      <c r="H32" s="47"/>
      <c r="I32" s="47"/>
      <c r="J32" s="47"/>
      <c r="K32" s="48"/>
    </row>
    <row r="33" spans="1:11" s="48" customFormat="1" ht="31.5" customHeight="1" thickBot="1" x14ac:dyDescent="0.25">
      <c r="A33" s="54" t="s">
        <v>33</v>
      </c>
      <c r="B33" s="916"/>
      <c r="C33" s="1297" t="s">
        <v>27</v>
      </c>
      <c r="D33" s="1298"/>
      <c r="E33" s="1"/>
      <c r="F33" s="1299" t="s">
        <v>307</v>
      </c>
      <c r="G33" s="1300"/>
      <c r="H33" s="2"/>
      <c r="I33" s="225" t="s">
        <v>9</v>
      </c>
      <c r="J33" s="3"/>
      <c r="K33" s="46"/>
    </row>
    <row r="34" spans="1:11" s="46" customFormat="1" ht="12" customHeight="1" x14ac:dyDescent="0.2">
      <c r="A34" s="55"/>
      <c r="B34" s="55"/>
      <c r="C34" s="55"/>
      <c r="D34" s="55"/>
      <c r="E34" s="55"/>
      <c r="F34" s="55"/>
      <c r="G34" s="55"/>
      <c r="H34" s="55"/>
      <c r="I34" s="55"/>
      <c r="J34" s="55"/>
      <c r="K34" s="48"/>
    </row>
    <row r="35" spans="1:11" s="48" customFormat="1" ht="15" customHeight="1" thickBot="1" x14ac:dyDescent="0.25">
      <c r="A35" s="56"/>
      <c r="B35" s="56"/>
      <c r="C35" s="56"/>
      <c r="D35" s="56"/>
      <c r="E35" s="56"/>
      <c r="F35" s="56"/>
      <c r="G35" s="56"/>
      <c r="H35" s="56"/>
      <c r="I35" s="56"/>
      <c r="J35" s="56"/>
    </row>
    <row r="36" spans="1:11" s="48" customFormat="1" ht="32.25" customHeight="1" thickBot="1" x14ac:dyDescent="0.25">
      <c r="A36" s="1294" t="s">
        <v>34</v>
      </c>
      <c r="B36" s="1295"/>
      <c r="C36" s="1295"/>
      <c r="D36" s="1295"/>
      <c r="E36" s="1295"/>
      <c r="F36" s="1295"/>
      <c r="G36" s="1295"/>
      <c r="H36" s="1295"/>
      <c r="I36" s="1295"/>
      <c r="J36" s="1296"/>
    </row>
    <row r="37" spans="1:11" s="48" customFormat="1" ht="3.75" customHeight="1" thickBot="1" x14ac:dyDescent="0.25">
      <c r="A37" s="55"/>
      <c r="B37" s="47"/>
      <c r="C37" s="47"/>
      <c r="D37" s="47"/>
      <c r="E37" s="47"/>
      <c r="F37" s="47"/>
      <c r="G37" s="47"/>
      <c r="H37" s="47"/>
      <c r="I37" s="47"/>
      <c r="J37" s="55"/>
    </row>
    <row r="38" spans="1:11" s="48" customFormat="1" ht="31.5" customHeight="1" thickBot="1" x14ac:dyDescent="0.25">
      <c r="A38" s="47"/>
      <c r="B38" s="1316" t="s">
        <v>35</v>
      </c>
      <c r="C38" s="1317"/>
      <c r="D38" s="1317"/>
      <c r="E38" s="1317"/>
      <c r="F38" s="1318"/>
      <c r="G38" s="47"/>
      <c r="H38" s="1319" t="s">
        <v>236</v>
      </c>
      <c r="I38" s="1320"/>
      <c r="J38" s="1321"/>
    </row>
    <row r="39" spans="1:11" s="48" customFormat="1" ht="31.5" customHeight="1" thickBot="1" x14ac:dyDescent="0.25">
      <c r="A39" s="47"/>
      <c r="B39" s="57" t="s">
        <v>31</v>
      </c>
      <c r="C39" s="203">
        <v>1</v>
      </c>
      <c r="D39" s="141">
        <v>2</v>
      </c>
      <c r="E39" s="141">
        <v>3</v>
      </c>
      <c r="F39" s="204">
        <v>4</v>
      </c>
      <c r="G39" s="47"/>
      <c r="H39" s="1322"/>
      <c r="I39" s="1323"/>
      <c r="J39" s="1324"/>
    </row>
    <row r="40" spans="1:11" s="48" customFormat="1" ht="31.5" customHeight="1" x14ac:dyDescent="0.2">
      <c r="A40" s="58"/>
      <c r="B40" s="59"/>
      <c r="C40" s="121" t="e">
        <f>+AVERAGE(C28,C31)</f>
        <v>#DIV/0!</v>
      </c>
      <c r="D40" s="122" t="e">
        <f>+AVERAGE(D28,D31)</f>
        <v>#DIV/0!</v>
      </c>
      <c r="E40" s="122" t="e">
        <f>+AVERAGE(E28,E31)</f>
        <v>#DIV/0!</v>
      </c>
      <c r="F40" s="205" t="e">
        <f>+AVERAGE(F28,F31)</f>
        <v>#DIV/0!</v>
      </c>
      <c r="G40" s="47"/>
      <c r="H40" s="1325"/>
      <c r="I40" s="1326"/>
      <c r="J40" s="1327"/>
    </row>
    <row r="41" spans="1:11" s="48" customFormat="1" ht="31.5" customHeight="1" x14ac:dyDescent="0.2">
      <c r="A41" s="58"/>
      <c r="B41" s="60"/>
      <c r="C41" s="123" t="e">
        <f>+AVERAGE(C29:C30)</f>
        <v>#DIV/0!</v>
      </c>
      <c r="D41" s="61" t="e">
        <f>+AVERAGE(D29:D30)</f>
        <v>#DIV/0!</v>
      </c>
      <c r="E41" s="61" t="e">
        <f>+AVERAGE(E29:E30)</f>
        <v>#DIV/0!</v>
      </c>
      <c r="F41" s="206" t="e">
        <f>+AVERAGE(F29:F30)</f>
        <v>#DIV/0!</v>
      </c>
      <c r="G41" s="47"/>
      <c r="H41" s="1325"/>
      <c r="I41" s="1326"/>
      <c r="J41" s="1327"/>
    </row>
    <row r="42" spans="1:11" s="48" customFormat="1" ht="31.5" customHeight="1" thickBot="1" x14ac:dyDescent="0.25">
      <c r="A42" s="58"/>
      <c r="B42" s="62"/>
      <c r="C42" s="124" t="e">
        <f>+C41-C40</f>
        <v>#DIV/0!</v>
      </c>
      <c r="D42" s="125" t="e">
        <f>+D41-D40</f>
        <v>#DIV/0!</v>
      </c>
      <c r="E42" s="125" t="e">
        <f>+E41-E40</f>
        <v>#DIV/0!</v>
      </c>
      <c r="F42" s="207" t="e">
        <f>+F41-F40</f>
        <v>#DIV/0!</v>
      </c>
      <c r="G42" s="47"/>
      <c r="H42" s="1328"/>
      <c r="I42" s="1329"/>
      <c r="J42" s="1330"/>
    </row>
    <row r="43" spans="1:11" s="48" customFormat="1" ht="31.5" customHeight="1" thickBot="1" x14ac:dyDescent="0.25">
      <c r="A43" s="47"/>
      <c r="B43" s="63" t="s">
        <v>36</v>
      </c>
      <c r="C43" s="286" t="e">
        <f>+AVERAGE(C42:F42)</f>
        <v>#DIV/0!</v>
      </c>
      <c r="D43" s="47"/>
      <c r="E43" s="47"/>
      <c r="F43" s="47"/>
      <c r="G43" s="47"/>
      <c r="H43" s="47"/>
      <c r="I43" s="47"/>
      <c r="J43" s="47"/>
    </row>
    <row r="44" spans="1:11" s="48" customFormat="1" ht="31.5" customHeight="1" thickBot="1" x14ac:dyDescent="0.25">
      <c r="A44" s="47"/>
      <c r="B44" s="64" t="s">
        <v>77</v>
      </c>
      <c r="C44" s="287" t="e">
        <f>+STDEV(C42:F42)</f>
        <v>#DIV/0!</v>
      </c>
      <c r="D44" s="47"/>
      <c r="E44" s="47"/>
      <c r="F44" s="47"/>
      <c r="G44" s="47"/>
      <c r="H44" s="47"/>
      <c r="I44" s="47"/>
      <c r="J44" s="47"/>
      <c r="K44" s="46"/>
    </row>
    <row r="45" spans="1:11" s="46" customFormat="1" ht="15" customHeight="1" thickBot="1" x14ac:dyDescent="0.25">
      <c r="A45" s="47"/>
      <c r="B45" s="47"/>
      <c r="C45" s="47"/>
      <c r="D45" s="47"/>
      <c r="E45" s="47"/>
      <c r="F45" s="47"/>
      <c r="G45" s="65"/>
      <c r="H45" s="47"/>
      <c r="I45" s="47"/>
      <c r="J45" s="47"/>
      <c r="K45" s="48"/>
    </row>
    <row r="46" spans="1:11" s="48" customFormat="1" ht="31.5" customHeight="1" thickBot="1" x14ac:dyDescent="0.25">
      <c r="A46" s="1331" t="s">
        <v>37</v>
      </c>
      <c r="B46" s="1332"/>
      <c r="C46" s="1284"/>
      <c r="D46" s="1284"/>
      <c r="E46" s="1284"/>
      <c r="F46" s="1332"/>
      <c r="G46" s="1332"/>
      <c r="H46" s="1332"/>
      <c r="I46" s="1332"/>
      <c r="J46" s="1333"/>
    </row>
    <row r="47" spans="1:11" s="48" customFormat="1" ht="31.5" customHeight="1" thickBot="1" x14ac:dyDescent="0.25">
      <c r="A47" s="1375" t="s">
        <v>321</v>
      </c>
      <c r="B47" s="1376"/>
      <c r="C47" s="1338" t="s">
        <v>38</v>
      </c>
      <c r="D47" s="1339"/>
      <c r="E47" s="1340"/>
      <c r="F47" s="47"/>
      <c r="G47" s="47"/>
      <c r="H47" s="47"/>
      <c r="I47" s="47"/>
      <c r="J47" s="47"/>
    </row>
    <row r="48" spans="1:11" s="48" customFormat="1" ht="36.75" customHeight="1" thickBot="1" x14ac:dyDescent="0.25">
      <c r="A48" s="1377"/>
      <c r="B48" s="1378"/>
      <c r="C48" s="82" t="s">
        <v>27</v>
      </c>
      <c r="D48" s="93" t="s">
        <v>307</v>
      </c>
      <c r="E48" s="83" t="s">
        <v>9</v>
      </c>
      <c r="G48" s="1341" t="s">
        <v>70</v>
      </c>
      <c r="H48" s="1342"/>
      <c r="I48" s="102" t="e">
        <f>+(0.34848*E50-0.009*D50*EXP(0.061*C50))/(273.15+C50)</f>
        <v>#DIV/0!</v>
      </c>
      <c r="J48" s="103" t="s">
        <v>73</v>
      </c>
    </row>
    <row r="49" spans="1:21" s="48" customFormat="1" ht="33" customHeight="1" thickBot="1" x14ac:dyDescent="0.25">
      <c r="A49" s="1306" t="s">
        <v>39</v>
      </c>
      <c r="B49" s="1307"/>
      <c r="C49" s="90" t="e">
        <f>+AVERAGE(E33,E24)</f>
        <v>#DIV/0!</v>
      </c>
      <c r="D49" s="91" t="e">
        <f>+AVERAGE(H33,H24)</f>
        <v>#DIV/0!</v>
      </c>
      <c r="E49" s="92" t="e">
        <f>+AVERAGE(J33,J24)</f>
        <v>#DIV/0!</v>
      </c>
      <c r="G49" s="1308" t="s">
        <v>71</v>
      </c>
      <c r="H49" s="1309"/>
      <c r="I49" s="422" t="e">
        <f>I48*((0.0001)^2+(0.001*I20/2)^2+(-0.0034*D20/2)^2+(-0.01*G20/2)^2)^0.5</f>
        <v>#DIV/0!</v>
      </c>
      <c r="J49" s="66" t="s">
        <v>73</v>
      </c>
    </row>
    <row r="50" spans="1:21" s="48" customFormat="1" ht="36.75" customHeight="1" thickBot="1" x14ac:dyDescent="0.25">
      <c r="A50" s="1343" t="s">
        <v>322</v>
      </c>
      <c r="B50" s="1344"/>
      <c r="C50" s="84" t="e">
        <f>C49+(VLOOKUP(J19,'DATOS %'!J174:W180,9,FALSE))*C49+(VLOOKUP(J19,'DATOS %'!J174:W180,10,FALSE))</f>
        <v>#DIV/0!</v>
      </c>
      <c r="D50" s="85" t="e">
        <f>D49+(VLOOKUP(J19,'DATOS %'!J174:W180,11,FALSE))*D49+(VLOOKUP(J19,'DATOS %'!J174:W180,12,FALSE))</f>
        <v>#DIV/0!</v>
      </c>
      <c r="E50" s="86" t="e">
        <f>E49+(VLOOKUP(J19,'DATOS %'!J174:W180,13,FALSE))*E49+(VLOOKUP(J19,'DATOS %'!J174:W180,14,FALSE))</f>
        <v>#DIV/0!</v>
      </c>
      <c r="G50" s="1341" t="s">
        <v>72</v>
      </c>
      <c r="H50" s="1342"/>
      <c r="I50" s="67">
        <v>1.2</v>
      </c>
      <c r="J50" s="66" t="s">
        <v>73</v>
      </c>
    </row>
    <row r="51" spans="1:21" s="46" customFormat="1" ht="15" customHeight="1" thickBot="1" x14ac:dyDescent="0.25">
      <c r="A51" s="47"/>
      <c r="B51" s="47"/>
      <c r="C51" s="47"/>
      <c r="D51" s="47"/>
      <c r="E51" s="47"/>
      <c r="F51" s="47"/>
      <c r="G51" s="47"/>
      <c r="H51" s="47"/>
      <c r="I51" s="47"/>
      <c r="J51" s="47"/>
      <c r="K51" s="48"/>
    </row>
    <row r="52" spans="1:21" s="48" customFormat="1" ht="31.5" customHeight="1" thickBot="1" x14ac:dyDescent="0.25">
      <c r="A52" s="1331" t="s">
        <v>40</v>
      </c>
      <c r="B52" s="1332"/>
      <c r="C52" s="1332"/>
      <c r="D52" s="1332"/>
      <c r="E52" s="1332"/>
      <c r="F52" s="1332"/>
      <c r="G52" s="1332"/>
      <c r="H52" s="1332"/>
      <c r="I52" s="1332"/>
      <c r="J52" s="1333"/>
    </row>
    <row r="53" spans="1:21" s="48" customFormat="1" ht="31.5" customHeight="1" x14ac:dyDescent="0.35">
      <c r="A53" s="47"/>
      <c r="B53" s="68" t="s">
        <v>41</v>
      </c>
      <c r="C53" s="69"/>
      <c r="D53" s="1345" t="s">
        <v>74</v>
      </c>
      <c r="E53" s="1345"/>
      <c r="F53" s="70" t="s">
        <v>42</v>
      </c>
      <c r="G53" s="71" t="s">
        <v>43</v>
      </c>
      <c r="H53" s="1346" t="s">
        <v>44</v>
      </c>
      <c r="I53" s="1347"/>
      <c r="J53" s="47"/>
    </row>
    <row r="54" spans="1:21" s="48" customFormat="1" ht="31.5" customHeight="1" thickBot="1" x14ac:dyDescent="0.25">
      <c r="A54" s="47"/>
      <c r="B54" s="72" t="e">
        <f>+C43</f>
        <v>#DIV/0!</v>
      </c>
      <c r="C54" s="73" t="s">
        <v>3</v>
      </c>
      <c r="D54" s="74" t="e">
        <f>+C10+C11/1000</f>
        <v>#N/A</v>
      </c>
      <c r="E54" s="73" t="s">
        <v>3</v>
      </c>
      <c r="F54" s="939" t="e">
        <f>+(I48-I50)*(1/H10-1/C13)</f>
        <v>#DIV/0!</v>
      </c>
      <c r="G54" s="75"/>
      <c r="H54" s="938" t="e">
        <f>+(B54+D54*F54)*1000</f>
        <v>#DIV/0!</v>
      </c>
      <c r="I54" s="66" t="s">
        <v>3</v>
      </c>
      <c r="J54" s="47"/>
      <c r="K54" s="46"/>
    </row>
    <row r="55" spans="1:21" s="46" customFormat="1" ht="15" customHeight="1" x14ac:dyDescent="0.2">
      <c r="A55" s="47"/>
      <c r="B55" s="47"/>
      <c r="C55" s="47"/>
      <c r="D55" s="47"/>
      <c r="E55" s="47"/>
      <c r="F55" s="47"/>
      <c r="G55" s="47"/>
      <c r="H55" s="47"/>
      <c r="I55" s="47"/>
      <c r="J55" s="47"/>
      <c r="K55" s="48"/>
    </row>
    <row r="56" spans="1:21" s="48" customFormat="1" ht="31.5" customHeight="1" x14ac:dyDescent="0.2">
      <c r="A56" s="1348" t="s">
        <v>45</v>
      </c>
      <c r="B56" s="1349"/>
      <c r="C56" s="1349"/>
      <c r="D56" s="1349"/>
      <c r="E56" s="1349"/>
      <c r="F56" s="1349"/>
      <c r="G56" s="1349"/>
      <c r="H56" s="1349"/>
      <c r="I56" s="1349"/>
      <c r="J56" s="1349"/>
      <c r="K56" s="46"/>
    </row>
    <row r="57" spans="1:21" s="46" customFormat="1" ht="15" customHeight="1" thickBot="1" x14ac:dyDescent="0.25">
      <c r="A57" s="47"/>
      <c r="B57" s="47"/>
      <c r="C57" s="47"/>
      <c r="D57" s="47"/>
      <c r="E57" s="47"/>
      <c r="K57" s="48"/>
    </row>
    <row r="58" spans="1:21" s="48" customFormat="1" ht="31.5" customHeight="1" thickBot="1" x14ac:dyDescent="0.25">
      <c r="A58" s="1350" t="s">
        <v>38</v>
      </c>
      <c r="B58" s="1351"/>
      <c r="C58" s="1352" t="s">
        <v>46</v>
      </c>
      <c r="D58" s="1353"/>
      <c r="E58" s="1354" t="s">
        <v>238</v>
      </c>
      <c r="F58" s="1379"/>
      <c r="G58" s="1061" t="s">
        <v>553</v>
      </c>
      <c r="J58" s="114"/>
      <c r="L58" s="46"/>
      <c r="Q58" s="47"/>
      <c r="R58" s="47"/>
      <c r="S58" s="47"/>
      <c r="T58" s="47"/>
      <c r="U58" s="47"/>
    </row>
    <row r="59" spans="1:21" s="48" customFormat="1" ht="57.95" customHeight="1" thickBot="1" x14ac:dyDescent="0.25">
      <c r="A59" s="1024" t="s">
        <v>47</v>
      </c>
      <c r="B59" s="1025"/>
      <c r="C59" s="1026" t="e">
        <f>+C44/B26^0.5*1000</f>
        <v>#DIV/0!</v>
      </c>
      <c r="D59" s="1017" t="s">
        <v>3</v>
      </c>
      <c r="E59" s="1027" t="s">
        <v>240</v>
      </c>
      <c r="F59" s="139">
        <f>$B$26-1</f>
        <v>3</v>
      </c>
      <c r="G59" s="1107" t="e">
        <f>(C59/$G$70)^2</f>
        <v>#DIV/0!</v>
      </c>
      <c r="H59" s="47"/>
      <c r="K59" s="156">
        <v>0.3</v>
      </c>
      <c r="L59" s="157">
        <v>1.65</v>
      </c>
      <c r="M59" s="113"/>
    </row>
    <row r="60" spans="1:21" s="48" customFormat="1" ht="57.95" customHeight="1" thickBot="1" x14ac:dyDescent="0.25">
      <c r="A60" s="1019" t="s">
        <v>343</v>
      </c>
      <c r="B60" s="1020" t="s">
        <v>48</v>
      </c>
      <c r="C60" s="1021" t="e">
        <f>+C12/2</f>
        <v>#N/A</v>
      </c>
      <c r="D60" s="1022" t="s">
        <v>3</v>
      </c>
      <c r="E60" s="1023" t="s">
        <v>239</v>
      </c>
      <c r="F60" s="146" t="s">
        <v>265</v>
      </c>
      <c r="G60" s="1108"/>
      <c r="H60" s="1380" t="s">
        <v>241</v>
      </c>
      <c r="I60" s="1356"/>
      <c r="J60" s="1356"/>
      <c r="K60" s="1356"/>
      <c r="L60" s="1356"/>
      <c r="M60" s="1357"/>
    </row>
    <row r="61" spans="1:21" s="48" customFormat="1" ht="57.95" customHeight="1" thickBot="1" x14ac:dyDescent="0.25">
      <c r="A61" s="1028" t="s">
        <v>344</v>
      </c>
      <c r="B61" s="1029"/>
      <c r="C61" s="1030" t="e">
        <f>+C12/3^0.5</f>
        <v>#N/A</v>
      </c>
      <c r="D61" s="1031" t="s">
        <v>3</v>
      </c>
      <c r="E61" s="1032" t="s">
        <v>239</v>
      </c>
      <c r="F61" s="147" t="s">
        <v>265</v>
      </c>
      <c r="G61" s="1108"/>
      <c r="H61" s="132" t="s">
        <v>243</v>
      </c>
      <c r="I61" s="1015" t="e">
        <f>MAX(C59:C62,C66:C67,C68)</f>
        <v>#DIV/0!</v>
      </c>
      <c r="J61" s="151" t="e">
        <f>IF((I62)&lt;=(K59),"1,65","2")</f>
        <v>#DIV/0!</v>
      </c>
      <c r="K61" s="152" t="s">
        <v>242</v>
      </c>
      <c r="L61" s="153" t="s">
        <v>237</v>
      </c>
      <c r="M61" s="360" t="s">
        <v>328</v>
      </c>
    </row>
    <row r="62" spans="1:21" s="48" customFormat="1" ht="57.95" customHeight="1" thickBot="1" x14ac:dyDescent="0.3">
      <c r="A62" s="1024" t="s">
        <v>49</v>
      </c>
      <c r="B62" s="1035"/>
      <c r="C62" s="1036" t="e">
        <f>+SQRT(SUMSQ(C60:C61))</f>
        <v>#N/A</v>
      </c>
      <c r="D62" s="1017" t="s">
        <v>3</v>
      </c>
      <c r="E62" s="1037" t="s">
        <v>240</v>
      </c>
      <c r="F62" s="139">
        <v>200</v>
      </c>
      <c r="G62" s="1108" t="e">
        <f t="shared" ref="G62:G68" si="0">(C62/$G$70)^2</f>
        <v>#N/A</v>
      </c>
      <c r="H62" s="133" t="s">
        <v>244</v>
      </c>
      <c r="I62" s="150" t="e">
        <f>SQRT((C59)^2+(C66)^2+(C67)^2+(C68)^2)/I61</f>
        <v>#DIV/0!</v>
      </c>
      <c r="J62" s="126"/>
      <c r="K62" s="154" t="s">
        <v>242</v>
      </c>
      <c r="L62" s="155" t="s">
        <v>252</v>
      </c>
      <c r="M62" s="361" t="s">
        <v>329</v>
      </c>
    </row>
    <row r="63" spans="1:21" s="48" customFormat="1" ht="57.95" customHeight="1" x14ac:dyDescent="0.2">
      <c r="A63" s="1019" t="s">
        <v>345</v>
      </c>
      <c r="B63" s="1020"/>
      <c r="C63" s="1033" t="e">
        <f>+I49</f>
        <v>#DIV/0!</v>
      </c>
      <c r="D63" s="1021" t="s">
        <v>73</v>
      </c>
      <c r="E63" s="1034" t="s">
        <v>239</v>
      </c>
      <c r="F63" s="146" t="s">
        <v>265</v>
      </c>
      <c r="G63" s="1108"/>
      <c r="L63" s="46"/>
      <c r="T63" s="46"/>
      <c r="U63" s="46"/>
    </row>
    <row r="64" spans="1:21" s="48" customFormat="1" ht="57.95" customHeight="1" x14ac:dyDescent="0.2">
      <c r="A64" s="426" t="s">
        <v>50</v>
      </c>
      <c r="B64" s="1018"/>
      <c r="C64" s="425" t="e">
        <f>+H11/2</f>
        <v>#N/A</v>
      </c>
      <c r="D64" s="424" t="s">
        <v>73</v>
      </c>
      <c r="E64" s="423" t="s">
        <v>239</v>
      </c>
      <c r="F64" s="148" t="s">
        <v>265</v>
      </c>
      <c r="G64" s="1108"/>
      <c r="H64" s="130"/>
      <c r="J64" s="130"/>
      <c r="K64" s="130"/>
      <c r="L64" s="130"/>
      <c r="M64" s="130"/>
      <c r="Q64" s="47"/>
      <c r="R64" s="47"/>
      <c r="S64" s="47"/>
      <c r="T64" s="47"/>
      <c r="U64" s="47"/>
    </row>
    <row r="65" spans="1:21" s="48" customFormat="1" ht="57.95" customHeight="1" thickBot="1" x14ac:dyDescent="0.25">
      <c r="A65" s="1028" t="s">
        <v>346</v>
      </c>
      <c r="B65" s="1038"/>
      <c r="C65" s="1039" t="e">
        <f>+C14/2</f>
        <v>#N/A</v>
      </c>
      <c r="D65" s="1031" t="s">
        <v>73</v>
      </c>
      <c r="E65" s="1040" t="s">
        <v>239</v>
      </c>
      <c r="F65" s="147" t="s">
        <v>265</v>
      </c>
      <c r="G65" s="1108"/>
      <c r="H65" s="130"/>
      <c r="I65" s="130"/>
      <c r="J65" s="130"/>
      <c r="K65" s="130"/>
      <c r="L65" s="130"/>
      <c r="M65" s="130"/>
      <c r="Q65" s="46"/>
      <c r="R65" s="46"/>
      <c r="S65" s="46"/>
      <c r="T65" s="46"/>
      <c r="U65" s="46"/>
    </row>
    <row r="66" spans="1:21" s="48" customFormat="1" ht="57.95" customHeight="1" thickBot="1" x14ac:dyDescent="0.3">
      <c r="A66" s="1024" t="s">
        <v>347</v>
      </c>
      <c r="B66" s="1035"/>
      <c r="C66" s="1036" t="e">
        <f>+SQRT(ABS(((C10/1000+C11/1000000)*(C13-H10)/(C13*H10)*C63)^2+((C10/1000+C11/1000000)*(I48-I50))^2*C64^2/H10^4+(C10/1000+C11/1000000)^2*(I48-I50)*((I48-I50)-2*(C15-I50))*C65^2/C13^4))*1000000</f>
        <v>#N/A</v>
      </c>
      <c r="D66" s="1051" t="s">
        <v>3</v>
      </c>
      <c r="E66" s="1037" t="s">
        <v>240</v>
      </c>
      <c r="F66" s="139">
        <v>200</v>
      </c>
      <c r="G66" s="1108" t="e">
        <f t="shared" si="0"/>
        <v>#N/A</v>
      </c>
      <c r="H66" s="130"/>
      <c r="I66" s="1093" t="s">
        <v>554</v>
      </c>
      <c r="J66" s="1095" t="s">
        <v>556</v>
      </c>
      <c r="K66" s="1094" t="s">
        <v>555</v>
      </c>
      <c r="L66" s="130"/>
      <c r="M66" s="130"/>
      <c r="Q66" s="47"/>
      <c r="R66" s="47"/>
      <c r="S66" s="47"/>
      <c r="T66" s="47"/>
      <c r="U66" s="47"/>
    </row>
    <row r="67" spans="1:21" s="48" customFormat="1" ht="57.95" customHeight="1" thickBot="1" x14ac:dyDescent="0.3">
      <c r="A67" s="1047" t="s">
        <v>52</v>
      </c>
      <c r="B67" s="1048"/>
      <c r="C67" s="1049" t="e">
        <f>+(G15/2/3^0.5)*2^0.5*1000</f>
        <v>#N/A</v>
      </c>
      <c r="D67" s="1044" t="s">
        <v>3</v>
      </c>
      <c r="E67" s="1045" t="s">
        <v>239</v>
      </c>
      <c r="F67" s="1050">
        <v>200</v>
      </c>
      <c r="G67" s="1108" t="e">
        <f t="shared" si="0"/>
        <v>#N/A</v>
      </c>
      <c r="H67" s="130"/>
      <c r="I67" s="1096" t="e">
        <f>G70^4/((C59^4/F59)+(C62^4/F62)+(C66^4/F66)+(C67^4/F67)+(C68^4/F68))</f>
        <v>#DIV/0!</v>
      </c>
      <c r="J67" s="1097" t="e">
        <f>TINV(0.05,I67)</f>
        <v>#DIV/0!</v>
      </c>
      <c r="K67" s="1098" t="e">
        <f>1-TDIST(J67,I67,2)</f>
        <v>#DIV/0!</v>
      </c>
      <c r="L67" s="130"/>
      <c r="M67" s="130"/>
    </row>
    <row r="68" spans="1:21" s="46" customFormat="1" ht="65.25" customHeight="1" thickBot="1" x14ac:dyDescent="0.3">
      <c r="A68" s="1041" t="s">
        <v>552</v>
      </c>
      <c r="B68" s="1042"/>
      <c r="C68" s="1043">
        <f>0.01/SQRT(45)</f>
        <v>1.4907119849998597E-3</v>
      </c>
      <c r="D68" s="1044" t="s">
        <v>3</v>
      </c>
      <c r="E68" s="1045" t="s">
        <v>240</v>
      </c>
      <c r="F68" s="1046">
        <v>50</v>
      </c>
      <c r="G68" s="1109" t="e">
        <f t="shared" si="0"/>
        <v>#DIV/0!</v>
      </c>
      <c r="H68" s="130"/>
      <c r="I68" s="130"/>
      <c r="J68" s="130"/>
      <c r="K68" s="130"/>
      <c r="L68" s="130"/>
      <c r="M68" s="130"/>
      <c r="S68" s="48"/>
      <c r="T68" s="48"/>
      <c r="U68" s="48"/>
    </row>
    <row r="69" spans="1:21" s="46" customFormat="1" ht="65.25" customHeight="1" thickBot="1" x14ac:dyDescent="0.25">
      <c r="A69" s="130"/>
      <c r="B69" s="130"/>
      <c r="C69" s="130"/>
      <c r="D69" s="130"/>
      <c r="E69" s="130"/>
      <c r="F69" s="130"/>
      <c r="G69" s="1110" t="e">
        <f>SUM(G59,G62,G66,G67,G68)</f>
        <v>#DIV/0!</v>
      </c>
      <c r="H69" s="130"/>
      <c r="I69" s="130"/>
      <c r="J69" s="130"/>
      <c r="K69" s="130"/>
      <c r="L69" s="130"/>
      <c r="M69" s="130"/>
      <c r="S69" s="48"/>
      <c r="T69" s="48"/>
      <c r="U69" s="48"/>
    </row>
    <row r="70" spans="1:21" s="106" customFormat="1" ht="51.75" customHeight="1" thickBot="1" x14ac:dyDescent="0.3">
      <c r="D70" s="1306" t="s">
        <v>51</v>
      </c>
      <c r="E70" s="1307"/>
      <c r="F70" s="134"/>
      <c r="G70" s="140" t="e">
        <f>+SQRT(SUMSQ(C59,C62,C66,C67,C68))</f>
        <v>#DIV/0!</v>
      </c>
      <c r="H70" s="136" t="s">
        <v>3</v>
      </c>
      <c r="K70" s="130"/>
      <c r="L70" s="130"/>
      <c r="M70" s="130"/>
      <c r="S70" s="48"/>
      <c r="T70" s="48"/>
      <c r="U70" s="48"/>
    </row>
    <row r="71" spans="1:21" s="106" customFormat="1" ht="35.1" customHeight="1" thickBot="1" x14ac:dyDescent="0.25">
      <c r="D71" s="1306" t="s">
        <v>53</v>
      </c>
      <c r="E71" s="1307"/>
      <c r="F71" s="135"/>
      <c r="G71" s="140" t="e">
        <f>+G70*2</f>
        <v>#DIV/0!</v>
      </c>
      <c r="H71" s="137" t="s">
        <v>3</v>
      </c>
      <c r="K71" s="110"/>
      <c r="L71" s="107"/>
      <c r="O71" s="48"/>
      <c r="P71" s="48"/>
      <c r="Q71" s="48"/>
      <c r="R71" s="48"/>
      <c r="S71" s="48"/>
      <c r="T71" s="48"/>
      <c r="U71" s="48"/>
    </row>
    <row r="72" spans="1:21" s="106" customFormat="1" ht="33.75" customHeight="1" thickBot="1" x14ac:dyDescent="4.45">
      <c r="B72" s="1313" t="s">
        <v>54</v>
      </c>
      <c r="C72" s="1314"/>
      <c r="D72" s="1314"/>
      <c r="E72" s="1314"/>
      <c r="F72" s="1314"/>
      <c r="G72" s="1314"/>
      <c r="H72" s="1314"/>
      <c r="I72" s="1314"/>
      <c r="J72" s="1314"/>
      <c r="K72" s="1315"/>
      <c r="L72" s="117"/>
      <c r="O72" s="48"/>
      <c r="P72" s="48"/>
      <c r="Q72" s="48"/>
      <c r="R72" s="48"/>
      <c r="S72" s="48"/>
      <c r="T72" s="48"/>
      <c r="U72" s="48"/>
    </row>
    <row r="73" spans="1:21" s="106" customFormat="1" ht="35.1" customHeight="1" thickBot="1" x14ac:dyDescent="0.25">
      <c r="B73" s="1368" t="s">
        <v>255</v>
      </c>
      <c r="C73" s="1369"/>
      <c r="D73" s="1369"/>
      <c r="E73" s="1370"/>
      <c r="F73" s="79"/>
      <c r="G73" s="80"/>
      <c r="H73" s="1371"/>
      <c r="I73" s="1372"/>
      <c r="J73" s="1372"/>
      <c r="K73" s="1373"/>
      <c r="O73" s="48"/>
      <c r="P73" s="48"/>
      <c r="Q73" s="48"/>
      <c r="R73" s="48"/>
      <c r="S73" s="48"/>
      <c r="T73" s="48"/>
      <c r="U73" s="48"/>
    </row>
    <row r="74" spans="1:21" s="106" customFormat="1" ht="40.5" customHeight="1" x14ac:dyDescent="0.2">
      <c r="B74" s="118"/>
      <c r="C74" s="362" t="s">
        <v>348</v>
      </c>
      <c r="D74" s="119" t="s">
        <v>253</v>
      </c>
      <c r="E74" s="120"/>
      <c r="F74" s="1358"/>
      <c r="G74" s="1358"/>
      <c r="H74" s="1359" t="s">
        <v>266</v>
      </c>
      <c r="I74" s="1381" t="s">
        <v>254</v>
      </c>
      <c r="J74" s="1381"/>
      <c r="K74" s="1382"/>
      <c r="O74" s="48"/>
      <c r="P74" s="48"/>
      <c r="Q74" s="48"/>
      <c r="R74" s="48"/>
      <c r="S74" s="48"/>
      <c r="T74" s="48"/>
      <c r="U74" s="48"/>
    </row>
    <row r="75" spans="1:21" s="106" customFormat="1" ht="35.1" customHeight="1" x14ac:dyDescent="0.2">
      <c r="B75" s="927" t="e">
        <f>C10</f>
        <v>#N/A</v>
      </c>
      <c r="C75" s="77" t="e">
        <f>C11</f>
        <v>#N/A</v>
      </c>
      <c r="D75" s="78" t="e">
        <f>H54</f>
        <v>#DIV/0!</v>
      </c>
      <c r="E75" s="940" t="e">
        <f>B75+(C75/1000)+(D75/1000)</f>
        <v>#N/A</v>
      </c>
      <c r="F75" s="264" t="e">
        <f>E75*1000-B75*1000</f>
        <v>#N/A</v>
      </c>
      <c r="G75" s="61"/>
      <c r="H75" s="1360"/>
      <c r="I75" s="285" t="e">
        <f>G71</f>
        <v>#DIV/0!</v>
      </c>
      <c r="J75" s="1364"/>
      <c r="K75" s="1365"/>
      <c r="O75" s="48"/>
      <c r="P75" s="48"/>
      <c r="Q75" s="48"/>
      <c r="R75" s="48"/>
      <c r="S75" s="48"/>
      <c r="T75" s="48"/>
      <c r="U75" s="48"/>
    </row>
    <row r="76" spans="1:21" s="106" customFormat="1" ht="35.1" customHeight="1" thickBot="1" x14ac:dyDescent="0.25">
      <c r="B76" s="928" t="e">
        <f>B75</f>
        <v>#N/A</v>
      </c>
      <c r="C76" s="88" t="e">
        <f>C75</f>
        <v>#N/A</v>
      </c>
      <c r="D76" s="88" t="e">
        <f>D75</f>
        <v>#DIV/0!</v>
      </c>
      <c r="E76" s="262" t="e">
        <f>B76+(C76/1000)+(D76/1000)</f>
        <v>#N/A</v>
      </c>
      <c r="F76" s="283" t="e">
        <f>F75/1000</f>
        <v>#N/A</v>
      </c>
      <c r="G76" s="89"/>
      <c r="H76" s="1361"/>
      <c r="I76" s="284" t="e">
        <f>I75/1000</f>
        <v>#DIV/0!</v>
      </c>
      <c r="J76" s="1366"/>
      <c r="K76" s="1367"/>
      <c r="O76" s="48"/>
      <c r="P76" s="48"/>
      <c r="Q76" s="48"/>
      <c r="R76" s="48"/>
      <c r="S76" s="48"/>
      <c r="T76" s="48"/>
      <c r="U76" s="48"/>
    </row>
    <row r="77" spans="1:21" s="106" customFormat="1" ht="35.1" customHeight="1" x14ac:dyDescent="0.2">
      <c r="G77" s="47"/>
      <c r="H77" s="47"/>
      <c r="I77" s="47"/>
      <c r="J77" s="47"/>
      <c r="O77" s="48"/>
      <c r="P77" s="48"/>
      <c r="Q77" s="48"/>
      <c r="R77" s="48"/>
      <c r="S77" s="48"/>
      <c r="T77" s="48"/>
      <c r="U77" s="48"/>
    </row>
    <row r="78" spans="1:21" s="106" customFormat="1" ht="35.1" customHeight="1" x14ac:dyDescent="0.2">
      <c r="G78" s="47"/>
      <c r="H78" s="47"/>
      <c r="I78" s="47"/>
      <c r="J78" s="47"/>
      <c r="O78" s="48"/>
      <c r="P78" s="48"/>
      <c r="Q78" s="48"/>
      <c r="R78" s="48"/>
      <c r="S78" s="48"/>
      <c r="T78" s="48"/>
      <c r="U78" s="48"/>
    </row>
    <row r="79" spans="1:21" s="106" customFormat="1" ht="35.1" customHeight="1" x14ac:dyDescent="0.2">
      <c r="G79" s="47"/>
      <c r="H79" s="47"/>
      <c r="I79" s="47"/>
      <c r="J79" s="47"/>
    </row>
    <row r="80" spans="1:21" s="107" customFormat="1" ht="9.9499999999999993" customHeight="1" x14ac:dyDescent="0.2">
      <c r="A80" s="109"/>
      <c r="B80" s="106"/>
      <c r="C80" s="106"/>
      <c r="D80" s="106"/>
      <c r="E80" s="106"/>
      <c r="F80" s="106"/>
      <c r="G80" s="47"/>
      <c r="H80" s="47"/>
    </row>
    <row r="81" spans="2:11" s="111" customFormat="1" ht="35.1" customHeight="1" x14ac:dyDescent="0.2">
      <c r="B81" s="106"/>
      <c r="C81" s="106"/>
      <c r="D81" s="106"/>
      <c r="E81" s="106"/>
      <c r="F81" s="106"/>
      <c r="G81" s="47"/>
      <c r="H81" s="47"/>
    </row>
    <row r="82" spans="2:11" s="106" customFormat="1" ht="61.5" customHeight="1" x14ac:dyDescent="0.2">
      <c r="H82" s="111"/>
      <c r="I82" s="111"/>
      <c r="J82" s="111"/>
      <c r="K82" s="108"/>
    </row>
    <row r="83" spans="2:11" s="106" customFormat="1" ht="35.1" customHeight="1" x14ac:dyDescent="0.2">
      <c r="G83" s="111"/>
      <c r="H83" s="111"/>
      <c r="I83" s="111"/>
      <c r="J83" s="111"/>
      <c r="K83" s="108"/>
    </row>
    <row r="84" spans="2:11" s="106" customFormat="1" ht="35.1" customHeight="1" x14ac:dyDescent="0.2">
      <c r="G84" s="111"/>
      <c r="H84" s="111"/>
      <c r="I84" s="111"/>
      <c r="J84" s="111"/>
      <c r="K84" s="108"/>
    </row>
    <row r="85" spans="2:11" s="106" customFormat="1" ht="35.1" customHeight="1" x14ac:dyDescent="0.2">
      <c r="F85" s="107"/>
      <c r="K85" s="108"/>
    </row>
    <row r="86" spans="2:11" s="106" customFormat="1" ht="50.1" customHeight="1" x14ac:dyDescent="0.2"/>
    <row r="87" spans="2:11" s="106" customFormat="1" ht="57.75" customHeight="1" x14ac:dyDescent="0.2">
      <c r="C87" s="112"/>
      <c r="D87" s="112"/>
      <c r="E87" s="112"/>
    </row>
    <row r="88" spans="2:11" s="106" customFormat="1" ht="35.1" customHeight="1" x14ac:dyDescent="0.2"/>
    <row r="89" spans="2:11" s="106" customFormat="1" ht="35.1" customHeight="1" x14ac:dyDescent="0.2">
      <c r="F89" s="108"/>
      <c r="G89" s="108"/>
      <c r="H89" s="108"/>
      <c r="I89" s="108"/>
      <c r="J89" s="108"/>
    </row>
    <row r="90" spans="2:11" s="106" customFormat="1" ht="35.1" customHeight="1" x14ac:dyDescent="0.2"/>
    <row r="91" spans="2:11" s="106" customFormat="1" ht="50.1" customHeight="1" x14ac:dyDescent="0.2">
      <c r="J91" s="47"/>
    </row>
    <row r="92" spans="2:11" s="106" customFormat="1" ht="55.5" customHeight="1" x14ac:dyDescent="0.2">
      <c r="J92" s="111"/>
    </row>
    <row r="93" spans="2:11" s="106" customFormat="1" ht="50.1" customHeight="1" x14ac:dyDescent="0.2">
      <c r="J93" s="111"/>
    </row>
    <row r="94" spans="2:11" s="107" customFormat="1" ht="31.5" customHeight="1" x14ac:dyDescent="0.2">
      <c r="J94" s="111"/>
    </row>
    <row r="95" spans="2:11" s="106" customFormat="1" ht="35.1" customHeight="1" x14ac:dyDescent="0.2">
      <c r="G95" s="111"/>
      <c r="H95" s="111"/>
      <c r="I95" s="111"/>
      <c r="J95" s="111"/>
    </row>
    <row r="96" spans="2:11" s="106" customFormat="1" ht="35.1" customHeight="1" x14ac:dyDescent="0.2">
      <c r="G96" s="111"/>
      <c r="H96" s="111"/>
      <c r="I96" s="111"/>
      <c r="J96" s="111"/>
    </row>
    <row r="97" spans="1:12" s="106" customFormat="1" ht="9.9499999999999993" customHeight="1" x14ac:dyDescent="0.2">
      <c r="G97" s="108"/>
      <c r="H97" s="108"/>
      <c r="I97" s="108"/>
      <c r="J97" s="108"/>
    </row>
    <row r="98" spans="1:12" s="106" customFormat="1" ht="35.1" customHeight="1" x14ac:dyDescent="0.2">
      <c r="J98" s="108"/>
      <c r="K98" s="108"/>
      <c r="L98" s="108"/>
    </row>
    <row r="99" spans="1:12" s="46" customFormat="1" ht="15" customHeight="1" x14ac:dyDescent="0.2">
      <c r="A99" s="47"/>
      <c r="G99" s="47"/>
      <c r="H99" s="47"/>
      <c r="I99" s="47"/>
      <c r="J99" s="47"/>
      <c r="K99" s="48"/>
    </row>
    <row r="100" spans="1:12" s="48" customFormat="1" ht="31.5" customHeight="1" x14ac:dyDescent="0.2">
      <c r="A100" s="47"/>
      <c r="B100" s="47"/>
      <c r="C100" s="47"/>
      <c r="D100" s="47"/>
      <c r="E100" s="47"/>
      <c r="F100" s="47"/>
      <c r="G100" s="47"/>
      <c r="H100" s="47"/>
      <c r="I100" s="47"/>
      <c r="J100" s="47"/>
    </row>
    <row r="101" spans="1:12" s="48" customFormat="1" ht="31.5" customHeight="1" x14ac:dyDescent="0.2"/>
    <row r="102" spans="1:12" s="48" customFormat="1" ht="31.5" customHeight="1" x14ac:dyDescent="0.2"/>
    <row r="103" spans="1:12" s="48" customFormat="1" ht="52.5" customHeight="1" x14ac:dyDescent="0.2"/>
    <row r="104" spans="1:12" s="48" customFormat="1" ht="31.5" customHeight="1" x14ac:dyDescent="0.2">
      <c r="K104" s="8"/>
    </row>
    <row r="105" spans="1:12" s="48" customFormat="1" ht="31.5" customHeight="1" x14ac:dyDescent="0.2">
      <c r="K105" s="8"/>
    </row>
    <row r="106" spans="1:12" ht="31.5" customHeight="1" x14ac:dyDescent="0.2">
      <c r="G106" s="76"/>
    </row>
    <row r="107" spans="1:12" ht="51" customHeight="1" x14ac:dyDescent="0.2"/>
    <row r="109" spans="1:12" ht="31.5" customHeight="1" x14ac:dyDescent="0.2">
      <c r="B109" s="29"/>
      <c r="C109" s="29"/>
      <c r="D109" s="29"/>
      <c r="E109" s="29"/>
      <c r="F109" s="29"/>
      <c r="G109" s="29"/>
      <c r="H109" s="29"/>
      <c r="I109" s="29"/>
      <c r="J109" s="29"/>
    </row>
    <row r="110" spans="1:12" ht="31.5" customHeight="1" x14ac:dyDescent="0.2">
      <c r="B110" s="29"/>
      <c r="C110" s="29"/>
      <c r="D110" s="29"/>
      <c r="E110" s="29"/>
      <c r="F110" s="29"/>
      <c r="G110" s="29"/>
      <c r="H110" s="29"/>
      <c r="I110" s="29"/>
      <c r="J110" s="29"/>
    </row>
    <row r="111" spans="1:12" ht="31.5" customHeight="1" x14ac:dyDescent="0.2">
      <c r="B111" s="29"/>
      <c r="C111" s="29"/>
      <c r="D111" s="29"/>
      <c r="E111" s="29"/>
      <c r="F111" s="29"/>
      <c r="G111" s="29"/>
      <c r="H111" s="29"/>
      <c r="I111" s="29"/>
      <c r="J111" s="29"/>
    </row>
    <row r="112" spans="1:12" ht="31.5" customHeight="1" x14ac:dyDescent="0.2">
      <c r="B112" s="29"/>
      <c r="C112" s="29"/>
      <c r="D112" s="29"/>
      <c r="E112" s="29"/>
      <c r="F112" s="29"/>
      <c r="G112" s="29"/>
      <c r="H112" s="29"/>
      <c r="I112" s="29"/>
      <c r="J112" s="29"/>
    </row>
    <row r="113" spans="2:10" ht="31.5" customHeight="1" x14ac:dyDescent="0.2">
      <c r="B113" s="29"/>
      <c r="C113" s="29"/>
      <c r="D113" s="29"/>
      <c r="E113" s="29"/>
      <c r="F113" s="29"/>
      <c r="G113" s="29"/>
      <c r="H113" s="29"/>
      <c r="I113" s="29"/>
      <c r="J113" s="29"/>
    </row>
    <row r="114" spans="2:10" ht="31.5" customHeight="1" x14ac:dyDescent="0.2">
      <c r="B114" s="29"/>
      <c r="C114" s="29"/>
      <c r="D114" s="29"/>
      <c r="E114" s="29"/>
      <c r="F114" s="29"/>
      <c r="G114" s="29"/>
      <c r="H114" s="29"/>
      <c r="I114" s="29"/>
      <c r="J114" s="29"/>
    </row>
    <row r="115" spans="2:10" ht="31.5" customHeight="1" x14ac:dyDescent="0.2">
      <c r="B115" s="29"/>
      <c r="C115" s="29"/>
      <c r="D115" s="29"/>
      <c r="E115" s="29"/>
      <c r="F115" s="29"/>
      <c r="G115" s="29"/>
      <c r="H115" s="29"/>
      <c r="I115" s="29"/>
      <c r="J115" s="29"/>
    </row>
  </sheetData>
  <sheetProtection password="CF5C" sheet="1" objects="1" scenarios="1"/>
  <mergeCells count="62">
    <mergeCell ref="D70:E70"/>
    <mergeCell ref="D71:E71"/>
    <mergeCell ref="B72:K72"/>
    <mergeCell ref="B73:E73"/>
    <mergeCell ref="H73:K73"/>
    <mergeCell ref="F74:G74"/>
    <mergeCell ref="H74:H76"/>
    <mergeCell ref="I74:K74"/>
    <mergeCell ref="J75:K75"/>
    <mergeCell ref="J76:K76"/>
    <mergeCell ref="A56:J56"/>
    <mergeCell ref="A58:B58"/>
    <mergeCell ref="C58:D58"/>
    <mergeCell ref="E58:F58"/>
    <mergeCell ref="H60:M60"/>
    <mergeCell ref="A50:B50"/>
    <mergeCell ref="G50:H50"/>
    <mergeCell ref="A52:J52"/>
    <mergeCell ref="D53:E53"/>
    <mergeCell ref="H53:I53"/>
    <mergeCell ref="A49:B49"/>
    <mergeCell ref="G49:H49"/>
    <mergeCell ref="A28:A31"/>
    <mergeCell ref="C33:D33"/>
    <mergeCell ref="F33:G33"/>
    <mergeCell ref="A36:J36"/>
    <mergeCell ref="B38:F38"/>
    <mergeCell ref="H38:J38"/>
    <mergeCell ref="H39:J42"/>
    <mergeCell ref="A46:J46"/>
    <mergeCell ref="A47:B48"/>
    <mergeCell ref="C47:E47"/>
    <mergeCell ref="G48:H48"/>
    <mergeCell ref="A27:B27"/>
    <mergeCell ref="G27:H27"/>
    <mergeCell ref="A14:B14"/>
    <mergeCell ref="A15:B15"/>
    <mergeCell ref="A16:B16"/>
    <mergeCell ref="C16:D16"/>
    <mergeCell ref="A18:J18"/>
    <mergeCell ref="F19:G19"/>
    <mergeCell ref="J19:J20"/>
    <mergeCell ref="A20:B20"/>
    <mergeCell ref="E20:F20"/>
    <mergeCell ref="A22:J22"/>
    <mergeCell ref="C24:D24"/>
    <mergeCell ref="F24:G24"/>
    <mergeCell ref="C26:F26"/>
    <mergeCell ref="G26:H26"/>
    <mergeCell ref="A13:B13"/>
    <mergeCell ref="F13:I13"/>
    <mergeCell ref="A1:B1"/>
    <mergeCell ref="C1:M1"/>
    <mergeCell ref="I3:J4"/>
    <mergeCell ref="A6:D6"/>
    <mergeCell ref="F6:I6"/>
    <mergeCell ref="F9:G9"/>
    <mergeCell ref="A10:B10"/>
    <mergeCell ref="F10:G10"/>
    <mergeCell ref="A11:B11"/>
    <mergeCell ref="F11:G11"/>
    <mergeCell ref="A12:B12"/>
  </mergeCells>
  <printOptions horizontalCentered="1"/>
  <pageMargins left="0.70866141732283472" right="0.70866141732283472" top="0.74803149606299213" bottom="0.74803149606299213" header="0.31496062992125984" footer="0.31496062992125984"/>
  <pageSetup scale="13" orientation="portrait" r:id="rId1"/>
  <headerFooter>
    <oddHeader xml:space="preserve">&amp;C
&amp;16   
</oddHeader>
    <oddFooter xml:space="preserve">&amp;RRT03-F13 Vr.14 (2021-05-21)
</oddFooter>
  </headerFooter>
  <rowBreaks count="1" manualBreakCount="1">
    <brk id="34" max="12" man="1"/>
  </rowBreaks>
  <drawing r:id="rId2"/>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0A00-000000000000}">
          <x14:formula1>
            <xm:f>'DATOS %'!$B$7:$B$40</xm:f>
          </x14:formula1>
          <xm:sqref>I3:J4</xm:sqref>
        </x14:dataValidation>
        <x14:dataValidation type="list" allowBlank="1" showInputMessage="1" showErrorMessage="1" xr:uid="{00000000-0002-0000-0A00-000001000000}">
          <x14:formula1>
            <xm:f>'DATOS %'!$J$174:$J$179</xm:f>
          </x14:formula1>
          <xm:sqref>J19:J20</xm:sqref>
        </x14:dataValidation>
        <x14:dataValidation type="list" allowBlank="1" showInputMessage="1" showErrorMessage="1" xr:uid="{00000000-0002-0000-0A00-000002000000}">
          <x14:formula1>
            <xm:f>'DATOS %'!$N$121:$N$166</xm:f>
          </x14:formula1>
          <xm:sqref>F48</xm:sqref>
        </x14:dataValidation>
        <x14:dataValidation type="list" allowBlank="1" showInputMessage="1" showErrorMessage="1" xr:uid="{00000000-0002-0000-0A00-000003000000}">
          <x14:formula1>
            <xm:f>'DATOS %'!$N$29:$N$113</xm:f>
          </x14:formula1>
          <xm:sqref>E6</xm:sqref>
        </x14:dataValidation>
        <x14:dataValidation type="list" allowBlank="1" showInputMessage="1" showErrorMessage="1" xr:uid="{00000000-0002-0000-0A00-000004000000}">
          <x14:formula1>
            <xm:f>'DATOS %'!$V$120:$V$126</xm:f>
          </x14:formula1>
          <xm:sqref>J13</xm:sqref>
        </x14:dataValidation>
        <x14:dataValidation type="list" allowBlank="1" showInputMessage="1" showErrorMessage="1" xr:uid="{00000000-0002-0000-0A00-000005000000}">
          <x14:formula1>
            <xm:f>'DATOS %'!$V$161:$V$165</xm:f>
          </x14:formula1>
          <xm:sqref>H25</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FF00"/>
  </sheetPr>
  <dimension ref="A1:U115"/>
  <sheetViews>
    <sheetView showGridLines="0" view="pageBreakPreview" zoomScale="80" zoomScaleNormal="60" zoomScaleSheetLayoutView="80" workbookViewId="0">
      <selection activeCell="C65" sqref="C65"/>
    </sheetView>
  </sheetViews>
  <sheetFormatPr baseColWidth="10" defaultColWidth="11.42578125" defaultRowHeight="31.5" customHeight="1" x14ac:dyDescent="0.2"/>
  <cols>
    <col min="1" max="1" width="14.7109375" style="37" customWidth="1"/>
    <col min="2" max="2" width="12" style="37" customWidth="1"/>
    <col min="3" max="3" width="15.7109375" style="37" customWidth="1"/>
    <col min="4" max="4" width="17" style="37" customWidth="1"/>
    <col min="5" max="5" width="15.5703125" style="37" customWidth="1"/>
    <col min="6" max="6" width="18.5703125" style="37" customWidth="1"/>
    <col min="7" max="7" width="15.7109375" style="37" customWidth="1"/>
    <col min="8" max="8" width="24.42578125" style="37" bestFit="1" customWidth="1"/>
    <col min="9" max="9" width="13.85546875" style="37" bestFit="1" customWidth="1"/>
    <col min="10" max="10" width="13.7109375" style="37" customWidth="1"/>
    <col min="11" max="19" width="11.42578125" style="8"/>
    <col min="20" max="20" width="15.85546875" style="8" bestFit="1" customWidth="1"/>
    <col min="21" max="21" width="14.42578125" style="8" bestFit="1" customWidth="1"/>
    <col min="22" max="16384" width="11.42578125" style="8"/>
  </cols>
  <sheetData>
    <row r="1" spans="1:16" ht="60" customHeight="1" thickBot="1" x14ac:dyDescent="0.25">
      <c r="A1" s="1257"/>
      <c r="B1" s="1258"/>
      <c r="C1" s="1259" t="s">
        <v>57</v>
      </c>
      <c r="D1" s="1260"/>
      <c r="E1" s="1260"/>
      <c r="F1" s="1260"/>
      <c r="G1" s="1260"/>
      <c r="H1" s="1260"/>
      <c r="I1" s="1260"/>
      <c r="J1" s="1260"/>
      <c r="K1" s="1260"/>
      <c r="L1" s="1260"/>
      <c r="M1" s="1261"/>
      <c r="N1" s="7"/>
      <c r="O1" s="7"/>
      <c r="P1" s="7"/>
    </row>
    <row r="2" spans="1:16" s="11" customFormat="1" ht="9.75" customHeight="1" thickBot="1" x14ac:dyDescent="0.25">
      <c r="A2" s="9"/>
      <c r="B2" s="9"/>
      <c r="C2" s="10"/>
      <c r="D2" s="10"/>
      <c r="E2" s="10"/>
      <c r="F2" s="10"/>
      <c r="G2" s="10"/>
      <c r="H2" s="10"/>
      <c r="K2" s="12"/>
      <c r="M2" s="7"/>
    </row>
    <row r="3" spans="1:16" s="12" customFormat="1" ht="35.25" customHeight="1" thickBot="1" x14ac:dyDescent="0.25">
      <c r="A3" s="13" t="s">
        <v>17</v>
      </c>
      <c r="B3" s="14" t="s">
        <v>55</v>
      </c>
      <c r="C3" s="15" t="s">
        <v>209</v>
      </c>
      <c r="D3" s="15" t="s">
        <v>56</v>
      </c>
      <c r="E3" s="15" t="s">
        <v>8</v>
      </c>
      <c r="F3" s="16" t="s">
        <v>18</v>
      </c>
      <c r="G3" s="16" t="s">
        <v>297</v>
      </c>
      <c r="H3" s="17" t="s">
        <v>24</v>
      </c>
      <c r="I3" s="1262"/>
      <c r="J3" s="1263"/>
      <c r="K3" s="11"/>
      <c r="M3" s="7"/>
    </row>
    <row r="4" spans="1:16" s="11" customFormat="1" ht="32.25" customHeight="1" thickBot="1" x14ac:dyDescent="0.25">
      <c r="A4" s="18" t="e">
        <f>VLOOKUP($I$3,'DATOS %'!B7:J29,2,FALSE)</f>
        <v>#N/A</v>
      </c>
      <c r="B4" s="212" t="e">
        <f>VLOOKUP($I$3,'DATOS %'!$B$7:$J$29,3,FALSE)</f>
        <v>#N/A</v>
      </c>
      <c r="C4" s="19" t="e">
        <f>VLOOKUP($I$3,'DATOS %'!$B$7:$J$29,8,FALSE)</f>
        <v>#N/A</v>
      </c>
      <c r="D4" s="19" t="e">
        <f>VLOOKUP($I$3,'DATOS %'!$B$7:$J$29,6,FALSE)</f>
        <v>#N/A</v>
      </c>
      <c r="E4" s="212" t="e">
        <f>VLOOKUP($I$3,'DATOS %'!$B$7:$J$29,7,FALSE)</f>
        <v>#N/A</v>
      </c>
      <c r="F4" s="18" t="e">
        <f>VLOOKUP($I$3,'DATOS %'!$B$7:$J$29,4,FALSE)</f>
        <v>#N/A</v>
      </c>
      <c r="G4" s="18" t="e">
        <f>VLOOKUP($I$3,'DATOS %'!$B$7:$J$29,5,FALSE)</f>
        <v>#N/A</v>
      </c>
      <c r="H4" s="19" t="e">
        <f>VLOOKUP($I$3,'DATOS %'!$B$7:$J$29,9,FALSE)</f>
        <v>#N/A</v>
      </c>
      <c r="I4" s="1264"/>
      <c r="J4" s="1265"/>
      <c r="K4" s="8"/>
      <c r="L4" s="20"/>
      <c r="M4" s="20"/>
    </row>
    <row r="5" spans="1:16" s="22" customFormat="1" ht="6.75" customHeight="1" thickBot="1" x14ac:dyDescent="0.25">
      <c r="A5" s="21"/>
      <c r="B5" s="21"/>
      <c r="C5" s="21"/>
      <c r="F5" s="21"/>
      <c r="G5" s="21"/>
      <c r="H5" s="21"/>
      <c r="K5" s="8"/>
    </row>
    <row r="6" spans="1:16" ht="31.5" customHeight="1" thickBot="1" x14ac:dyDescent="0.25">
      <c r="A6" s="1266" t="s">
        <v>19</v>
      </c>
      <c r="B6" s="1267"/>
      <c r="C6" s="1267"/>
      <c r="D6" s="1268"/>
      <c r="E6" s="4"/>
      <c r="F6" s="1266" t="s">
        <v>20</v>
      </c>
      <c r="G6" s="1267"/>
      <c r="H6" s="1267"/>
      <c r="I6" s="1268"/>
      <c r="J6" s="402">
        <f>I3</f>
        <v>0</v>
      </c>
    </row>
    <row r="7" spans="1:16" ht="31.5" customHeight="1" x14ac:dyDescent="0.2">
      <c r="A7" s="23" t="s">
        <v>21</v>
      </c>
      <c r="B7" s="24" t="e">
        <f>VLOOKUP($E$6,'DATOS %'!N11:AA113,2,FALSE)</f>
        <v>#N/A</v>
      </c>
      <c r="C7" s="25" t="s">
        <v>10</v>
      </c>
      <c r="D7" s="26" t="e">
        <f>VLOOKUP($E$6,'DATOS %'!N11:AA113,3,FALSE)</f>
        <v>#N/A</v>
      </c>
      <c r="E7" s="27"/>
      <c r="F7" s="23" t="s">
        <v>21</v>
      </c>
      <c r="G7" s="24" t="e">
        <f>VLOOKUP($J$6,'DATOS %'!B47:I79,2,FALSE)</f>
        <v>#N/A</v>
      </c>
      <c r="H7" s="28" t="s">
        <v>10</v>
      </c>
      <c r="I7" s="26" t="e">
        <f>VLOOKUP($J$6,'DATOS %'!B47:I79,3,FALSE)</f>
        <v>#N/A</v>
      </c>
      <c r="J7" s="29"/>
    </row>
    <row r="8" spans="1:16" ht="31.5" customHeight="1" x14ac:dyDescent="0.2">
      <c r="A8" s="30" t="s">
        <v>22</v>
      </c>
      <c r="B8" s="31" t="e">
        <f>VLOOKUP($E$6,'DATOS %'!N11:AA113,4,FALSE)</f>
        <v>#N/A</v>
      </c>
      <c r="C8" s="32" t="s">
        <v>23</v>
      </c>
      <c r="D8" s="33" t="e">
        <f>VLOOKUP($E$6,'DATOS %'!N11:AA113,5,FALSE)</f>
        <v>#N/A</v>
      </c>
      <c r="E8" s="27"/>
      <c r="F8" s="30" t="s">
        <v>22</v>
      </c>
      <c r="G8" s="31" t="e">
        <f>VLOOKUP($J$6,'DATOS %'!B47:I79,4,FALSE)</f>
        <v>#N/A</v>
      </c>
      <c r="H8" s="32" t="s">
        <v>23</v>
      </c>
      <c r="I8" s="297" t="e">
        <f>VLOOKUP($J$6,'DATOS %'!B47:I79,5,FALSE)</f>
        <v>#N/A</v>
      </c>
      <c r="J8" s="29"/>
    </row>
    <row r="9" spans="1:16" ht="31.5" customHeight="1" x14ac:dyDescent="0.2">
      <c r="A9" s="34" t="s">
        <v>24</v>
      </c>
      <c r="B9" s="31" t="e">
        <f>VLOOKUP($E$6,'DATOS %'!N11:AA113,6,FALSE)</f>
        <v>#N/A</v>
      </c>
      <c r="C9" s="35" t="s">
        <v>15</v>
      </c>
      <c r="D9" s="36" t="e">
        <f>VLOOKUP($E$6,'DATOS %'!N11:AA113,7,FALSE)</f>
        <v>#N/A</v>
      </c>
      <c r="F9" s="1252" t="s">
        <v>62</v>
      </c>
      <c r="G9" s="1253"/>
      <c r="H9" s="926" t="e">
        <f>(VLOOKUP($J$6,'DATOS %'!B47:I79,6,FALSE))/1000</f>
        <v>#N/A</v>
      </c>
      <c r="I9" s="33" t="s">
        <v>1</v>
      </c>
      <c r="J9" s="29"/>
      <c r="K9" s="208"/>
    </row>
    <row r="10" spans="1:16" s="38" customFormat="1" ht="31.5" customHeight="1" x14ac:dyDescent="0.25">
      <c r="A10" s="1252" t="s">
        <v>63</v>
      </c>
      <c r="B10" s="1253"/>
      <c r="C10" s="926" t="e">
        <f>(VLOOKUP($E$6,'DATOS %'!N11:AA113,8,FALSE))/1000</f>
        <v>#N/A</v>
      </c>
      <c r="D10" s="33" t="s">
        <v>1</v>
      </c>
      <c r="F10" s="1252" t="s">
        <v>64</v>
      </c>
      <c r="G10" s="1253"/>
      <c r="H10" s="213" t="e">
        <f>VLOOKUP($J$6,'DATOS %'!B47:I79,7,FALSE)</f>
        <v>#N/A</v>
      </c>
      <c r="I10" s="33" t="s">
        <v>76</v>
      </c>
      <c r="J10" s="39"/>
    </row>
    <row r="11" spans="1:16" s="38" customFormat="1" ht="31.5" customHeight="1" thickBot="1" x14ac:dyDescent="0.3">
      <c r="A11" s="1252" t="s">
        <v>65</v>
      </c>
      <c r="B11" s="1253"/>
      <c r="C11" s="31" t="e">
        <f>VLOOKUP($E$6,'DATOS %'!N11:AA113,9,FALSE)</f>
        <v>#N/A</v>
      </c>
      <c r="D11" s="33" t="s">
        <v>3</v>
      </c>
      <c r="E11" s="40"/>
      <c r="F11" s="1271" t="s">
        <v>66</v>
      </c>
      <c r="G11" s="1272"/>
      <c r="H11" s="41" t="e">
        <f>VLOOKUP($J$6,'DATOS %'!B47:I79,8,FALSE)</f>
        <v>#N/A</v>
      </c>
      <c r="I11" s="45" t="s">
        <v>76</v>
      </c>
      <c r="J11" s="39"/>
    </row>
    <row r="12" spans="1:16" s="38" customFormat="1" ht="31.5" customHeight="1" thickBot="1" x14ac:dyDescent="0.3">
      <c r="A12" s="1252" t="s">
        <v>67</v>
      </c>
      <c r="B12" s="1253"/>
      <c r="C12" s="31" t="e">
        <f>VLOOKUP($E$6,'DATOS %'!N11:AA113,10,FALSE)</f>
        <v>#N/A</v>
      </c>
      <c r="D12" s="33" t="s">
        <v>3</v>
      </c>
      <c r="E12" s="39"/>
      <c r="F12" s="39"/>
      <c r="G12" s="39"/>
      <c r="H12" s="39"/>
    </row>
    <row r="13" spans="1:16" s="38" customFormat="1" ht="31.5" customHeight="1" thickBot="1" x14ac:dyDescent="0.3">
      <c r="A13" s="1252" t="s">
        <v>68</v>
      </c>
      <c r="B13" s="1253"/>
      <c r="C13" s="213" t="e">
        <f>VLOOKUP($E$6,'DATOS %'!N11:AA113,11,FALSE)</f>
        <v>#N/A</v>
      </c>
      <c r="D13" s="33" t="s">
        <v>76</v>
      </c>
      <c r="E13" s="39"/>
      <c r="F13" s="1254" t="s">
        <v>559</v>
      </c>
      <c r="G13" s="1255"/>
      <c r="H13" s="1255"/>
      <c r="I13" s="1256"/>
      <c r="J13" s="5"/>
    </row>
    <row r="14" spans="1:16" s="38" customFormat="1" ht="31.5" customHeight="1" x14ac:dyDescent="0.2">
      <c r="A14" s="1252" t="s">
        <v>305</v>
      </c>
      <c r="B14" s="1253"/>
      <c r="C14" s="31" t="e">
        <f>VLOOKUP($E$6,'DATOS %'!N11:AA113,12,FALSE)</f>
        <v>#N/A</v>
      </c>
      <c r="D14" s="33" t="s">
        <v>76</v>
      </c>
      <c r="E14" s="39"/>
      <c r="F14" s="23" t="s">
        <v>10</v>
      </c>
      <c r="G14" s="24" t="e">
        <f>VLOOKUP($J$13,'DATOS %'!$V$119:$Y$126,2,FALSE)</f>
        <v>#N/A</v>
      </c>
      <c r="H14" s="28" t="s">
        <v>22</v>
      </c>
      <c r="I14" s="24" t="e">
        <f>VLOOKUP($J$13,'DATOS %'!$V$119:$Z$126,3,FALSE)</f>
        <v>#N/A</v>
      </c>
      <c r="J14" s="42"/>
      <c r="K14" s="8"/>
    </row>
    <row r="15" spans="1:16" ht="31.5" customHeight="1" thickBot="1" x14ac:dyDescent="0.25">
      <c r="A15" s="1277" t="s">
        <v>69</v>
      </c>
      <c r="B15" s="1278"/>
      <c r="C15" s="31" t="e">
        <f>VLOOKUP($E$6,'DATOS %'!N11:AA113,13,FALSE)</f>
        <v>#N/A</v>
      </c>
      <c r="D15" s="33" t="s">
        <v>76</v>
      </c>
      <c r="E15" s="29"/>
      <c r="F15" s="43" t="s">
        <v>61</v>
      </c>
      <c r="G15" s="41" t="e">
        <f>VLOOKUP($J$13,'DATOS %'!$V$119:$Y$126,4,FALSE)</f>
        <v>#N/A</v>
      </c>
      <c r="H15" s="41" t="s">
        <v>1</v>
      </c>
      <c r="I15" s="243" t="s">
        <v>210</v>
      </c>
      <c r="J15" s="45" t="e">
        <f>VLOOKUP($J$13,'DATOS %'!$V$119:$Z$126,5,FALSE)</f>
        <v>#N/A</v>
      </c>
      <c r="K15" s="22"/>
    </row>
    <row r="16" spans="1:16" ht="30.95" customHeight="1" thickBot="1" x14ac:dyDescent="0.25">
      <c r="A16" s="1279" t="s">
        <v>210</v>
      </c>
      <c r="B16" s="1280"/>
      <c r="C16" s="1281" t="e">
        <f>VLOOKUP($E$6,'DATOS %'!N11:AA113,14,FALSE)</f>
        <v>#N/A</v>
      </c>
      <c r="D16" s="1282"/>
      <c r="E16" s="29"/>
      <c r="F16" s="8"/>
      <c r="G16" s="8"/>
      <c r="H16" s="8"/>
      <c r="I16" s="8"/>
      <c r="J16" s="8"/>
    </row>
    <row r="17" spans="1:11" s="22" customFormat="1" ht="30.95" customHeight="1" thickBot="1" x14ac:dyDescent="0.25">
      <c r="A17" s="29"/>
      <c r="B17" s="29"/>
      <c r="C17" s="29"/>
      <c r="D17" s="29"/>
      <c r="E17" s="29"/>
      <c r="F17" s="29"/>
      <c r="G17" s="29"/>
      <c r="H17" s="29"/>
      <c r="I17" s="29"/>
      <c r="J17" s="29"/>
      <c r="K17" s="8"/>
    </row>
    <row r="18" spans="1:11" ht="31.5" customHeight="1" thickBot="1" x14ac:dyDescent="0.25">
      <c r="A18" s="1331" t="s">
        <v>26</v>
      </c>
      <c r="B18" s="1332"/>
      <c r="C18" s="1332"/>
      <c r="D18" s="1332"/>
      <c r="E18" s="1332"/>
      <c r="F18" s="1332"/>
      <c r="G18" s="1332"/>
      <c r="H18" s="1332"/>
      <c r="I18" s="1332"/>
      <c r="J18" s="1333"/>
    </row>
    <row r="19" spans="1:11" ht="46.5" customHeight="1" thickBot="1" x14ac:dyDescent="0.25">
      <c r="A19" s="407" t="s">
        <v>10</v>
      </c>
      <c r="B19" s="101" t="e">
        <f>VLOOKUP(J19,'DATOS %'!J174:W180,2,FALSE)</f>
        <v>#N/A</v>
      </c>
      <c r="C19" s="95" t="s">
        <v>7</v>
      </c>
      <c r="D19" s="408" t="e">
        <f>VLOOKUP(J19,'DATOS %'!J174:W180,3,FALSE)</f>
        <v>#N/A</v>
      </c>
      <c r="E19" s="409" t="s">
        <v>24</v>
      </c>
      <c r="F19" s="1286" t="e">
        <f>VLOOKUP(J19,'DATOS %'!J174:W180,5,FALSE)</f>
        <v>#N/A</v>
      </c>
      <c r="G19" s="1287"/>
      <c r="H19" s="95" t="s">
        <v>25</v>
      </c>
      <c r="I19" s="212" t="e">
        <f>VLOOKUP(J19,'DATOS %'!J174:W180,4,FALSE)</f>
        <v>#N/A</v>
      </c>
      <c r="J19" s="1374"/>
    </row>
    <row r="20" spans="1:11" ht="31.5" customHeight="1" thickBot="1" x14ac:dyDescent="0.25">
      <c r="A20" s="1290" t="s">
        <v>316</v>
      </c>
      <c r="B20" s="1291"/>
      <c r="C20" s="94" t="s">
        <v>27</v>
      </c>
      <c r="D20" s="101" t="e">
        <f>VLOOKUP(J19,'DATOS %'!J174:W180,6,FALSE)</f>
        <v>#N/A</v>
      </c>
      <c r="E20" s="1292" t="s">
        <v>307</v>
      </c>
      <c r="F20" s="1293"/>
      <c r="G20" s="101" t="e">
        <f>VLOOKUP(J19,'DATOS %'!J174:W180,7,FALSE)</f>
        <v>#N/A</v>
      </c>
      <c r="H20" s="95" t="s">
        <v>9</v>
      </c>
      <c r="I20" s="214" t="e">
        <f>VLOOKUP(J19,'DATOS %'!J174:W180,8,FALSE)</f>
        <v>#N/A</v>
      </c>
      <c r="J20" s="1289"/>
    </row>
    <row r="21" spans="1:11" s="46" customFormat="1" ht="15" customHeight="1" thickBot="1" x14ac:dyDescent="0.25">
      <c r="A21" s="47"/>
      <c r="B21" s="47"/>
      <c r="C21" s="47"/>
      <c r="D21" s="47"/>
      <c r="E21" s="47"/>
      <c r="F21" s="47"/>
      <c r="G21" s="47"/>
      <c r="H21" s="47"/>
      <c r="I21" s="47"/>
      <c r="J21" s="47"/>
      <c r="K21" s="8"/>
    </row>
    <row r="22" spans="1:11" s="48" customFormat="1" ht="31.5" customHeight="1" thickBot="1" x14ac:dyDescent="0.25">
      <c r="A22" s="1294" t="s">
        <v>28</v>
      </c>
      <c r="B22" s="1295"/>
      <c r="C22" s="1295"/>
      <c r="D22" s="1295"/>
      <c r="E22" s="1295"/>
      <c r="F22" s="1295"/>
      <c r="G22" s="1295"/>
      <c r="H22" s="1295"/>
      <c r="I22" s="1295"/>
      <c r="J22" s="1296"/>
      <c r="K22" s="47"/>
    </row>
    <row r="23" spans="1:11" s="47" customFormat="1" ht="2.25" customHeight="1" thickBot="1" x14ac:dyDescent="0.25">
      <c r="A23" s="49"/>
      <c r="B23" s="50"/>
      <c r="C23" s="50"/>
      <c r="D23" s="50"/>
      <c r="E23" s="50"/>
      <c r="F23" s="50"/>
      <c r="G23" s="50"/>
      <c r="H23" s="50"/>
      <c r="I23" s="50"/>
      <c r="J23" s="51"/>
      <c r="K23" s="48"/>
    </row>
    <row r="24" spans="1:11" s="48" customFormat="1" ht="31.5" customHeight="1" thickBot="1" x14ac:dyDescent="0.25">
      <c r="A24" s="52" t="s">
        <v>29</v>
      </c>
      <c r="B24" s="916"/>
      <c r="C24" s="1297" t="s">
        <v>27</v>
      </c>
      <c r="D24" s="1298"/>
      <c r="E24" s="1"/>
      <c r="F24" s="1299" t="s">
        <v>307</v>
      </c>
      <c r="G24" s="1300"/>
      <c r="H24" s="2"/>
      <c r="I24" s="224" t="s">
        <v>9</v>
      </c>
      <c r="J24" s="215"/>
      <c r="K24" s="46"/>
    </row>
    <row r="25" spans="1:11" s="46" customFormat="1" ht="15" customHeight="1" thickBot="1" x14ac:dyDescent="0.25">
      <c r="A25" s="47"/>
      <c r="B25" s="47"/>
      <c r="C25" s="47"/>
      <c r="D25" s="47"/>
      <c r="E25" s="47"/>
      <c r="F25" s="47"/>
      <c r="G25" s="47"/>
      <c r="H25" s="6"/>
      <c r="I25" s="47"/>
      <c r="K25" s="48"/>
    </row>
    <row r="26" spans="1:11" s="48" customFormat="1" ht="29.25" customHeight="1" thickBot="1" x14ac:dyDescent="0.25">
      <c r="A26" s="115" t="s">
        <v>129</v>
      </c>
      <c r="B26" s="105">
        <v>4</v>
      </c>
      <c r="C26" s="1301" t="s">
        <v>30</v>
      </c>
      <c r="D26" s="1302"/>
      <c r="E26" s="1302"/>
      <c r="F26" s="1303"/>
      <c r="G26" s="1304" t="s">
        <v>211</v>
      </c>
      <c r="H26" s="1305"/>
    </row>
    <row r="27" spans="1:11" s="48" customFormat="1" ht="31.5" customHeight="1" thickBot="1" x14ac:dyDescent="0.25">
      <c r="A27" s="1273" t="s">
        <v>31</v>
      </c>
      <c r="B27" s="1274"/>
      <c r="C27" s="525">
        <v>1</v>
      </c>
      <c r="D27" s="525">
        <v>2</v>
      </c>
      <c r="E27" s="525">
        <v>3</v>
      </c>
      <c r="F27" s="129">
        <v>4</v>
      </c>
      <c r="G27" s="1275" t="e">
        <f>VLOOKUP($H$25,'DATOS %'!$V$161:$AA$165,2,FALSE)</f>
        <v>#N/A</v>
      </c>
      <c r="H27" s="1276"/>
    </row>
    <row r="28" spans="1:11" s="48" customFormat="1" ht="31.5" customHeight="1" x14ac:dyDescent="0.2">
      <c r="A28" s="1310" t="s">
        <v>32</v>
      </c>
      <c r="B28" s="141" t="s">
        <v>0</v>
      </c>
      <c r="C28" s="142"/>
      <c r="D28" s="142"/>
      <c r="E28" s="142"/>
      <c r="F28" s="143"/>
      <c r="G28" s="47"/>
      <c r="H28" s="47"/>
      <c r="I28" s="47"/>
      <c r="J28" s="47"/>
    </row>
    <row r="29" spans="1:11" s="48" customFormat="1" ht="31.5" customHeight="1" x14ac:dyDescent="0.2">
      <c r="A29" s="1311"/>
      <c r="B29" s="104" t="s">
        <v>2</v>
      </c>
      <c r="C29" s="127"/>
      <c r="D29" s="127"/>
      <c r="E29" s="127"/>
      <c r="F29" s="128"/>
      <c r="G29" s="47"/>
      <c r="H29" s="47"/>
      <c r="I29" s="47"/>
      <c r="J29" s="47"/>
    </row>
    <row r="30" spans="1:11" s="48" customFormat="1" ht="31.5" customHeight="1" x14ac:dyDescent="0.2">
      <c r="A30" s="1311"/>
      <c r="B30" s="104" t="s">
        <v>2</v>
      </c>
      <c r="C30" s="127"/>
      <c r="D30" s="127"/>
      <c r="E30" s="127"/>
      <c r="F30" s="128"/>
      <c r="G30" s="47"/>
      <c r="H30" s="47"/>
      <c r="I30" s="47"/>
      <c r="J30" s="47"/>
    </row>
    <row r="31" spans="1:11" s="48" customFormat="1" ht="31.5" customHeight="1" thickBot="1" x14ac:dyDescent="0.25">
      <c r="A31" s="1312"/>
      <c r="B31" s="53" t="s">
        <v>0</v>
      </c>
      <c r="C31" s="144"/>
      <c r="D31" s="144"/>
      <c r="E31" s="144"/>
      <c r="F31" s="145"/>
      <c r="G31" s="47"/>
      <c r="H31" s="47"/>
      <c r="I31" s="47"/>
      <c r="J31" s="47"/>
      <c r="K31" s="46"/>
    </row>
    <row r="32" spans="1:11" s="46" customFormat="1" ht="15" customHeight="1" thickBot="1" x14ac:dyDescent="0.25">
      <c r="A32" s="47"/>
      <c r="B32" s="47"/>
      <c r="C32" s="47"/>
      <c r="D32" s="47"/>
      <c r="E32" s="47"/>
      <c r="F32" s="47"/>
      <c r="G32" s="47"/>
      <c r="H32" s="47"/>
      <c r="I32" s="47"/>
      <c r="J32" s="47"/>
      <c r="K32" s="48"/>
    </row>
    <row r="33" spans="1:11" s="48" customFormat="1" ht="31.5" customHeight="1" thickBot="1" x14ac:dyDescent="0.25">
      <c r="A33" s="54" t="s">
        <v>33</v>
      </c>
      <c r="B33" s="916"/>
      <c r="C33" s="1297" t="s">
        <v>27</v>
      </c>
      <c r="D33" s="1298"/>
      <c r="E33" s="1"/>
      <c r="F33" s="1299" t="s">
        <v>307</v>
      </c>
      <c r="G33" s="1300"/>
      <c r="H33" s="2"/>
      <c r="I33" s="225" t="s">
        <v>9</v>
      </c>
      <c r="J33" s="3"/>
      <c r="K33" s="46"/>
    </row>
    <row r="34" spans="1:11" s="46" customFormat="1" ht="12" customHeight="1" x14ac:dyDescent="0.2">
      <c r="A34" s="55"/>
      <c r="B34" s="55"/>
      <c r="C34" s="55"/>
      <c r="D34" s="55"/>
      <c r="E34" s="55"/>
      <c r="F34" s="55"/>
      <c r="G34" s="55"/>
      <c r="H34" s="55"/>
      <c r="I34" s="55"/>
      <c r="J34" s="55"/>
      <c r="K34" s="48"/>
    </row>
    <row r="35" spans="1:11" s="48" customFormat="1" ht="15" customHeight="1" thickBot="1" x14ac:dyDescent="0.25">
      <c r="A35" s="56"/>
      <c r="B35" s="56"/>
      <c r="C35" s="56"/>
      <c r="D35" s="56"/>
      <c r="E35" s="56"/>
      <c r="F35" s="56"/>
      <c r="G35" s="56"/>
      <c r="H35" s="56"/>
      <c r="I35" s="56"/>
      <c r="J35" s="56"/>
    </row>
    <row r="36" spans="1:11" s="48" customFormat="1" ht="32.25" customHeight="1" thickBot="1" x14ac:dyDescent="0.25">
      <c r="A36" s="1294" t="s">
        <v>34</v>
      </c>
      <c r="B36" s="1295"/>
      <c r="C36" s="1295"/>
      <c r="D36" s="1295"/>
      <c r="E36" s="1295"/>
      <c r="F36" s="1295"/>
      <c r="G36" s="1295"/>
      <c r="H36" s="1295"/>
      <c r="I36" s="1295"/>
      <c r="J36" s="1296"/>
    </row>
    <row r="37" spans="1:11" s="48" customFormat="1" ht="3.75" customHeight="1" thickBot="1" x14ac:dyDescent="0.25">
      <c r="A37" s="55"/>
      <c r="B37" s="47"/>
      <c r="C37" s="47"/>
      <c r="D37" s="47"/>
      <c r="E37" s="47"/>
      <c r="F37" s="47"/>
      <c r="G37" s="47"/>
      <c r="H37" s="47"/>
      <c r="I37" s="47"/>
      <c r="J37" s="55"/>
    </row>
    <row r="38" spans="1:11" s="48" customFormat="1" ht="31.5" customHeight="1" thickBot="1" x14ac:dyDescent="0.25">
      <c r="A38" s="47"/>
      <c r="B38" s="1316" t="s">
        <v>35</v>
      </c>
      <c r="C38" s="1317"/>
      <c r="D38" s="1317"/>
      <c r="E38" s="1317"/>
      <c r="F38" s="1318"/>
      <c r="G38" s="47"/>
      <c r="H38" s="1319" t="s">
        <v>236</v>
      </c>
      <c r="I38" s="1320"/>
      <c r="J38" s="1321"/>
    </row>
    <row r="39" spans="1:11" s="48" customFormat="1" ht="31.5" customHeight="1" thickBot="1" x14ac:dyDescent="0.25">
      <c r="A39" s="47"/>
      <c r="B39" s="57" t="s">
        <v>31</v>
      </c>
      <c r="C39" s="203">
        <v>1</v>
      </c>
      <c r="D39" s="141">
        <v>2</v>
      </c>
      <c r="E39" s="141">
        <v>3</v>
      </c>
      <c r="F39" s="204">
        <v>4</v>
      </c>
      <c r="G39" s="47"/>
      <c r="H39" s="1322"/>
      <c r="I39" s="1323"/>
      <c r="J39" s="1324"/>
    </row>
    <row r="40" spans="1:11" s="48" customFormat="1" ht="31.5" customHeight="1" x14ac:dyDescent="0.2">
      <c r="A40" s="58"/>
      <c r="B40" s="59"/>
      <c r="C40" s="121" t="e">
        <f>+AVERAGE(C28,C31)</f>
        <v>#DIV/0!</v>
      </c>
      <c r="D40" s="122" t="e">
        <f>+AVERAGE(D28,D31)</f>
        <v>#DIV/0!</v>
      </c>
      <c r="E40" s="122" t="e">
        <f>+AVERAGE(E28,E31)</f>
        <v>#DIV/0!</v>
      </c>
      <c r="F40" s="205" t="e">
        <f>+AVERAGE(F28,F31)</f>
        <v>#DIV/0!</v>
      </c>
      <c r="G40" s="47"/>
      <c r="H40" s="1325"/>
      <c r="I40" s="1326"/>
      <c r="J40" s="1327"/>
    </row>
    <row r="41" spans="1:11" s="48" customFormat="1" ht="31.5" customHeight="1" x14ac:dyDescent="0.2">
      <c r="A41" s="58"/>
      <c r="B41" s="60"/>
      <c r="C41" s="123" t="e">
        <f>+AVERAGE(C29:C30)</f>
        <v>#DIV/0!</v>
      </c>
      <c r="D41" s="61" t="e">
        <f>+AVERAGE(D29:D30)</f>
        <v>#DIV/0!</v>
      </c>
      <c r="E41" s="61" t="e">
        <f>+AVERAGE(E29:E30)</f>
        <v>#DIV/0!</v>
      </c>
      <c r="F41" s="206" t="e">
        <f>+AVERAGE(F29:F30)</f>
        <v>#DIV/0!</v>
      </c>
      <c r="G41" s="47"/>
      <c r="H41" s="1325"/>
      <c r="I41" s="1326"/>
      <c r="J41" s="1327"/>
    </row>
    <row r="42" spans="1:11" s="48" customFormat="1" ht="31.5" customHeight="1" thickBot="1" x14ac:dyDescent="0.25">
      <c r="A42" s="58"/>
      <c r="B42" s="62"/>
      <c r="C42" s="124" t="e">
        <f>+C41-C40</f>
        <v>#DIV/0!</v>
      </c>
      <c r="D42" s="125" t="e">
        <f>+D41-D40</f>
        <v>#DIV/0!</v>
      </c>
      <c r="E42" s="125" t="e">
        <f>+E41-E40</f>
        <v>#DIV/0!</v>
      </c>
      <c r="F42" s="207" t="e">
        <f>+F41-F40</f>
        <v>#DIV/0!</v>
      </c>
      <c r="G42" s="47"/>
      <c r="H42" s="1328"/>
      <c r="I42" s="1329"/>
      <c r="J42" s="1330"/>
    </row>
    <row r="43" spans="1:11" s="48" customFormat="1" ht="31.5" customHeight="1" thickBot="1" x14ac:dyDescent="0.25">
      <c r="A43" s="47"/>
      <c r="B43" s="63" t="s">
        <v>36</v>
      </c>
      <c r="C43" s="286" t="e">
        <f>+AVERAGE(C42:F42)</f>
        <v>#DIV/0!</v>
      </c>
      <c r="D43" s="47"/>
      <c r="E43" s="47"/>
      <c r="F43" s="47"/>
      <c r="G43" s="47"/>
      <c r="H43" s="47"/>
      <c r="I43" s="47"/>
      <c r="J43" s="47"/>
    </row>
    <row r="44" spans="1:11" s="48" customFormat="1" ht="31.5" customHeight="1" thickBot="1" x14ac:dyDescent="0.25">
      <c r="A44" s="47"/>
      <c r="B44" s="64" t="s">
        <v>77</v>
      </c>
      <c r="C44" s="415" t="e">
        <f>+STDEV(C42:F42)</f>
        <v>#DIV/0!</v>
      </c>
      <c r="D44" s="47"/>
      <c r="E44" s="47"/>
      <c r="F44" s="47"/>
      <c r="G44" s="47"/>
      <c r="H44" s="47"/>
      <c r="I44" s="47"/>
      <c r="J44" s="47"/>
      <c r="K44" s="46"/>
    </row>
    <row r="45" spans="1:11" s="46" customFormat="1" ht="15" customHeight="1" thickBot="1" x14ac:dyDescent="0.25">
      <c r="A45" s="47"/>
      <c r="B45" s="47"/>
      <c r="C45" s="47"/>
      <c r="D45" s="47"/>
      <c r="E45" s="47"/>
      <c r="F45" s="47"/>
      <c r="G45" s="65"/>
      <c r="H45" s="47"/>
      <c r="I45" s="47"/>
      <c r="J45" s="47"/>
      <c r="K45" s="48"/>
    </row>
    <row r="46" spans="1:11" s="48" customFormat="1" ht="31.5" customHeight="1" thickBot="1" x14ac:dyDescent="0.25">
      <c r="A46" s="1331" t="s">
        <v>37</v>
      </c>
      <c r="B46" s="1332"/>
      <c r="C46" s="1284"/>
      <c r="D46" s="1284"/>
      <c r="E46" s="1284"/>
      <c r="F46" s="1332"/>
      <c r="G46" s="1332"/>
      <c r="H46" s="1332"/>
      <c r="I46" s="1332"/>
      <c r="J46" s="1333"/>
    </row>
    <row r="47" spans="1:11" s="48" customFormat="1" ht="31.5" customHeight="1" thickBot="1" x14ac:dyDescent="0.25">
      <c r="A47" s="1375" t="s">
        <v>321</v>
      </c>
      <c r="B47" s="1376"/>
      <c r="C47" s="1338" t="s">
        <v>38</v>
      </c>
      <c r="D47" s="1339"/>
      <c r="E47" s="1340"/>
      <c r="F47" s="47"/>
      <c r="G47" s="47"/>
      <c r="H47" s="47"/>
      <c r="I47" s="47"/>
      <c r="J47" s="47"/>
    </row>
    <row r="48" spans="1:11" s="48" customFormat="1" ht="36.75" customHeight="1" thickBot="1" x14ac:dyDescent="0.25">
      <c r="A48" s="1377"/>
      <c r="B48" s="1378"/>
      <c r="C48" s="82" t="s">
        <v>27</v>
      </c>
      <c r="D48" s="93" t="s">
        <v>307</v>
      </c>
      <c r="E48" s="83" t="s">
        <v>9</v>
      </c>
      <c r="G48" s="1341" t="s">
        <v>70</v>
      </c>
      <c r="H48" s="1342"/>
      <c r="I48" s="102" t="e">
        <f>+(0.34848*E50-0.009*D50*EXP(0.061*C50))/(273.15+C50)</f>
        <v>#DIV/0!</v>
      </c>
      <c r="J48" s="103" t="s">
        <v>73</v>
      </c>
    </row>
    <row r="49" spans="1:21" s="48" customFormat="1" ht="33" customHeight="1" thickBot="1" x14ac:dyDescent="0.25">
      <c r="A49" s="1306" t="s">
        <v>39</v>
      </c>
      <c r="B49" s="1307"/>
      <c r="C49" s="90" t="e">
        <f>+AVERAGE(E33,E24)</f>
        <v>#DIV/0!</v>
      </c>
      <c r="D49" s="91" t="e">
        <f>+AVERAGE(H33,H24)</f>
        <v>#DIV/0!</v>
      </c>
      <c r="E49" s="92" t="e">
        <f>+AVERAGE(J33,J24)</f>
        <v>#DIV/0!</v>
      </c>
      <c r="G49" s="1308" t="s">
        <v>71</v>
      </c>
      <c r="H49" s="1309"/>
      <c r="I49" s="422" t="e">
        <f>I48*((0.0001)^2+(0.001*I20/2)^2+(-0.0034*D20/2)^2+(-0.01*G20/2)^2)^0.5</f>
        <v>#DIV/0!</v>
      </c>
      <c r="J49" s="66" t="s">
        <v>73</v>
      </c>
    </row>
    <row r="50" spans="1:21" s="48" customFormat="1" ht="36.75" customHeight="1" thickBot="1" x14ac:dyDescent="0.25">
      <c r="A50" s="1343" t="s">
        <v>322</v>
      </c>
      <c r="B50" s="1344"/>
      <c r="C50" s="84" t="e">
        <f>C49+(VLOOKUP(J19,'DATOS %'!J174:W180,9,FALSE))*C49+(VLOOKUP(J19,'DATOS %'!J174:W180,10,FALSE))</f>
        <v>#DIV/0!</v>
      </c>
      <c r="D50" s="85" t="e">
        <f>D49+(VLOOKUP(J19,'DATOS %'!J174:W180,11,FALSE))*D49+(VLOOKUP(J19,'DATOS %'!J174:W180,12,FALSE))</f>
        <v>#DIV/0!</v>
      </c>
      <c r="E50" s="86" t="e">
        <f>E49+(VLOOKUP(J19,'DATOS %'!J174:W180,13,FALSE))*E49+(VLOOKUP(J19,'DATOS %'!J174:W180,14,FALSE))</f>
        <v>#DIV/0!</v>
      </c>
      <c r="G50" s="1341" t="s">
        <v>72</v>
      </c>
      <c r="H50" s="1342"/>
      <c r="I50" s="67">
        <v>1.2</v>
      </c>
      <c r="J50" s="66" t="s">
        <v>73</v>
      </c>
    </row>
    <row r="51" spans="1:21" s="46" customFormat="1" ht="15" customHeight="1" thickBot="1" x14ac:dyDescent="0.25">
      <c r="A51" s="47"/>
      <c r="B51" s="47"/>
      <c r="C51" s="47"/>
      <c r="D51" s="47"/>
      <c r="E51" s="47"/>
      <c r="F51" s="47"/>
      <c r="G51" s="47"/>
      <c r="H51" s="47"/>
      <c r="I51" s="47"/>
      <c r="J51" s="47"/>
      <c r="K51" s="48"/>
    </row>
    <row r="52" spans="1:21" s="48" customFormat="1" ht="31.5" customHeight="1" thickBot="1" x14ac:dyDescent="0.25">
      <c r="A52" s="1331" t="s">
        <v>40</v>
      </c>
      <c r="B52" s="1332"/>
      <c r="C52" s="1332"/>
      <c r="D52" s="1332"/>
      <c r="E52" s="1332"/>
      <c r="F52" s="1332"/>
      <c r="G52" s="1332"/>
      <c r="H52" s="1332"/>
      <c r="I52" s="1332"/>
      <c r="J52" s="1333"/>
    </row>
    <row r="53" spans="1:21" s="48" customFormat="1" ht="31.5" customHeight="1" x14ac:dyDescent="0.35">
      <c r="A53" s="47"/>
      <c r="B53" s="68" t="s">
        <v>41</v>
      </c>
      <c r="C53" s="69"/>
      <c r="D53" s="1345" t="s">
        <v>74</v>
      </c>
      <c r="E53" s="1345"/>
      <c r="F53" s="70" t="s">
        <v>42</v>
      </c>
      <c r="G53" s="71" t="s">
        <v>43</v>
      </c>
      <c r="H53" s="1346" t="s">
        <v>44</v>
      </c>
      <c r="I53" s="1347"/>
      <c r="J53" s="47"/>
    </row>
    <row r="54" spans="1:21" s="48" customFormat="1" ht="31.5" customHeight="1" thickBot="1" x14ac:dyDescent="0.25">
      <c r="A54" s="47"/>
      <c r="B54" s="72" t="e">
        <f>+C43</f>
        <v>#DIV/0!</v>
      </c>
      <c r="C54" s="73" t="s">
        <v>3</v>
      </c>
      <c r="D54" s="74" t="e">
        <f>+C10+C11/1000</f>
        <v>#N/A</v>
      </c>
      <c r="E54" s="73" t="s">
        <v>3</v>
      </c>
      <c r="F54" s="939" t="e">
        <f>+(I48-I50)*(1/H10-1/C13)</f>
        <v>#DIV/0!</v>
      </c>
      <c r="G54" s="75"/>
      <c r="H54" s="938" t="e">
        <f>+(B54+D54*F54)*1000</f>
        <v>#DIV/0!</v>
      </c>
      <c r="I54" s="66" t="s">
        <v>3</v>
      </c>
      <c r="J54" s="47"/>
      <c r="K54" s="46"/>
    </row>
    <row r="55" spans="1:21" s="46" customFormat="1" ht="15" customHeight="1" x14ac:dyDescent="0.2">
      <c r="A55" s="47"/>
      <c r="B55" s="47"/>
      <c r="C55" s="47"/>
      <c r="D55" s="47"/>
      <c r="E55" s="47"/>
      <c r="F55" s="47"/>
      <c r="G55" s="47"/>
      <c r="H55" s="47"/>
      <c r="I55" s="47"/>
      <c r="J55" s="47"/>
      <c r="K55" s="48"/>
    </row>
    <row r="56" spans="1:21" s="48" customFormat="1" ht="31.5" customHeight="1" x14ac:dyDescent="0.2">
      <c r="A56" s="1348" t="s">
        <v>45</v>
      </c>
      <c r="B56" s="1349"/>
      <c r="C56" s="1349"/>
      <c r="D56" s="1349"/>
      <c r="E56" s="1349"/>
      <c r="F56" s="1349"/>
      <c r="G56" s="1349"/>
      <c r="H56" s="1349"/>
      <c r="I56" s="1349"/>
      <c r="J56" s="1349"/>
      <c r="K56" s="46"/>
    </row>
    <row r="57" spans="1:21" s="46" customFormat="1" ht="15" customHeight="1" thickBot="1" x14ac:dyDescent="0.25">
      <c r="A57" s="47"/>
      <c r="B57" s="47"/>
      <c r="C57" s="47"/>
      <c r="D57" s="47"/>
      <c r="E57" s="47"/>
      <c r="K57" s="48"/>
    </row>
    <row r="58" spans="1:21" s="48" customFormat="1" ht="31.5" customHeight="1" thickBot="1" x14ac:dyDescent="0.25">
      <c r="A58" s="1350" t="s">
        <v>38</v>
      </c>
      <c r="B58" s="1351"/>
      <c r="C58" s="1352" t="s">
        <v>46</v>
      </c>
      <c r="D58" s="1353"/>
      <c r="E58" s="1354" t="s">
        <v>238</v>
      </c>
      <c r="F58" s="1379"/>
      <c r="G58" s="1061" t="s">
        <v>553</v>
      </c>
      <c r="J58" s="114"/>
      <c r="L58" s="46"/>
      <c r="Q58" s="47"/>
      <c r="R58" s="47"/>
      <c r="S58" s="47"/>
      <c r="T58" s="47"/>
      <c r="U58" s="47"/>
    </row>
    <row r="59" spans="1:21" s="48" customFormat="1" ht="57.95" customHeight="1" thickBot="1" x14ac:dyDescent="0.25">
      <c r="A59" s="1024" t="s">
        <v>47</v>
      </c>
      <c r="B59" s="1025"/>
      <c r="C59" s="1026" t="e">
        <f>+C44/B26^0.5*1000</f>
        <v>#DIV/0!</v>
      </c>
      <c r="D59" s="1017" t="s">
        <v>3</v>
      </c>
      <c r="E59" s="1027" t="s">
        <v>240</v>
      </c>
      <c r="F59" s="139">
        <f>$B$26-1</f>
        <v>3</v>
      </c>
      <c r="G59" s="1111" t="e">
        <f>(C59/$G$70)^2</f>
        <v>#DIV/0!</v>
      </c>
      <c r="H59" s="47"/>
      <c r="K59" s="156">
        <v>0.3</v>
      </c>
      <c r="L59" s="157">
        <v>1.65</v>
      </c>
      <c r="M59" s="113"/>
    </row>
    <row r="60" spans="1:21" s="48" customFormat="1" ht="57.95" customHeight="1" thickBot="1" x14ac:dyDescent="0.25">
      <c r="A60" s="1019" t="s">
        <v>343</v>
      </c>
      <c r="B60" s="1020" t="s">
        <v>48</v>
      </c>
      <c r="C60" s="1021" t="e">
        <f>+C12/2</f>
        <v>#N/A</v>
      </c>
      <c r="D60" s="1022" t="s">
        <v>3</v>
      </c>
      <c r="E60" s="1023" t="s">
        <v>239</v>
      </c>
      <c r="F60" s="146" t="s">
        <v>265</v>
      </c>
      <c r="G60" s="1112"/>
      <c r="H60" s="1380" t="s">
        <v>241</v>
      </c>
      <c r="I60" s="1356"/>
      <c r="J60" s="1356"/>
      <c r="K60" s="1356"/>
      <c r="L60" s="1356"/>
      <c r="M60" s="1357"/>
    </row>
    <row r="61" spans="1:21" s="48" customFormat="1" ht="57.95" customHeight="1" thickBot="1" x14ac:dyDescent="0.25">
      <c r="A61" s="1028" t="s">
        <v>344</v>
      </c>
      <c r="B61" s="1029"/>
      <c r="C61" s="1030" t="e">
        <f>+C12/3^0.5</f>
        <v>#N/A</v>
      </c>
      <c r="D61" s="1031" t="s">
        <v>3</v>
      </c>
      <c r="E61" s="1032" t="s">
        <v>239</v>
      </c>
      <c r="F61" s="147" t="s">
        <v>265</v>
      </c>
      <c r="G61" s="1112"/>
      <c r="H61" s="132" t="s">
        <v>243</v>
      </c>
      <c r="I61" s="149" t="e">
        <f>MAX(C59:C62,C66:C67,C68)</f>
        <v>#DIV/0!</v>
      </c>
      <c r="J61" s="151" t="e">
        <f>IF((I62)&lt;=(K59),"1,65","2")</f>
        <v>#DIV/0!</v>
      </c>
      <c r="K61" s="152" t="s">
        <v>242</v>
      </c>
      <c r="L61" s="153" t="s">
        <v>237</v>
      </c>
      <c r="M61" s="360" t="s">
        <v>328</v>
      </c>
    </row>
    <row r="62" spans="1:21" s="48" customFormat="1" ht="57.95" customHeight="1" thickBot="1" x14ac:dyDescent="0.3">
      <c r="A62" s="1024" t="s">
        <v>49</v>
      </c>
      <c r="B62" s="1035"/>
      <c r="C62" s="1036" t="e">
        <f>+SQRT(SUMSQ(C60:C61))</f>
        <v>#N/A</v>
      </c>
      <c r="D62" s="1017" t="s">
        <v>3</v>
      </c>
      <c r="E62" s="1037" t="s">
        <v>240</v>
      </c>
      <c r="F62" s="139">
        <v>200</v>
      </c>
      <c r="G62" s="1112" t="e">
        <f t="shared" ref="G62:G68" si="0">(C62/$G$70)^2</f>
        <v>#N/A</v>
      </c>
      <c r="H62" s="133" t="s">
        <v>244</v>
      </c>
      <c r="I62" s="150" t="e">
        <f>SQRT((C59)^2+(C66)^2+(C67)^2+(C68)^2)/I61</f>
        <v>#DIV/0!</v>
      </c>
      <c r="J62" s="126"/>
      <c r="K62" s="154" t="s">
        <v>242</v>
      </c>
      <c r="L62" s="155" t="s">
        <v>252</v>
      </c>
      <c r="M62" s="361" t="s">
        <v>329</v>
      </c>
    </row>
    <row r="63" spans="1:21" s="48" customFormat="1" ht="57.95" customHeight="1" x14ac:dyDescent="0.2">
      <c r="A63" s="1019" t="s">
        <v>345</v>
      </c>
      <c r="B63" s="1020"/>
      <c r="C63" s="1033" t="e">
        <f>+I49</f>
        <v>#DIV/0!</v>
      </c>
      <c r="D63" s="1021" t="s">
        <v>73</v>
      </c>
      <c r="E63" s="1034" t="s">
        <v>239</v>
      </c>
      <c r="F63" s="146" t="s">
        <v>265</v>
      </c>
      <c r="G63" s="1112"/>
      <c r="L63" s="46"/>
      <c r="T63" s="46"/>
      <c r="U63" s="46"/>
    </row>
    <row r="64" spans="1:21" s="48" customFormat="1" ht="57.95" customHeight="1" x14ac:dyDescent="0.2">
      <c r="A64" s="426" t="s">
        <v>50</v>
      </c>
      <c r="B64" s="1018"/>
      <c r="C64" s="425" t="e">
        <f>+H11/2</f>
        <v>#N/A</v>
      </c>
      <c r="D64" s="424" t="s">
        <v>73</v>
      </c>
      <c r="E64" s="423" t="s">
        <v>239</v>
      </c>
      <c r="F64" s="148" t="s">
        <v>265</v>
      </c>
      <c r="G64" s="1112"/>
      <c r="H64" s="130"/>
      <c r="J64" s="130"/>
      <c r="K64" s="130"/>
      <c r="L64" s="130"/>
      <c r="M64" s="130"/>
      <c r="Q64" s="47"/>
      <c r="R64" s="47"/>
      <c r="S64" s="47"/>
      <c r="T64" s="47"/>
      <c r="U64" s="47"/>
    </row>
    <row r="65" spans="1:21" s="48" customFormat="1" ht="57.95" customHeight="1" thickBot="1" x14ac:dyDescent="0.25">
      <c r="A65" s="1028" t="s">
        <v>346</v>
      </c>
      <c r="B65" s="1038"/>
      <c r="C65" s="1039" t="e">
        <f>+C14/2</f>
        <v>#N/A</v>
      </c>
      <c r="D65" s="1031" t="s">
        <v>73</v>
      </c>
      <c r="E65" s="1040" t="s">
        <v>239</v>
      </c>
      <c r="F65" s="147" t="s">
        <v>265</v>
      </c>
      <c r="G65" s="1112"/>
      <c r="H65" s="130"/>
      <c r="I65" s="130"/>
      <c r="J65" s="130"/>
      <c r="K65" s="130"/>
      <c r="L65" s="130"/>
      <c r="M65" s="130"/>
      <c r="Q65" s="46"/>
      <c r="R65" s="46"/>
      <c r="S65" s="46"/>
      <c r="T65" s="46"/>
      <c r="U65" s="46"/>
    </row>
    <row r="66" spans="1:21" s="48" customFormat="1" ht="57.95" customHeight="1" thickBot="1" x14ac:dyDescent="0.3">
      <c r="A66" s="1024" t="s">
        <v>347</v>
      </c>
      <c r="B66" s="1035"/>
      <c r="C66" s="1036" t="e">
        <f>+SQRT(ABS(((C10/1000+C11/1000000)*(C13-H10)/(C13*H10)*C63)^2+((C10/1000+C11/1000000)*(I48-I50))^2*C64^2/H10^4+(C10/1000+C11/1000000)^2*(I48-I50)*((I48-I50)-2*(C15-I50))*C65^2/C13^4))*1000000</f>
        <v>#N/A</v>
      </c>
      <c r="D66" s="1051" t="s">
        <v>3</v>
      </c>
      <c r="E66" s="1037" t="s">
        <v>240</v>
      </c>
      <c r="F66" s="139">
        <v>200</v>
      </c>
      <c r="G66" s="1112" t="e">
        <f t="shared" si="0"/>
        <v>#N/A</v>
      </c>
      <c r="H66" s="130"/>
      <c r="I66" s="1093" t="s">
        <v>554</v>
      </c>
      <c r="J66" s="1095" t="s">
        <v>556</v>
      </c>
      <c r="K66" s="1094" t="s">
        <v>555</v>
      </c>
      <c r="L66" s="130"/>
      <c r="M66" s="130"/>
      <c r="Q66" s="47"/>
      <c r="R66" s="47"/>
      <c r="S66" s="47"/>
      <c r="T66" s="47"/>
      <c r="U66" s="47"/>
    </row>
    <row r="67" spans="1:21" s="48" customFormat="1" ht="57.95" customHeight="1" thickBot="1" x14ac:dyDescent="0.3">
      <c r="A67" s="1047" t="s">
        <v>52</v>
      </c>
      <c r="B67" s="1048"/>
      <c r="C67" s="1049" t="e">
        <f>+(G15/2/3^0.5)*2^0.5*1000</f>
        <v>#N/A</v>
      </c>
      <c r="D67" s="1044" t="s">
        <v>3</v>
      </c>
      <c r="E67" s="1045" t="s">
        <v>239</v>
      </c>
      <c r="F67" s="1050">
        <v>200</v>
      </c>
      <c r="G67" s="1112" t="e">
        <f t="shared" si="0"/>
        <v>#N/A</v>
      </c>
      <c r="H67" s="130"/>
      <c r="I67" s="1096" t="e">
        <f>G70^4/((C59^4/F59)+(C62^4/F62)+(C66^4/F66)+(C67^4/F67)+(C68^4/F68))</f>
        <v>#DIV/0!</v>
      </c>
      <c r="J67" s="1097" t="e">
        <f>TINV(0.05,I67)</f>
        <v>#DIV/0!</v>
      </c>
      <c r="K67" s="1098" t="e">
        <f>1-TDIST(J67,I67,2)</f>
        <v>#DIV/0!</v>
      </c>
      <c r="L67" s="130"/>
      <c r="M67" s="130"/>
    </row>
    <row r="68" spans="1:21" s="46" customFormat="1" ht="65.25" customHeight="1" thickBot="1" x14ac:dyDescent="0.3">
      <c r="A68" s="1041" t="s">
        <v>552</v>
      </c>
      <c r="B68" s="1042"/>
      <c r="C68" s="1043">
        <f>0.01/SQRT(45)</f>
        <v>1.4907119849998597E-3</v>
      </c>
      <c r="D68" s="1044" t="s">
        <v>3</v>
      </c>
      <c r="E68" s="1045" t="s">
        <v>240</v>
      </c>
      <c r="F68" s="1046">
        <v>50</v>
      </c>
      <c r="G68" s="1113" t="e">
        <f t="shared" si="0"/>
        <v>#DIV/0!</v>
      </c>
      <c r="H68" s="130"/>
      <c r="I68" s="130"/>
      <c r="J68" s="130"/>
      <c r="K68" s="130"/>
      <c r="L68" s="130"/>
      <c r="M68" s="130"/>
      <c r="S68" s="48"/>
      <c r="T68" s="48"/>
      <c r="U68" s="48"/>
    </row>
    <row r="69" spans="1:21" s="46" customFormat="1" ht="65.25" customHeight="1" thickBot="1" x14ac:dyDescent="0.25">
      <c r="A69" s="130"/>
      <c r="B69" s="130"/>
      <c r="C69" s="130"/>
      <c r="D69" s="130"/>
      <c r="E69" s="130"/>
      <c r="F69" s="130"/>
      <c r="G69" s="1114" t="e">
        <f>SUM(G59,G62,G66,G67,G68)</f>
        <v>#DIV/0!</v>
      </c>
      <c r="H69" s="130"/>
      <c r="I69" s="130"/>
      <c r="J69" s="130"/>
      <c r="K69" s="130"/>
      <c r="L69" s="130"/>
      <c r="M69" s="130"/>
      <c r="S69" s="48"/>
      <c r="T69" s="48"/>
      <c r="U69" s="48"/>
    </row>
    <row r="70" spans="1:21" s="106" customFormat="1" ht="51.75" customHeight="1" thickBot="1" x14ac:dyDescent="0.3">
      <c r="D70" s="1306" t="s">
        <v>51</v>
      </c>
      <c r="E70" s="1307"/>
      <c r="F70" s="134"/>
      <c r="G70" s="140" t="e">
        <f>+SQRT(SUMSQ(C59,C62,C66,C67,C68))</f>
        <v>#DIV/0!</v>
      </c>
      <c r="H70" s="136" t="s">
        <v>3</v>
      </c>
      <c r="K70" s="130"/>
      <c r="L70" s="130"/>
      <c r="M70" s="130"/>
      <c r="S70" s="48"/>
      <c r="T70" s="48"/>
      <c r="U70" s="48"/>
    </row>
    <row r="71" spans="1:21" s="106" customFormat="1" ht="35.1" customHeight="1" thickBot="1" x14ac:dyDescent="0.25">
      <c r="D71" s="1306" t="s">
        <v>53</v>
      </c>
      <c r="E71" s="1307"/>
      <c r="F71" s="135"/>
      <c r="G71" s="140" t="e">
        <f>+G70*2</f>
        <v>#DIV/0!</v>
      </c>
      <c r="H71" s="137" t="s">
        <v>3</v>
      </c>
      <c r="K71" s="110"/>
      <c r="L71" s="107"/>
      <c r="O71" s="48"/>
      <c r="P71" s="48"/>
      <c r="Q71" s="48"/>
      <c r="R71" s="48"/>
      <c r="S71" s="48"/>
      <c r="T71" s="48"/>
      <c r="U71" s="48"/>
    </row>
    <row r="72" spans="1:21" s="106" customFormat="1" ht="33.75" customHeight="1" thickBot="1" x14ac:dyDescent="4.45">
      <c r="B72" s="1313" t="s">
        <v>54</v>
      </c>
      <c r="C72" s="1314"/>
      <c r="D72" s="1314"/>
      <c r="E72" s="1314"/>
      <c r="F72" s="1314"/>
      <c r="G72" s="1314"/>
      <c r="H72" s="1314"/>
      <c r="I72" s="1314"/>
      <c r="J72" s="1314"/>
      <c r="K72" s="1315"/>
      <c r="L72" s="117"/>
      <c r="O72" s="48"/>
      <c r="P72" s="48"/>
      <c r="Q72" s="48"/>
      <c r="R72" s="48"/>
      <c r="S72" s="48"/>
      <c r="T72" s="48"/>
      <c r="U72" s="48"/>
    </row>
    <row r="73" spans="1:21" s="106" customFormat="1" ht="35.1" customHeight="1" thickBot="1" x14ac:dyDescent="0.25">
      <c r="B73" s="1368" t="s">
        <v>255</v>
      </c>
      <c r="C73" s="1369"/>
      <c r="D73" s="1369"/>
      <c r="E73" s="1370"/>
      <c r="F73" s="79"/>
      <c r="G73" s="80"/>
      <c r="H73" s="1371"/>
      <c r="I73" s="1372"/>
      <c r="J73" s="1372"/>
      <c r="K73" s="1373"/>
      <c r="O73" s="48"/>
      <c r="P73" s="48"/>
      <c r="Q73" s="48"/>
      <c r="R73" s="48"/>
      <c r="S73" s="48"/>
      <c r="T73" s="48"/>
      <c r="U73" s="48"/>
    </row>
    <row r="74" spans="1:21" s="106" customFormat="1" ht="40.5" customHeight="1" x14ac:dyDescent="0.2">
      <c r="B74" s="118"/>
      <c r="C74" s="362" t="s">
        <v>348</v>
      </c>
      <c r="D74" s="119" t="s">
        <v>253</v>
      </c>
      <c r="E74" s="120"/>
      <c r="F74" s="1358"/>
      <c r="G74" s="1358"/>
      <c r="H74" s="1359" t="s">
        <v>266</v>
      </c>
      <c r="I74" s="1381" t="s">
        <v>254</v>
      </c>
      <c r="J74" s="1381"/>
      <c r="K74" s="1382"/>
      <c r="O74" s="48"/>
      <c r="P74" s="48"/>
      <c r="Q74" s="48"/>
      <c r="R74" s="48"/>
      <c r="S74" s="48"/>
      <c r="T74" s="48"/>
      <c r="U74" s="48"/>
    </row>
    <row r="75" spans="1:21" s="106" customFormat="1" ht="35.1" customHeight="1" x14ac:dyDescent="0.2">
      <c r="B75" s="927" t="e">
        <f>C10</f>
        <v>#N/A</v>
      </c>
      <c r="C75" s="77" t="e">
        <f>C11</f>
        <v>#N/A</v>
      </c>
      <c r="D75" s="78" t="e">
        <f>H54</f>
        <v>#DIV/0!</v>
      </c>
      <c r="E75" s="940" t="e">
        <f>B75+(C75/1000)+(D75/1000)</f>
        <v>#N/A</v>
      </c>
      <c r="F75" s="264" t="e">
        <f>E75*1000-B75*1000</f>
        <v>#N/A</v>
      </c>
      <c r="G75" s="61"/>
      <c r="H75" s="1360"/>
      <c r="I75" s="285" t="e">
        <f>G71</f>
        <v>#DIV/0!</v>
      </c>
      <c r="J75" s="1364"/>
      <c r="K75" s="1365"/>
      <c r="O75" s="48"/>
      <c r="P75" s="48"/>
      <c r="Q75" s="48"/>
      <c r="R75" s="48"/>
      <c r="S75" s="48"/>
      <c r="T75" s="48"/>
      <c r="U75" s="48"/>
    </row>
    <row r="76" spans="1:21" s="106" customFormat="1" ht="35.1" customHeight="1" thickBot="1" x14ac:dyDescent="0.25">
      <c r="B76" s="928" t="e">
        <f>B75</f>
        <v>#N/A</v>
      </c>
      <c r="C76" s="88" t="e">
        <f>C75</f>
        <v>#N/A</v>
      </c>
      <c r="D76" s="88" t="e">
        <f>D75</f>
        <v>#DIV/0!</v>
      </c>
      <c r="E76" s="262" t="e">
        <f>B76+(C76/1000)+(D76/1000)</f>
        <v>#N/A</v>
      </c>
      <c r="F76" s="281" t="e">
        <f>F75/1000</f>
        <v>#N/A</v>
      </c>
      <c r="G76" s="89"/>
      <c r="H76" s="1361"/>
      <c r="I76" s="284" t="e">
        <f>I75/1000</f>
        <v>#DIV/0!</v>
      </c>
      <c r="J76" s="1366"/>
      <c r="K76" s="1367"/>
      <c r="O76" s="48"/>
      <c r="P76" s="48"/>
      <c r="Q76" s="48"/>
      <c r="R76" s="48"/>
      <c r="S76" s="48"/>
      <c r="T76" s="48"/>
      <c r="U76" s="48"/>
    </row>
    <row r="77" spans="1:21" s="106" customFormat="1" ht="35.1" customHeight="1" x14ac:dyDescent="0.2">
      <c r="G77" s="47"/>
      <c r="H77" s="47"/>
      <c r="I77" s="47"/>
      <c r="J77" s="47"/>
      <c r="O77" s="48"/>
      <c r="P77" s="48"/>
      <c r="Q77" s="48"/>
      <c r="R77" s="48"/>
      <c r="S77" s="48"/>
      <c r="T77" s="48"/>
      <c r="U77" s="48"/>
    </row>
    <row r="78" spans="1:21" s="106" customFormat="1" ht="35.1" customHeight="1" x14ac:dyDescent="0.2">
      <c r="G78" s="47"/>
      <c r="H78" s="47"/>
      <c r="I78" s="47"/>
      <c r="J78" s="47"/>
      <c r="O78" s="48"/>
      <c r="P78" s="48"/>
      <c r="Q78" s="48"/>
      <c r="R78" s="48"/>
      <c r="S78" s="48"/>
      <c r="T78" s="48"/>
      <c r="U78" s="48"/>
    </row>
    <row r="79" spans="1:21" s="106" customFormat="1" ht="35.1" customHeight="1" x14ac:dyDescent="0.2">
      <c r="G79" s="47"/>
      <c r="H79" s="47"/>
      <c r="I79" s="47"/>
      <c r="J79" s="47"/>
    </row>
    <row r="80" spans="1:21" s="107" customFormat="1" ht="9.9499999999999993" customHeight="1" x14ac:dyDescent="0.2">
      <c r="A80" s="109"/>
      <c r="B80" s="106"/>
      <c r="C80" s="106"/>
      <c r="D80" s="106"/>
      <c r="E80" s="106"/>
      <c r="F80" s="106"/>
      <c r="G80" s="47"/>
      <c r="H80" s="47"/>
    </row>
    <row r="81" spans="2:11" s="111" customFormat="1" ht="35.1" customHeight="1" x14ac:dyDescent="0.2">
      <c r="B81" s="106"/>
      <c r="C81" s="106"/>
      <c r="D81" s="106"/>
      <c r="E81" s="106"/>
      <c r="F81" s="106"/>
      <c r="G81" s="47"/>
      <c r="H81" s="47"/>
    </row>
    <row r="82" spans="2:11" s="106" customFormat="1" ht="61.5" customHeight="1" x14ac:dyDescent="0.2">
      <c r="H82" s="111"/>
      <c r="I82" s="111"/>
      <c r="J82" s="111"/>
      <c r="K82" s="108"/>
    </row>
    <row r="83" spans="2:11" s="106" customFormat="1" ht="35.1" customHeight="1" x14ac:dyDescent="0.2">
      <c r="G83" s="111"/>
      <c r="H83" s="111"/>
      <c r="I83" s="111"/>
      <c r="J83" s="111"/>
      <c r="K83" s="108"/>
    </row>
    <row r="84" spans="2:11" s="106" customFormat="1" ht="35.1" customHeight="1" x14ac:dyDescent="0.2">
      <c r="G84" s="111"/>
      <c r="H84" s="111"/>
      <c r="I84" s="111"/>
      <c r="J84" s="111"/>
      <c r="K84" s="108"/>
    </row>
    <row r="85" spans="2:11" s="106" customFormat="1" ht="35.1" customHeight="1" x14ac:dyDescent="0.2">
      <c r="F85" s="107"/>
      <c r="K85" s="108"/>
    </row>
    <row r="86" spans="2:11" s="106" customFormat="1" ht="50.1" customHeight="1" x14ac:dyDescent="0.2"/>
    <row r="87" spans="2:11" s="106" customFormat="1" ht="57.75" customHeight="1" x14ac:dyDescent="0.2">
      <c r="C87" s="112"/>
      <c r="D87" s="112"/>
      <c r="E87" s="112"/>
    </row>
    <row r="88" spans="2:11" s="106" customFormat="1" ht="35.1" customHeight="1" x14ac:dyDescent="0.2"/>
    <row r="89" spans="2:11" s="106" customFormat="1" ht="35.1" customHeight="1" x14ac:dyDescent="0.2">
      <c r="F89" s="108"/>
      <c r="G89" s="108"/>
      <c r="H89" s="108"/>
      <c r="I89" s="108"/>
      <c r="J89" s="108"/>
    </row>
    <row r="90" spans="2:11" s="106" customFormat="1" ht="35.1" customHeight="1" x14ac:dyDescent="0.2"/>
    <row r="91" spans="2:11" s="106" customFormat="1" ht="50.1" customHeight="1" x14ac:dyDescent="0.2">
      <c r="J91" s="47"/>
    </row>
    <row r="92" spans="2:11" s="106" customFormat="1" ht="55.5" customHeight="1" x14ac:dyDescent="0.2">
      <c r="J92" s="111"/>
    </row>
    <row r="93" spans="2:11" s="106" customFormat="1" ht="50.1" customHeight="1" x14ac:dyDescent="0.2">
      <c r="J93" s="111"/>
    </row>
    <row r="94" spans="2:11" s="107" customFormat="1" ht="31.5" customHeight="1" x14ac:dyDescent="0.2">
      <c r="J94" s="111"/>
    </row>
    <row r="95" spans="2:11" s="106" customFormat="1" ht="35.1" customHeight="1" x14ac:dyDescent="0.2">
      <c r="G95" s="111"/>
      <c r="H95" s="111"/>
      <c r="I95" s="111"/>
      <c r="J95" s="111"/>
    </row>
    <row r="96" spans="2:11" s="106" customFormat="1" ht="35.1" customHeight="1" x14ac:dyDescent="0.2">
      <c r="G96" s="111"/>
      <c r="H96" s="111"/>
      <c r="I96" s="111"/>
      <c r="J96" s="111"/>
    </row>
    <row r="97" spans="1:12" s="106" customFormat="1" ht="9.9499999999999993" customHeight="1" x14ac:dyDescent="0.2">
      <c r="G97" s="108"/>
      <c r="H97" s="108"/>
      <c r="I97" s="108"/>
      <c r="J97" s="108"/>
    </row>
    <row r="98" spans="1:12" s="106" customFormat="1" ht="35.1" customHeight="1" x14ac:dyDescent="0.2">
      <c r="J98" s="108"/>
      <c r="K98" s="108"/>
      <c r="L98" s="108"/>
    </row>
    <row r="99" spans="1:12" s="46" customFormat="1" ht="15" customHeight="1" x14ac:dyDescent="0.2">
      <c r="A99" s="47"/>
      <c r="G99" s="47"/>
      <c r="H99" s="47"/>
      <c r="I99" s="47"/>
      <c r="J99" s="47"/>
      <c r="K99" s="48"/>
    </row>
    <row r="100" spans="1:12" s="48" customFormat="1" ht="31.5" customHeight="1" x14ac:dyDescent="0.2">
      <c r="A100" s="47"/>
      <c r="B100" s="47"/>
      <c r="C100" s="47"/>
      <c r="D100" s="47"/>
      <c r="E100" s="47"/>
      <c r="F100" s="47"/>
      <c r="G100" s="47"/>
      <c r="H100" s="47"/>
      <c r="I100" s="47"/>
      <c r="J100" s="47"/>
    </row>
    <row r="101" spans="1:12" s="48" customFormat="1" ht="31.5" customHeight="1" x14ac:dyDescent="0.2"/>
    <row r="102" spans="1:12" s="48" customFormat="1" ht="31.5" customHeight="1" x14ac:dyDescent="0.2"/>
    <row r="103" spans="1:12" s="48" customFormat="1" ht="52.5" customHeight="1" x14ac:dyDescent="0.2"/>
    <row r="104" spans="1:12" s="48" customFormat="1" ht="31.5" customHeight="1" x14ac:dyDescent="0.2">
      <c r="K104" s="8"/>
    </row>
    <row r="105" spans="1:12" s="48" customFormat="1" ht="31.5" customHeight="1" x14ac:dyDescent="0.2">
      <c r="K105" s="8"/>
    </row>
    <row r="106" spans="1:12" ht="31.5" customHeight="1" x14ac:dyDescent="0.2">
      <c r="G106" s="76"/>
    </row>
    <row r="107" spans="1:12" ht="51" customHeight="1" x14ac:dyDescent="0.2"/>
    <row r="109" spans="1:12" ht="31.5" customHeight="1" x14ac:dyDescent="0.2">
      <c r="B109" s="29"/>
      <c r="C109" s="29"/>
      <c r="D109" s="29"/>
      <c r="E109" s="29"/>
      <c r="F109" s="29"/>
      <c r="G109" s="29"/>
      <c r="H109" s="29"/>
      <c r="I109" s="29"/>
      <c r="J109" s="29"/>
    </row>
    <row r="110" spans="1:12" ht="31.5" customHeight="1" x14ac:dyDescent="0.2">
      <c r="B110" s="29"/>
      <c r="C110" s="29"/>
      <c r="D110" s="29"/>
      <c r="E110" s="29"/>
      <c r="F110" s="29"/>
      <c r="G110" s="29"/>
      <c r="H110" s="29"/>
      <c r="I110" s="29"/>
      <c r="J110" s="29"/>
    </row>
    <row r="111" spans="1:12" ht="31.5" customHeight="1" x14ac:dyDescent="0.2">
      <c r="B111" s="29"/>
      <c r="C111" s="29"/>
      <c r="D111" s="29"/>
      <c r="E111" s="29"/>
      <c r="F111" s="29"/>
      <c r="G111" s="29"/>
      <c r="H111" s="29"/>
      <c r="I111" s="29"/>
      <c r="J111" s="29"/>
    </row>
    <row r="112" spans="1:12" ht="31.5" customHeight="1" x14ac:dyDescent="0.2">
      <c r="B112" s="29"/>
      <c r="C112" s="29"/>
      <c r="D112" s="29"/>
      <c r="E112" s="29"/>
      <c r="F112" s="29"/>
      <c r="G112" s="29"/>
      <c r="H112" s="29"/>
      <c r="I112" s="29"/>
      <c r="J112" s="29"/>
    </row>
    <row r="113" spans="2:10" ht="31.5" customHeight="1" x14ac:dyDescent="0.2">
      <c r="B113" s="29"/>
      <c r="C113" s="29"/>
      <c r="D113" s="29"/>
      <c r="E113" s="29"/>
      <c r="F113" s="29"/>
      <c r="G113" s="29"/>
      <c r="H113" s="29"/>
      <c r="I113" s="29"/>
      <c r="J113" s="29"/>
    </row>
    <row r="114" spans="2:10" ht="31.5" customHeight="1" x14ac:dyDescent="0.2">
      <c r="B114" s="29"/>
      <c r="C114" s="29"/>
      <c r="D114" s="29"/>
      <c r="E114" s="29"/>
      <c r="F114" s="29"/>
      <c r="G114" s="29"/>
      <c r="H114" s="29"/>
      <c r="I114" s="29"/>
      <c r="J114" s="29"/>
    </row>
    <row r="115" spans="2:10" ht="31.5" customHeight="1" x14ac:dyDescent="0.2">
      <c r="B115" s="29"/>
      <c r="C115" s="29"/>
      <c r="D115" s="29"/>
      <c r="E115" s="29"/>
      <c r="F115" s="29"/>
      <c r="G115" s="29"/>
      <c r="H115" s="29"/>
      <c r="I115" s="29"/>
      <c r="J115" s="29"/>
    </row>
  </sheetData>
  <sheetProtection password="CF5C" sheet="1" objects="1" scenarios="1"/>
  <mergeCells count="62">
    <mergeCell ref="D70:E70"/>
    <mergeCell ref="D71:E71"/>
    <mergeCell ref="B72:K72"/>
    <mergeCell ref="B73:E73"/>
    <mergeCell ref="H73:K73"/>
    <mergeCell ref="F74:G74"/>
    <mergeCell ref="H74:H76"/>
    <mergeCell ref="I74:K74"/>
    <mergeCell ref="J75:K75"/>
    <mergeCell ref="J76:K76"/>
    <mergeCell ref="A56:J56"/>
    <mergeCell ref="A58:B58"/>
    <mergeCell ref="C58:D58"/>
    <mergeCell ref="E58:F58"/>
    <mergeCell ref="H60:M60"/>
    <mergeCell ref="A50:B50"/>
    <mergeCell ref="G50:H50"/>
    <mergeCell ref="A52:J52"/>
    <mergeCell ref="D53:E53"/>
    <mergeCell ref="H53:I53"/>
    <mergeCell ref="A49:B49"/>
    <mergeCell ref="G49:H49"/>
    <mergeCell ref="A28:A31"/>
    <mergeCell ref="C33:D33"/>
    <mergeCell ref="F33:G33"/>
    <mergeCell ref="A36:J36"/>
    <mergeCell ref="B38:F38"/>
    <mergeCell ref="H38:J38"/>
    <mergeCell ref="H39:J42"/>
    <mergeCell ref="A46:J46"/>
    <mergeCell ref="A47:B48"/>
    <mergeCell ref="C47:E47"/>
    <mergeCell ref="G48:H48"/>
    <mergeCell ref="A27:B27"/>
    <mergeCell ref="G27:H27"/>
    <mergeCell ref="A14:B14"/>
    <mergeCell ref="A15:B15"/>
    <mergeCell ref="A16:B16"/>
    <mergeCell ref="C16:D16"/>
    <mergeCell ref="A18:J18"/>
    <mergeCell ref="F19:G19"/>
    <mergeCell ref="J19:J20"/>
    <mergeCell ref="A20:B20"/>
    <mergeCell ref="E20:F20"/>
    <mergeCell ref="A22:J22"/>
    <mergeCell ref="C24:D24"/>
    <mergeCell ref="F24:G24"/>
    <mergeCell ref="C26:F26"/>
    <mergeCell ref="G26:H26"/>
    <mergeCell ref="A13:B13"/>
    <mergeCell ref="F13:I13"/>
    <mergeCell ref="A1:B1"/>
    <mergeCell ref="C1:M1"/>
    <mergeCell ref="I3:J4"/>
    <mergeCell ref="A6:D6"/>
    <mergeCell ref="F6:I6"/>
    <mergeCell ref="F9:G9"/>
    <mergeCell ref="A10:B10"/>
    <mergeCell ref="F10:G10"/>
    <mergeCell ref="A11:B11"/>
    <mergeCell ref="F11:G11"/>
    <mergeCell ref="A12:B12"/>
  </mergeCells>
  <printOptions horizontalCentered="1"/>
  <pageMargins left="0.70866141732283472" right="0.70866141732283472" top="0.74803149606299213" bottom="0.74803149606299213" header="0.31496062992125984" footer="0.31496062992125984"/>
  <pageSetup scale="13" orientation="portrait" r:id="rId1"/>
  <headerFooter>
    <oddHeader xml:space="preserve">&amp;C
&amp;16   
</oddHeader>
    <oddFooter xml:space="preserve">&amp;RRT03-F13 Vr.14 (2021-05-21)
</oddFooter>
  </headerFooter>
  <rowBreaks count="1" manualBreakCount="1">
    <brk id="34" max="12" man="1"/>
  </rowBreaks>
  <drawing r:id="rId2"/>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0B00-000000000000}">
          <x14:formula1>
            <xm:f>'DATOS %'!$B$7:$B$40</xm:f>
          </x14:formula1>
          <xm:sqref>I3:J4</xm:sqref>
        </x14:dataValidation>
        <x14:dataValidation type="list" allowBlank="1" showInputMessage="1" showErrorMessage="1" xr:uid="{00000000-0002-0000-0B00-000001000000}">
          <x14:formula1>
            <xm:f>'DATOS %'!$V$161:$V$165</xm:f>
          </x14:formula1>
          <xm:sqref>H25</xm:sqref>
        </x14:dataValidation>
        <x14:dataValidation type="list" allowBlank="1" showInputMessage="1" showErrorMessage="1" xr:uid="{00000000-0002-0000-0B00-000002000000}">
          <x14:formula1>
            <xm:f>'DATOS %'!$V$120:$V$126</xm:f>
          </x14:formula1>
          <xm:sqref>J13</xm:sqref>
        </x14:dataValidation>
        <x14:dataValidation type="list" allowBlank="1" showInputMessage="1" showErrorMessage="1" xr:uid="{00000000-0002-0000-0B00-000003000000}">
          <x14:formula1>
            <xm:f>'DATOS %'!$N$29:$N$113</xm:f>
          </x14:formula1>
          <xm:sqref>E6</xm:sqref>
        </x14:dataValidation>
        <x14:dataValidation type="list" allowBlank="1" showInputMessage="1" showErrorMessage="1" xr:uid="{00000000-0002-0000-0B00-000004000000}">
          <x14:formula1>
            <xm:f>'DATOS %'!$N$121:$N$166</xm:f>
          </x14:formula1>
          <xm:sqref>F48</xm:sqref>
        </x14:dataValidation>
        <x14:dataValidation type="list" allowBlank="1" showInputMessage="1" showErrorMessage="1" xr:uid="{00000000-0002-0000-0B00-000005000000}">
          <x14:formula1>
            <xm:f>'DATOS %'!$J$174:$J$179</xm:f>
          </x14:formula1>
          <xm:sqref>J19:J20</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FF00"/>
  </sheetPr>
  <dimension ref="A1:U115"/>
  <sheetViews>
    <sheetView showGridLines="0" view="pageBreakPreview" topLeftCell="A19" zoomScale="80" zoomScaleNormal="60" zoomScaleSheetLayoutView="80" workbookViewId="0">
      <selection activeCell="C65" sqref="C65"/>
    </sheetView>
  </sheetViews>
  <sheetFormatPr baseColWidth="10" defaultColWidth="11.42578125" defaultRowHeight="31.5" customHeight="1" x14ac:dyDescent="0.2"/>
  <cols>
    <col min="1" max="1" width="14.7109375" style="37" customWidth="1"/>
    <col min="2" max="2" width="12" style="37" customWidth="1"/>
    <col min="3" max="3" width="15.7109375" style="37" customWidth="1"/>
    <col min="4" max="4" width="17" style="37" customWidth="1"/>
    <col min="5" max="5" width="15.5703125" style="37" customWidth="1"/>
    <col min="6" max="6" width="18.5703125" style="37" customWidth="1"/>
    <col min="7" max="7" width="15.7109375" style="37" customWidth="1"/>
    <col min="8" max="8" width="24.42578125" style="37" bestFit="1" customWidth="1"/>
    <col min="9" max="9" width="13.85546875" style="37" bestFit="1" customWidth="1"/>
    <col min="10" max="10" width="13.7109375" style="37" customWidth="1"/>
    <col min="11" max="19" width="11.42578125" style="8"/>
    <col min="20" max="20" width="15.85546875" style="8" bestFit="1" customWidth="1"/>
    <col min="21" max="21" width="14.42578125" style="8" bestFit="1" customWidth="1"/>
    <col min="22" max="16384" width="11.42578125" style="8"/>
  </cols>
  <sheetData>
    <row r="1" spans="1:16" ht="60" customHeight="1" thickBot="1" x14ac:dyDescent="0.25">
      <c r="A1" s="1257"/>
      <c r="B1" s="1258"/>
      <c r="C1" s="1259" t="s">
        <v>57</v>
      </c>
      <c r="D1" s="1260"/>
      <c r="E1" s="1260"/>
      <c r="F1" s="1260"/>
      <c r="G1" s="1260"/>
      <c r="H1" s="1260"/>
      <c r="I1" s="1260"/>
      <c r="J1" s="1260"/>
      <c r="K1" s="1260"/>
      <c r="L1" s="1260"/>
      <c r="M1" s="1261"/>
      <c r="N1" s="7"/>
      <c r="O1" s="7"/>
      <c r="P1" s="7"/>
    </row>
    <row r="2" spans="1:16" s="11" customFormat="1" ht="9.75" customHeight="1" thickBot="1" x14ac:dyDescent="0.25">
      <c r="A2" s="9"/>
      <c r="B2" s="9"/>
      <c r="C2" s="10"/>
      <c r="D2" s="10"/>
      <c r="E2" s="10"/>
      <c r="F2" s="10"/>
      <c r="G2" s="10"/>
      <c r="H2" s="10"/>
      <c r="K2" s="12"/>
      <c r="M2" s="7"/>
    </row>
    <row r="3" spans="1:16" s="12" customFormat="1" ht="35.25" customHeight="1" thickBot="1" x14ac:dyDescent="0.25">
      <c r="A3" s="13" t="s">
        <v>17</v>
      </c>
      <c r="B3" s="14" t="s">
        <v>55</v>
      </c>
      <c r="C3" s="15" t="s">
        <v>209</v>
      </c>
      <c r="D3" s="15" t="s">
        <v>56</v>
      </c>
      <c r="E3" s="15" t="s">
        <v>8</v>
      </c>
      <c r="F3" s="16" t="s">
        <v>18</v>
      </c>
      <c r="G3" s="16" t="s">
        <v>297</v>
      </c>
      <c r="H3" s="17" t="s">
        <v>24</v>
      </c>
      <c r="I3" s="1262"/>
      <c r="J3" s="1263"/>
      <c r="K3" s="11"/>
      <c r="M3" s="7"/>
    </row>
    <row r="4" spans="1:16" s="11" customFormat="1" ht="32.25" customHeight="1" thickBot="1" x14ac:dyDescent="0.25">
      <c r="A4" s="18" t="e">
        <f>VLOOKUP($I$3,'DATOS %'!B7:J29,2,FALSE)</f>
        <v>#N/A</v>
      </c>
      <c r="B4" s="212" t="e">
        <f>VLOOKUP($I$3,'DATOS %'!$B$7:$J$29,3,FALSE)</f>
        <v>#N/A</v>
      </c>
      <c r="C4" s="19" t="e">
        <f>VLOOKUP($I$3,'DATOS %'!$B$7:$J$29,8,FALSE)</f>
        <v>#N/A</v>
      </c>
      <c r="D4" s="19" t="e">
        <f>VLOOKUP($I$3,'DATOS %'!$B$7:$J$29,6,FALSE)</f>
        <v>#N/A</v>
      </c>
      <c r="E4" s="212" t="e">
        <f>VLOOKUP($I$3,'DATOS %'!$B$7:$J$29,7,FALSE)</f>
        <v>#N/A</v>
      </c>
      <c r="F4" s="18" t="e">
        <f>VLOOKUP($I$3,'DATOS %'!$B$7:$J$29,4,FALSE)</f>
        <v>#N/A</v>
      </c>
      <c r="G4" s="18" t="e">
        <f>VLOOKUP($I$3,'DATOS %'!$B$7:$J$29,5,FALSE)</f>
        <v>#N/A</v>
      </c>
      <c r="H4" s="19" t="e">
        <f>VLOOKUP($I$3,'DATOS %'!$B$7:$J$29,9,FALSE)</f>
        <v>#N/A</v>
      </c>
      <c r="I4" s="1264"/>
      <c r="J4" s="1265"/>
      <c r="K4" s="8"/>
      <c r="L4" s="20"/>
      <c r="M4" s="20"/>
    </row>
    <row r="5" spans="1:16" s="22" customFormat="1" ht="6.75" customHeight="1" thickBot="1" x14ac:dyDescent="0.25">
      <c r="A5" s="21"/>
      <c r="B5" s="21"/>
      <c r="C5" s="21"/>
      <c r="F5" s="21"/>
      <c r="G5" s="21"/>
      <c r="H5" s="21"/>
      <c r="K5" s="8"/>
    </row>
    <row r="6" spans="1:16" ht="31.5" customHeight="1" thickBot="1" x14ac:dyDescent="0.25">
      <c r="A6" s="1266" t="s">
        <v>19</v>
      </c>
      <c r="B6" s="1267"/>
      <c r="C6" s="1267"/>
      <c r="D6" s="1268"/>
      <c r="E6" s="4"/>
      <c r="F6" s="1266" t="s">
        <v>20</v>
      </c>
      <c r="G6" s="1267"/>
      <c r="H6" s="1267"/>
      <c r="I6" s="1268"/>
      <c r="J6" s="402">
        <f>I3</f>
        <v>0</v>
      </c>
    </row>
    <row r="7" spans="1:16" ht="31.5" customHeight="1" x14ac:dyDescent="0.2">
      <c r="A7" s="23" t="s">
        <v>21</v>
      </c>
      <c r="B7" s="24" t="e">
        <f>VLOOKUP($E$6,'DATOS %'!N11:AA113,2,FALSE)</f>
        <v>#N/A</v>
      </c>
      <c r="C7" s="25" t="s">
        <v>10</v>
      </c>
      <c r="D7" s="26" t="e">
        <f>VLOOKUP($E$6,'DATOS %'!N11:AA113,3,FALSE)</f>
        <v>#N/A</v>
      </c>
      <c r="E7" s="27"/>
      <c r="F7" s="23" t="s">
        <v>21</v>
      </c>
      <c r="G7" s="24" t="e">
        <f>VLOOKUP($J$6,'DATOS %'!B47:I79,2,FALSE)</f>
        <v>#N/A</v>
      </c>
      <c r="H7" s="28" t="s">
        <v>10</v>
      </c>
      <c r="I7" s="26" t="e">
        <f>VLOOKUP($J$6,'DATOS %'!B47:I79,3,FALSE)</f>
        <v>#N/A</v>
      </c>
      <c r="J7" s="29"/>
    </row>
    <row r="8" spans="1:16" ht="31.5" customHeight="1" x14ac:dyDescent="0.2">
      <c r="A8" s="30" t="s">
        <v>22</v>
      </c>
      <c r="B8" s="31" t="e">
        <f>VLOOKUP($E$6,'DATOS %'!N11:AA113,4,FALSE)</f>
        <v>#N/A</v>
      </c>
      <c r="C8" s="32" t="s">
        <v>23</v>
      </c>
      <c r="D8" s="33" t="e">
        <f>VLOOKUP($E$6,'DATOS %'!N11:AA113,5,FALSE)</f>
        <v>#N/A</v>
      </c>
      <c r="E8" s="27"/>
      <c r="F8" s="30" t="s">
        <v>22</v>
      </c>
      <c r="G8" s="31" t="e">
        <f>VLOOKUP($J$6,'DATOS %'!B47:I79,4,FALSE)</f>
        <v>#N/A</v>
      </c>
      <c r="H8" s="32" t="s">
        <v>23</v>
      </c>
      <c r="I8" s="297" t="e">
        <f>VLOOKUP($J$6,'DATOS %'!B47:I79,5,FALSE)</f>
        <v>#N/A</v>
      </c>
      <c r="J8" s="29"/>
    </row>
    <row r="9" spans="1:16" ht="31.5" customHeight="1" x14ac:dyDescent="0.2">
      <c r="A9" s="34" t="s">
        <v>24</v>
      </c>
      <c r="B9" s="31" t="e">
        <f>VLOOKUP($E$6,'DATOS %'!N11:AA113,6,FALSE)</f>
        <v>#N/A</v>
      </c>
      <c r="C9" s="35" t="s">
        <v>15</v>
      </c>
      <c r="D9" s="36" t="e">
        <f>VLOOKUP($E$6,'DATOS %'!N11:AA113,7,FALSE)</f>
        <v>#N/A</v>
      </c>
      <c r="F9" s="1252" t="s">
        <v>62</v>
      </c>
      <c r="G9" s="1253"/>
      <c r="H9" s="926" t="e">
        <f>(VLOOKUP($J$6,'DATOS %'!B47:I79,6,FALSE))/1000</f>
        <v>#N/A</v>
      </c>
      <c r="I9" s="33" t="s">
        <v>1</v>
      </c>
      <c r="J9" s="29"/>
      <c r="K9" s="208"/>
    </row>
    <row r="10" spans="1:16" s="38" customFormat="1" ht="31.5" customHeight="1" x14ac:dyDescent="0.25">
      <c r="A10" s="1252" t="s">
        <v>63</v>
      </c>
      <c r="B10" s="1253"/>
      <c r="C10" s="926" t="e">
        <f>(VLOOKUP($E$6,'DATOS %'!N11:AA113,8,FALSE))/1000</f>
        <v>#N/A</v>
      </c>
      <c r="D10" s="33" t="s">
        <v>1</v>
      </c>
      <c r="F10" s="1252" t="s">
        <v>64</v>
      </c>
      <c r="G10" s="1253"/>
      <c r="H10" s="213" t="e">
        <f>VLOOKUP($J$6,'DATOS %'!B47:I79,7,FALSE)</f>
        <v>#N/A</v>
      </c>
      <c r="I10" s="33" t="s">
        <v>76</v>
      </c>
      <c r="J10" s="39"/>
    </row>
    <row r="11" spans="1:16" s="38" customFormat="1" ht="31.5" customHeight="1" thickBot="1" x14ac:dyDescent="0.3">
      <c r="A11" s="1252" t="s">
        <v>65</v>
      </c>
      <c r="B11" s="1253"/>
      <c r="C11" s="926" t="e">
        <f>VLOOKUP($E$6,'DATOS %'!N11:AA113,9,FALSE)</f>
        <v>#N/A</v>
      </c>
      <c r="D11" s="33" t="s">
        <v>3</v>
      </c>
      <c r="E11" s="40"/>
      <c r="F11" s="1271" t="s">
        <v>66</v>
      </c>
      <c r="G11" s="1272"/>
      <c r="H11" s="41" t="e">
        <f>VLOOKUP($J$6,'DATOS %'!B47:I79,8,FALSE)</f>
        <v>#N/A</v>
      </c>
      <c r="I11" s="45" t="s">
        <v>76</v>
      </c>
      <c r="J11" s="39"/>
    </row>
    <row r="12" spans="1:16" s="38" customFormat="1" ht="31.5" customHeight="1" thickBot="1" x14ac:dyDescent="0.3">
      <c r="A12" s="1252" t="s">
        <v>67</v>
      </c>
      <c r="B12" s="1253"/>
      <c r="C12" s="31" t="e">
        <f>VLOOKUP($E$6,'DATOS %'!N11:AA113,10,FALSE)</f>
        <v>#N/A</v>
      </c>
      <c r="D12" s="33" t="s">
        <v>3</v>
      </c>
      <c r="E12" s="39"/>
      <c r="F12" s="39"/>
      <c r="G12" s="39"/>
      <c r="H12" s="39"/>
    </row>
    <row r="13" spans="1:16" s="38" customFormat="1" ht="31.5" customHeight="1" thickBot="1" x14ac:dyDescent="0.3">
      <c r="A13" s="1252" t="s">
        <v>68</v>
      </c>
      <c r="B13" s="1253"/>
      <c r="C13" s="213" t="e">
        <f>VLOOKUP($E$6,'DATOS %'!N11:AA113,11,FALSE)</f>
        <v>#N/A</v>
      </c>
      <c r="D13" s="33" t="s">
        <v>76</v>
      </c>
      <c r="E13" s="39"/>
      <c r="F13" s="1254" t="s">
        <v>559</v>
      </c>
      <c r="G13" s="1255"/>
      <c r="H13" s="1255"/>
      <c r="I13" s="1256"/>
      <c r="J13" s="5"/>
    </row>
    <row r="14" spans="1:16" s="38" customFormat="1" ht="31.5" customHeight="1" x14ac:dyDescent="0.2">
      <c r="A14" s="1252" t="s">
        <v>305</v>
      </c>
      <c r="B14" s="1253"/>
      <c r="C14" s="31" t="e">
        <f>VLOOKUP($E$6,'DATOS %'!N11:AA113,12,FALSE)</f>
        <v>#N/A</v>
      </c>
      <c r="D14" s="33" t="s">
        <v>76</v>
      </c>
      <c r="E14" s="39"/>
      <c r="F14" s="23" t="s">
        <v>10</v>
      </c>
      <c r="G14" s="24" t="e">
        <f>VLOOKUP($J$13,'DATOS %'!$V$119:$Y$126,2,FALSE)</f>
        <v>#N/A</v>
      </c>
      <c r="H14" s="28" t="s">
        <v>22</v>
      </c>
      <c r="I14" s="24" t="e">
        <f>VLOOKUP($J$13,'DATOS %'!$V$119:$Z$126,3,FALSE)</f>
        <v>#N/A</v>
      </c>
      <c r="J14" s="42"/>
      <c r="K14" s="8"/>
    </row>
    <row r="15" spans="1:16" ht="31.5" customHeight="1" thickBot="1" x14ac:dyDescent="0.25">
      <c r="A15" s="1277" t="s">
        <v>69</v>
      </c>
      <c r="B15" s="1278"/>
      <c r="C15" s="31" t="e">
        <f>VLOOKUP($E$6,'DATOS %'!N11:AA113,13,FALSE)</f>
        <v>#N/A</v>
      </c>
      <c r="D15" s="33" t="s">
        <v>76</v>
      </c>
      <c r="E15" s="29"/>
      <c r="F15" s="43" t="s">
        <v>61</v>
      </c>
      <c r="G15" s="41" t="e">
        <f>VLOOKUP($J$13,'DATOS %'!$V$119:$Y$126,4,FALSE)</f>
        <v>#N/A</v>
      </c>
      <c r="H15" s="41" t="s">
        <v>1</v>
      </c>
      <c r="I15" s="243" t="s">
        <v>210</v>
      </c>
      <c r="J15" s="45" t="e">
        <f>VLOOKUP($J$13,'DATOS %'!$V$119:$Z$126,5,FALSE)</f>
        <v>#N/A</v>
      </c>
      <c r="K15" s="22"/>
    </row>
    <row r="16" spans="1:16" ht="30.95" customHeight="1" thickBot="1" x14ac:dyDescent="0.25">
      <c r="A16" s="1279" t="s">
        <v>210</v>
      </c>
      <c r="B16" s="1280"/>
      <c r="C16" s="1281" t="e">
        <f>VLOOKUP($E$6,'DATOS %'!N11:AA113,14,FALSE)</f>
        <v>#N/A</v>
      </c>
      <c r="D16" s="1282"/>
      <c r="E16" s="29"/>
      <c r="F16" s="8"/>
      <c r="G16" s="8"/>
      <c r="H16" s="8"/>
      <c r="I16" s="8"/>
      <c r="J16" s="8"/>
    </row>
    <row r="17" spans="1:11" s="22" customFormat="1" ht="30.95" customHeight="1" thickBot="1" x14ac:dyDescent="0.25">
      <c r="A17" s="29"/>
      <c r="B17" s="29"/>
      <c r="C17" s="29"/>
      <c r="D17" s="29"/>
      <c r="E17" s="29"/>
      <c r="F17" s="29"/>
      <c r="G17" s="29"/>
      <c r="H17" s="29"/>
      <c r="I17" s="29"/>
      <c r="J17" s="29"/>
      <c r="K17" s="8"/>
    </row>
    <row r="18" spans="1:11" ht="31.5" customHeight="1" thickBot="1" x14ac:dyDescent="0.25">
      <c r="A18" s="1331" t="s">
        <v>26</v>
      </c>
      <c r="B18" s="1332"/>
      <c r="C18" s="1332"/>
      <c r="D18" s="1332"/>
      <c r="E18" s="1332"/>
      <c r="F18" s="1332"/>
      <c r="G18" s="1332"/>
      <c r="H18" s="1332"/>
      <c r="I18" s="1332"/>
      <c r="J18" s="1333"/>
    </row>
    <row r="19" spans="1:11" ht="46.5" customHeight="1" thickBot="1" x14ac:dyDescent="0.25">
      <c r="A19" s="407" t="s">
        <v>10</v>
      </c>
      <c r="B19" s="101" t="e">
        <f>VLOOKUP(J19,'DATOS %'!J174:W180,2,FALSE)</f>
        <v>#N/A</v>
      </c>
      <c r="C19" s="95" t="s">
        <v>7</v>
      </c>
      <c r="D19" s="408" t="e">
        <f>VLOOKUP(J19,'DATOS %'!J174:W180,3,FALSE)</f>
        <v>#N/A</v>
      </c>
      <c r="E19" s="409" t="s">
        <v>24</v>
      </c>
      <c r="F19" s="1286" t="e">
        <f>VLOOKUP(J19,'DATOS %'!J174:W180,5,FALSE)</f>
        <v>#N/A</v>
      </c>
      <c r="G19" s="1287"/>
      <c r="H19" s="95" t="s">
        <v>25</v>
      </c>
      <c r="I19" s="212" t="e">
        <f>VLOOKUP(J19,'DATOS %'!J174:W180,4,FALSE)</f>
        <v>#N/A</v>
      </c>
      <c r="J19" s="1288"/>
    </row>
    <row r="20" spans="1:11" ht="31.5" customHeight="1" thickBot="1" x14ac:dyDescent="0.25">
      <c r="A20" s="1290" t="s">
        <v>316</v>
      </c>
      <c r="B20" s="1291"/>
      <c r="C20" s="94" t="s">
        <v>27</v>
      </c>
      <c r="D20" s="101" t="e">
        <f>VLOOKUP(J19,'DATOS %'!J174:W180,6,FALSE)</f>
        <v>#N/A</v>
      </c>
      <c r="E20" s="1292" t="s">
        <v>307</v>
      </c>
      <c r="F20" s="1293"/>
      <c r="G20" s="101" t="e">
        <f>VLOOKUP(J19,'DATOS %'!J174:W180,7,FALSE)</f>
        <v>#N/A</v>
      </c>
      <c r="H20" s="95" t="s">
        <v>9</v>
      </c>
      <c r="I20" s="214" t="e">
        <f>VLOOKUP(J19,'DATOS %'!J174:W180,8,FALSE)</f>
        <v>#N/A</v>
      </c>
      <c r="J20" s="1289"/>
    </row>
    <row r="21" spans="1:11" s="46" customFormat="1" ht="15" customHeight="1" thickBot="1" x14ac:dyDescent="0.25">
      <c r="A21" s="47"/>
      <c r="B21" s="47"/>
      <c r="C21" s="47"/>
      <c r="D21" s="47"/>
      <c r="E21" s="47"/>
      <c r="F21" s="47" t="s">
        <v>282</v>
      </c>
      <c r="G21" s="47"/>
      <c r="H21" s="47"/>
      <c r="I21" s="47"/>
      <c r="J21" s="47"/>
      <c r="K21" s="8"/>
    </row>
    <row r="22" spans="1:11" s="48" customFormat="1" ht="31.5" customHeight="1" thickBot="1" x14ac:dyDescent="0.25">
      <c r="A22" s="1294" t="s">
        <v>28</v>
      </c>
      <c r="B22" s="1295"/>
      <c r="C22" s="1295"/>
      <c r="D22" s="1295"/>
      <c r="E22" s="1295"/>
      <c r="F22" s="1295"/>
      <c r="G22" s="1295"/>
      <c r="H22" s="1295"/>
      <c r="I22" s="1295"/>
      <c r="J22" s="1296"/>
      <c r="K22" s="47"/>
    </row>
    <row r="23" spans="1:11" s="47" customFormat="1" ht="2.25" customHeight="1" thickBot="1" x14ac:dyDescent="0.25">
      <c r="A23" s="49"/>
      <c r="B23" s="50"/>
      <c r="C23" s="50"/>
      <c r="D23" s="50"/>
      <c r="E23" s="50"/>
      <c r="F23" s="50"/>
      <c r="G23" s="50"/>
      <c r="H23" s="50"/>
      <c r="I23" s="50"/>
      <c r="J23" s="51"/>
      <c r="K23" s="48"/>
    </row>
    <row r="24" spans="1:11" s="48" customFormat="1" ht="31.5" customHeight="1" thickBot="1" x14ac:dyDescent="0.25">
      <c r="A24" s="52" t="s">
        <v>29</v>
      </c>
      <c r="B24" s="916"/>
      <c r="C24" s="1297" t="s">
        <v>27</v>
      </c>
      <c r="D24" s="1298"/>
      <c r="E24" s="1"/>
      <c r="F24" s="1299" t="s">
        <v>307</v>
      </c>
      <c r="G24" s="1300"/>
      <c r="H24" s="2"/>
      <c r="I24" s="224" t="s">
        <v>9</v>
      </c>
      <c r="J24" s="215"/>
      <c r="K24" s="46"/>
    </row>
    <row r="25" spans="1:11" s="46" customFormat="1" ht="15" customHeight="1" thickBot="1" x14ac:dyDescent="0.25">
      <c r="A25" s="47"/>
      <c r="B25" s="47"/>
      <c r="C25" s="47"/>
      <c r="D25" s="47"/>
      <c r="E25" s="47"/>
      <c r="F25" s="47"/>
      <c r="G25" s="47"/>
      <c r="H25" s="6"/>
      <c r="I25" s="47"/>
      <c r="K25" s="48"/>
    </row>
    <row r="26" spans="1:11" s="48" customFormat="1" ht="29.25" customHeight="1" thickBot="1" x14ac:dyDescent="0.25">
      <c r="A26" s="115" t="s">
        <v>129</v>
      </c>
      <c r="B26" s="105">
        <v>4</v>
      </c>
      <c r="C26" s="1301" t="s">
        <v>30</v>
      </c>
      <c r="D26" s="1302"/>
      <c r="E26" s="1302"/>
      <c r="F26" s="1303"/>
      <c r="G26" s="1304" t="s">
        <v>211</v>
      </c>
      <c r="H26" s="1305"/>
    </row>
    <row r="27" spans="1:11" s="48" customFormat="1" ht="31.5" customHeight="1" thickBot="1" x14ac:dyDescent="0.25">
      <c r="A27" s="1273" t="s">
        <v>31</v>
      </c>
      <c r="B27" s="1274"/>
      <c r="C27" s="525">
        <v>1</v>
      </c>
      <c r="D27" s="525">
        <v>2</v>
      </c>
      <c r="E27" s="525">
        <v>3</v>
      </c>
      <c r="F27" s="129">
        <v>4</v>
      </c>
      <c r="G27" s="1383" t="e">
        <f>VLOOKUP($H$25,'DATOS %'!$V$161:$AA$165,2,FALSE)</f>
        <v>#N/A</v>
      </c>
      <c r="H27" s="1384"/>
    </row>
    <row r="28" spans="1:11" s="48" customFormat="1" ht="31.5" customHeight="1" x14ac:dyDescent="0.2">
      <c r="A28" s="1310" t="s">
        <v>32</v>
      </c>
      <c r="B28" s="141" t="s">
        <v>0</v>
      </c>
      <c r="C28" s="142"/>
      <c r="D28" s="142"/>
      <c r="E28" s="142"/>
      <c r="F28" s="143"/>
      <c r="G28" s="47"/>
      <c r="H28" s="47"/>
      <c r="I28" s="47"/>
      <c r="J28" s="47"/>
    </row>
    <row r="29" spans="1:11" s="48" customFormat="1" ht="31.5" customHeight="1" x14ac:dyDescent="0.2">
      <c r="A29" s="1311"/>
      <c r="B29" s="104" t="s">
        <v>2</v>
      </c>
      <c r="C29" s="127"/>
      <c r="D29" s="127"/>
      <c r="E29" s="127"/>
      <c r="F29" s="128"/>
      <c r="G29" s="47"/>
      <c r="H29" s="47"/>
      <c r="I29" s="47"/>
      <c r="J29" s="47"/>
    </row>
    <row r="30" spans="1:11" s="48" customFormat="1" ht="31.5" customHeight="1" x14ac:dyDescent="0.2">
      <c r="A30" s="1311"/>
      <c r="B30" s="104" t="s">
        <v>2</v>
      </c>
      <c r="C30" s="127"/>
      <c r="D30" s="127"/>
      <c r="E30" s="127"/>
      <c r="F30" s="128"/>
      <c r="G30" s="47"/>
      <c r="H30" s="47"/>
      <c r="I30" s="47"/>
      <c r="J30" s="47"/>
    </row>
    <row r="31" spans="1:11" s="48" customFormat="1" ht="31.5" customHeight="1" thickBot="1" x14ac:dyDescent="0.25">
      <c r="A31" s="1312"/>
      <c r="B31" s="53" t="s">
        <v>0</v>
      </c>
      <c r="C31" s="144"/>
      <c r="D31" s="144"/>
      <c r="E31" s="144"/>
      <c r="F31" s="145"/>
      <c r="G31" s="47"/>
      <c r="H31" s="47"/>
      <c r="I31" s="47"/>
      <c r="J31" s="47"/>
      <c r="K31" s="46"/>
    </row>
    <row r="32" spans="1:11" s="46" customFormat="1" ht="15" customHeight="1" thickBot="1" x14ac:dyDescent="0.25">
      <c r="A32" s="47"/>
      <c r="B32" s="47"/>
      <c r="C32" s="47"/>
      <c r="D32" s="47"/>
      <c r="E32" s="47"/>
      <c r="F32" s="47"/>
      <c r="G32" s="47"/>
      <c r="H32" s="47"/>
      <c r="I32" s="47"/>
      <c r="J32" s="47"/>
      <c r="K32" s="48"/>
    </row>
    <row r="33" spans="1:11" s="48" customFormat="1" ht="31.5" customHeight="1" thickBot="1" x14ac:dyDescent="0.25">
      <c r="A33" s="54" t="s">
        <v>33</v>
      </c>
      <c r="B33" s="916"/>
      <c r="C33" s="1297" t="s">
        <v>27</v>
      </c>
      <c r="D33" s="1298"/>
      <c r="E33" s="1"/>
      <c r="F33" s="1299" t="s">
        <v>307</v>
      </c>
      <c r="G33" s="1300"/>
      <c r="H33" s="2"/>
      <c r="I33" s="225" t="s">
        <v>9</v>
      </c>
      <c r="J33" s="3"/>
      <c r="K33" s="46"/>
    </row>
    <row r="34" spans="1:11" s="46" customFormat="1" ht="12" customHeight="1" x14ac:dyDescent="0.2">
      <c r="A34" s="55"/>
      <c r="B34" s="55"/>
      <c r="C34" s="55"/>
      <c r="D34" s="55"/>
      <c r="E34" s="55"/>
      <c r="F34" s="55"/>
      <c r="G34" s="55"/>
      <c r="H34" s="55"/>
      <c r="I34" s="55"/>
      <c r="J34" s="55"/>
      <c r="K34" s="48"/>
    </row>
    <row r="35" spans="1:11" s="48" customFormat="1" ht="15" customHeight="1" thickBot="1" x14ac:dyDescent="0.25">
      <c r="A35" s="56"/>
      <c r="B35" s="56"/>
      <c r="C35" s="56"/>
      <c r="D35" s="56"/>
      <c r="E35" s="56"/>
      <c r="F35" s="56"/>
      <c r="G35" s="56"/>
      <c r="H35" s="56"/>
      <c r="I35" s="56"/>
      <c r="J35" s="56"/>
    </row>
    <row r="36" spans="1:11" s="48" customFormat="1" ht="32.25" customHeight="1" thickBot="1" x14ac:dyDescent="0.25">
      <c r="A36" s="1294" t="s">
        <v>34</v>
      </c>
      <c r="B36" s="1295"/>
      <c r="C36" s="1295"/>
      <c r="D36" s="1295"/>
      <c r="E36" s="1295"/>
      <c r="F36" s="1295"/>
      <c r="G36" s="1295"/>
      <c r="H36" s="1295"/>
      <c r="I36" s="1295"/>
      <c r="J36" s="1296"/>
    </row>
    <row r="37" spans="1:11" s="48" customFormat="1" ht="3.75" customHeight="1" thickBot="1" x14ac:dyDescent="0.25">
      <c r="A37" s="55"/>
      <c r="B37" s="47"/>
      <c r="C37" s="47"/>
      <c r="D37" s="47"/>
      <c r="E37" s="47"/>
      <c r="F37" s="47"/>
      <c r="G37" s="47"/>
      <c r="H37" s="47"/>
      <c r="I37" s="47"/>
      <c r="J37" s="55"/>
    </row>
    <row r="38" spans="1:11" s="48" customFormat="1" ht="31.5" customHeight="1" thickBot="1" x14ac:dyDescent="0.25">
      <c r="A38" s="47"/>
      <c r="B38" s="1316" t="s">
        <v>35</v>
      </c>
      <c r="C38" s="1317"/>
      <c r="D38" s="1317"/>
      <c r="E38" s="1317"/>
      <c r="F38" s="1318"/>
      <c r="G38" s="47"/>
      <c r="H38" s="1319" t="s">
        <v>236</v>
      </c>
      <c r="I38" s="1320"/>
      <c r="J38" s="1321"/>
    </row>
    <row r="39" spans="1:11" s="48" customFormat="1" ht="31.5" customHeight="1" thickBot="1" x14ac:dyDescent="0.25">
      <c r="A39" s="47"/>
      <c r="B39" s="57" t="s">
        <v>31</v>
      </c>
      <c r="C39" s="203">
        <v>1</v>
      </c>
      <c r="D39" s="141">
        <v>2</v>
      </c>
      <c r="E39" s="141">
        <v>3</v>
      </c>
      <c r="F39" s="204">
        <v>4</v>
      </c>
      <c r="G39" s="47"/>
      <c r="H39" s="1322"/>
      <c r="I39" s="1323"/>
      <c r="J39" s="1324"/>
    </row>
    <row r="40" spans="1:11" s="48" customFormat="1" ht="31.5" customHeight="1" x14ac:dyDescent="0.2">
      <c r="A40" s="58"/>
      <c r="B40" s="59"/>
      <c r="C40" s="250" t="e">
        <f>+AVERAGE(C28,C31)</f>
        <v>#DIV/0!</v>
      </c>
      <c r="D40" s="251" t="e">
        <f>+AVERAGE(D28,D31)</f>
        <v>#DIV/0!</v>
      </c>
      <c r="E40" s="251" t="e">
        <f>+AVERAGE(E28,E31)</f>
        <v>#DIV/0!</v>
      </c>
      <c r="F40" s="252" t="e">
        <f>+AVERAGE(F28,F31)</f>
        <v>#DIV/0!</v>
      </c>
      <c r="G40" s="47"/>
      <c r="H40" s="1325"/>
      <c r="I40" s="1326"/>
      <c r="J40" s="1327"/>
    </row>
    <row r="41" spans="1:11" s="48" customFormat="1" ht="31.5" customHeight="1" x14ac:dyDescent="0.2">
      <c r="A41" s="58"/>
      <c r="B41" s="60"/>
      <c r="C41" s="253" t="e">
        <f>+AVERAGE(C29:C30)</f>
        <v>#DIV/0!</v>
      </c>
      <c r="D41" s="78" t="e">
        <f>+AVERAGE(D29:D30)</f>
        <v>#DIV/0!</v>
      </c>
      <c r="E41" s="78" t="e">
        <f>+AVERAGE(E29:E30)</f>
        <v>#DIV/0!</v>
      </c>
      <c r="F41" s="254" t="e">
        <f>+AVERAGE(F29:F30)</f>
        <v>#DIV/0!</v>
      </c>
      <c r="G41" s="47"/>
      <c r="H41" s="1325"/>
      <c r="I41" s="1326"/>
      <c r="J41" s="1327"/>
    </row>
    <row r="42" spans="1:11" s="48" customFormat="1" ht="31.5" customHeight="1" thickBot="1" x14ac:dyDescent="0.25">
      <c r="A42" s="58"/>
      <c r="B42" s="62"/>
      <c r="C42" s="255" t="e">
        <f>+C41-C40</f>
        <v>#DIV/0!</v>
      </c>
      <c r="D42" s="256" t="e">
        <f>+D41-D40</f>
        <v>#DIV/0!</v>
      </c>
      <c r="E42" s="256" t="e">
        <f>+E41-E40</f>
        <v>#DIV/0!</v>
      </c>
      <c r="F42" s="257" t="e">
        <f>+F41-F40</f>
        <v>#DIV/0!</v>
      </c>
      <c r="G42" s="47"/>
      <c r="H42" s="1328"/>
      <c r="I42" s="1329"/>
      <c r="J42" s="1330"/>
    </row>
    <row r="43" spans="1:11" s="48" customFormat="1" ht="31.5" customHeight="1" thickBot="1" x14ac:dyDescent="0.25">
      <c r="A43" s="47"/>
      <c r="B43" s="63" t="s">
        <v>36</v>
      </c>
      <c r="C43" s="260" t="e">
        <f>+AVERAGE(C42:F42)</f>
        <v>#DIV/0!</v>
      </c>
      <c r="D43" s="47"/>
      <c r="E43" s="47"/>
      <c r="F43" s="47"/>
      <c r="G43" s="47"/>
      <c r="H43" s="47"/>
      <c r="I43" s="47"/>
      <c r="J43" s="47"/>
    </row>
    <row r="44" spans="1:11" s="48" customFormat="1" ht="31.5" customHeight="1" thickBot="1" x14ac:dyDescent="0.25">
      <c r="A44" s="47"/>
      <c r="B44" s="64" t="s">
        <v>77</v>
      </c>
      <c r="C44" s="287" t="e">
        <f>+STDEV(C42:F42)</f>
        <v>#DIV/0!</v>
      </c>
      <c r="D44" s="47"/>
      <c r="E44" s="47"/>
      <c r="F44" s="47"/>
      <c r="G44" s="47"/>
      <c r="H44" s="47"/>
      <c r="I44" s="47"/>
      <c r="J44" s="47"/>
      <c r="K44" s="46"/>
    </row>
    <row r="45" spans="1:11" s="46" customFormat="1" ht="15" customHeight="1" thickBot="1" x14ac:dyDescent="0.25">
      <c r="A45" s="47"/>
      <c r="B45" s="47"/>
      <c r="C45" s="47"/>
      <c r="D45" s="47"/>
      <c r="E45" s="47"/>
      <c r="F45" s="47"/>
      <c r="G45" s="65"/>
      <c r="H45" s="47"/>
      <c r="I45" s="47"/>
      <c r="J45" s="47"/>
      <c r="K45" s="48"/>
    </row>
    <row r="46" spans="1:11" s="48" customFormat="1" ht="31.5" customHeight="1" thickBot="1" x14ac:dyDescent="0.25">
      <c r="A46" s="1331" t="s">
        <v>37</v>
      </c>
      <c r="B46" s="1332"/>
      <c r="C46" s="1284"/>
      <c r="D46" s="1284"/>
      <c r="E46" s="1284"/>
      <c r="F46" s="1332"/>
      <c r="G46" s="1332"/>
      <c r="H46" s="1332"/>
      <c r="I46" s="1332"/>
      <c r="J46" s="1333"/>
    </row>
    <row r="47" spans="1:11" s="48" customFormat="1" ht="31.5" customHeight="1" thickBot="1" x14ac:dyDescent="0.25">
      <c r="A47" s="1375" t="s">
        <v>321</v>
      </c>
      <c r="B47" s="1376"/>
      <c r="C47" s="1338" t="s">
        <v>38</v>
      </c>
      <c r="D47" s="1339"/>
      <c r="E47" s="1340"/>
      <c r="F47" s="47"/>
      <c r="G47" s="47"/>
      <c r="H47" s="47"/>
      <c r="I47" s="47"/>
      <c r="J47" s="47"/>
    </row>
    <row r="48" spans="1:11" s="48" customFormat="1" ht="36.75" customHeight="1" thickBot="1" x14ac:dyDescent="0.25">
      <c r="A48" s="1377"/>
      <c r="B48" s="1378"/>
      <c r="C48" s="82" t="s">
        <v>27</v>
      </c>
      <c r="D48" s="93" t="s">
        <v>307</v>
      </c>
      <c r="E48" s="83" t="s">
        <v>9</v>
      </c>
      <c r="G48" s="1341" t="s">
        <v>70</v>
      </c>
      <c r="H48" s="1342"/>
      <c r="I48" s="102" t="e">
        <f>+(0.34848*E50-0.009*D50*EXP(0.061*C50))/(273.15+C50)</f>
        <v>#DIV/0!</v>
      </c>
      <c r="J48" s="103" t="s">
        <v>73</v>
      </c>
    </row>
    <row r="49" spans="1:21" s="48" customFormat="1" ht="33" customHeight="1" thickBot="1" x14ac:dyDescent="0.25">
      <c r="A49" s="1306" t="s">
        <v>39</v>
      </c>
      <c r="B49" s="1307"/>
      <c r="C49" s="90" t="e">
        <f>+AVERAGE(E33,E24)</f>
        <v>#DIV/0!</v>
      </c>
      <c r="D49" s="91" t="e">
        <f>+AVERAGE(H33,H24)</f>
        <v>#DIV/0!</v>
      </c>
      <c r="E49" s="92" t="e">
        <f>+AVERAGE(J33,J24)</f>
        <v>#DIV/0!</v>
      </c>
      <c r="G49" s="1308" t="s">
        <v>71</v>
      </c>
      <c r="H49" s="1309"/>
      <c r="I49" s="422" t="e">
        <f>I48*((0.0001)^2+(0.001*I20/2)^2+(-0.0034*D20/2)^2+(-0.01*G20/2)^2)^0.5</f>
        <v>#DIV/0!</v>
      </c>
      <c r="J49" s="66" t="s">
        <v>73</v>
      </c>
    </row>
    <row r="50" spans="1:21" s="48" customFormat="1" ht="36.75" customHeight="1" thickBot="1" x14ac:dyDescent="0.25">
      <c r="A50" s="1343" t="s">
        <v>322</v>
      </c>
      <c r="B50" s="1344"/>
      <c r="C50" s="84" t="e">
        <f>C49+(VLOOKUP(J19,'DATOS %'!J174:W180,9,FALSE))*C49+(VLOOKUP(J19,'DATOS %'!J174:W180,10,FALSE))</f>
        <v>#DIV/0!</v>
      </c>
      <c r="D50" s="85" t="e">
        <f>D49+(VLOOKUP(J19,'DATOS %'!J174:W180,11,FALSE))*D49+(VLOOKUP(J19,'DATOS %'!J174:W180,12,FALSE))</f>
        <v>#DIV/0!</v>
      </c>
      <c r="E50" s="86" t="e">
        <f>E49+(VLOOKUP(J19,'DATOS %'!J174:W180,13,FALSE))*E49+(VLOOKUP(J19,'DATOS %'!J174:W180,14,FALSE))</f>
        <v>#DIV/0!</v>
      </c>
      <c r="G50" s="1341" t="s">
        <v>72</v>
      </c>
      <c r="H50" s="1342"/>
      <c r="I50" s="67">
        <v>1.2</v>
      </c>
      <c r="J50" s="66" t="s">
        <v>73</v>
      </c>
    </row>
    <row r="51" spans="1:21" s="46" customFormat="1" ht="15" customHeight="1" thickBot="1" x14ac:dyDescent="0.25">
      <c r="A51" s="47"/>
      <c r="B51" s="47"/>
      <c r="C51" s="47"/>
      <c r="D51" s="47"/>
      <c r="E51" s="47"/>
      <c r="F51" s="47"/>
      <c r="G51" s="47"/>
      <c r="H51" s="47"/>
      <c r="I51" s="47"/>
      <c r="J51" s="47"/>
      <c r="K51" s="48"/>
    </row>
    <row r="52" spans="1:21" s="48" customFormat="1" ht="31.5" customHeight="1" thickBot="1" x14ac:dyDescent="0.25">
      <c r="A52" s="1331" t="s">
        <v>40</v>
      </c>
      <c r="B52" s="1332"/>
      <c r="C52" s="1332"/>
      <c r="D52" s="1332"/>
      <c r="E52" s="1332"/>
      <c r="F52" s="1332"/>
      <c r="G52" s="1332"/>
      <c r="H52" s="1332"/>
      <c r="I52" s="1332"/>
      <c r="J52" s="1333"/>
    </row>
    <row r="53" spans="1:21" s="48" customFormat="1" ht="31.5" customHeight="1" x14ac:dyDescent="0.35">
      <c r="A53" s="47"/>
      <c r="B53" s="68" t="s">
        <v>41</v>
      </c>
      <c r="C53" s="69"/>
      <c r="D53" s="1345" t="s">
        <v>74</v>
      </c>
      <c r="E53" s="1345"/>
      <c r="F53" s="70" t="s">
        <v>42</v>
      </c>
      <c r="G53" s="71" t="s">
        <v>43</v>
      </c>
      <c r="H53" s="1346" t="s">
        <v>44</v>
      </c>
      <c r="I53" s="1347"/>
      <c r="J53" s="47"/>
    </row>
    <row r="54" spans="1:21" s="48" customFormat="1" ht="31.5" customHeight="1" thickBot="1" x14ac:dyDescent="0.25">
      <c r="A54" s="47"/>
      <c r="B54" s="72" t="e">
        <f>+C43</f>
        <v>#DIV/0!</v>
      </c>
      <c r="C54" s="73" t="s">
        <v>1</v>
      </c>
      <c r="D54" s="261" t="e">
        <f>+C10+C11/1000</f>
        <v>#N/A</v>
      </c>
      <c r="E54" s="73" t="s">
        <v>1</v>
      </c>
      <c r="F54" s="939" t="e">
        <f>+(I48-I50)*(1/H10-1/C13)</f>
        <v>#DIV/0!</v>
      </c>
      <c r="G54" s="75"/>
      <c r="H54" s="938" t="e">
        <f>+(B54+D54*F54)*1000</f>
        <v>#DIV/0!</v>
      </c>
      <c r="I54" s="66" t="s">
        <v>3</v>
      </c>
      <c r="J54" s="47"/>
      <c r="K54" s="46"/>
    </row>
    <row r="55" spans="1:21" s="46" customFormat="1" ht="15" customHeight="1" x14ac:dyDescent="0.2">
      <c r="A55" s="47"/>
      <c r="B55" s="47"/>
      <c r="C55" s="47"/>
      <c r="D55" s="47"/>
      <c r="E55" s="47"/>
      <c r="F55" s="47"/>
      <c r="G55" s="47"/>
      <c r="H55" s="47"/>
      <c r="I55" s="47"/>
      <c r="J55" s="47"/>
      <c r="K55" s="48"/>
    </row>
    <row r="56" spans="1:21" s="48" customFormat="1" ht="31.5" customHeight="1" x14ac:dyDescent="0.2">
      <c r="A56" s="1348" t="s">
        <v>45</v>
      </c>
      <c r="B56" s="1349"/>
      <c r="C56" s="1349"/>
      <c r="D56" s="1349"/>
      <c r="E56" s="1349"/>
      <c r="F56" s="1349"/>
      <c r="G56" s="1349"/>
      <c r="H56" s="1349"/>
      <c r="I56" s="1349"/>
      <c r="J56" s="1349"/>
      <c r="K56" s="46"/>
    </row>
    <row r="57" spans="1:21" s="46" customFormat="1" ht="15" customHeight="1" thickBot="1" x14ac:dyDescent="0.25">
      <c r="A57" s="47"/>
      <c r="B57" s="47"/>
      <c r="C57" s="47"/>
      <c r="D57" s="47"/>
      <c r="E57" s="47"/>
      <c r="K57" s="48"/>
    </row>
    <row r="58" spans="1:21" s="48" customFormat="1" ht="31.5" customHeight="1" thickBot="1" x14ac:dyDescent="0.25">
      <c r="A58" s="1350" t="s">
        <v>38</v>
      </c>
      <c r="B58" s="1351"/>
      <c r="C58" s="1352" t="s">
        <v>46</v>
      </c>
      <c r="D58" s="1353"/>
      <c r="E58" s="1354" t="s">
        <v>238</v>
      </c>
      <c r="F58" s="1379"/>
      <c r="G58" s="1061" t="s">
        <v>553</v>
      </c>
      <c r="J58" s="114"/>
      <c r="L58" s="46"/>
      <c r="Q58" s="47"/>
      <c r="R58" s="47"/>
      <c r="S58" s="47"/>
      <c r="T58" s="47"/>
      <c r="U58" s="47"/>
    </row>
    <row r="59" spans="1:21" s="48" customFormat="1" ht="57.95" customHeight="1" thickBot="1" x14ac:dyDescent="0.25">
      <c r="A59" s="1024" t="s">
        <v>47</v>
      </c>
      <c r="B59" s="1025"/>
      <c r="C59" s="1026" t="e">
        <f>+C44/B26^0.5*1000</f>
        <v>#DIV/0!</v>
      </c>
      <c r="D59" s="1017" t="s">
        <v>3</v>
      </c>
      <c r="E59" s="1027" t="s">
        <v>240</v>
      </c>
      <c r="F59" s="139">
        <f>$B$26-1</f>
        <v>3</v>
      </c>
      <c r="G59" s="1111" t="e">
        <f>(C59/$G$70)^2</f>
        <v>#DIV/0!</v>
      </c>
      <c r="H59" s="47"/>
      <c r="K59" s="156">
        <v>0.3</v>
      </c>
      <c r="L59" s="157">
        <v>1.65</v>
      </c>
      <c r="M59" s="113"/>
    </row>
    <row r="60" spans="1:21" s="48" customFormat="1" ht="57.95" customHeight="1" thickBot="1" x14ac:dyDescent="0.25">
      <c r="A60" s="1019" t="s">
        <v>343</v>
      </c>
      <c r="B60" s="1020" t="s">
        <v>48</v>
      </c>
      <c r="C60" s="1021" t="e">
        <f>+C12/2</f>
        <v>#N/A</v>
      </c>
      <c r="D60" s="1022" t="s">
        <v>3</v>
      </c>
      <c r="E60" s="1023" t="s">
        <v>239</v>
      </c>
      <c r="F60" s="146" t="s">
        <v>265</v>
      </c>
      <c r="G60" s="1112"/>
      <c r="H60" s="1380" t="s">
        <v>241</v>
      </c>
      <c r="I60" s="1356"/>
      <c r="J60" s="1356"/>
      <c r="K60" s="1356"/>
      <c r="L60" s="1356"/>
      <c r="M60" s="1357"/>
    </row>
    <row r="61" spans="1:21" s="48" customFormat="1" ht="57.95" customHeight="1" thickBot="1" x14ac:dyDescent="0.25">
      <c r="A61" s="1028" t="s">
        <v>344</v>
      </c>
      <c r="B61" s="1029"/>
      <c r="C61" s="1030" t="e">
        <f>+C12/3^0.5</f>
        <v>#N/A</v>
      </c>
      <c r="D61" s="1031" t="s">
        <v>3</v>
      </c>
      <c r="E61" s="1032" t="s">
        <v>239</v>
      </c>
      <c r="F61" s="147" t="s">
        <v>265</v>
      </c>
      <c r="G61" s="1112"/>
      <c r="H61" s="132" t="s">
        <v>243</v>
      </c>
      <c r="I61" s="1015" t="e">
        <f>MAX(C59:C62,C66:C67,C68)</f>
        <v>#DIV/0!</v>
      </c>
      <c r="J61" s="151" t="e">
        <f>IF((I62)&lt;=(K59),"1,65","2")</f>
        <v>#DIV/0!</v>
      </c>
      <c r="K61" s="152" t="s">
        <v>242</v>
      </c>
      <c r="L61" s="153" t="s">
        <v>237</v>
      </c>
      <c r="M61" s="360" t="s">
        <v>328</v>
      </c>
    </row>
    <row r="62" spans="1:21" s="48" customFormat="1" ht="57.95" customHeight="1" thickBot="1" x14ac:dyDescent="0.3">
      <c r="A62" s="1024" t="s">
        <v>49</v>
      </c>
      <c r="B62" s="1035"/>
      <c r="C62" s="1036" t="e">
        <f>+SQRT(SUMSQ(C60:C61))</f>
        <v>#N/A</v>
      </c>
      <c r="D62" s="1017" t="s">
        <v>3</v>
      </c>
      <c r="E62" s="1037" t="s">
        <v>240</v>
      </c>
      <c r="F62" s="139">
        <v>200</v>
      </c>
      <c r="G62" s="1112" t="e">
        <f t="shared" ref="G62:G68" si="0">(C62/$G$70)^2</f>
        <v>#N/A</v>
      </c>
      <c r="H62" s="133" t="s">
        <v>244</v>
      </c>
      <c r="I62" s="150" t="e">
        <f>SQRT((C59)^2+(C66)^2+(C67)^2+(C68)^2)/I61</f>
        <v>#DIV/0!</v>
      </c>
      <c r="J62" s="126"/>
      <c r="K62" s="154" t="s">
        <v>242</v>
      </c>
      <c r="L62" s="155" t="s">
        <v>252</v>
      </c>
      <c r="M62" s="361" t="s">
        <v>329</v>
      </c>
    </row>
    <row r="63" spans="1:21" s="48" customFormat="1" ht="57.95" customHeight="1" x14ac:dyDescent="0.2">
      <c r="A63" s="1019" t="s">
        <v>345</v>
      </c>
      <c r="B63" s="1020"/>
      <c r="C63" s="1033" t="e">
        <f>+I49</f>
        <v>#DIV/0!</v>
      </c>
      <c r="D63" s="1021" t="s">
        <v>73</v>
      </c>
      <c r="E63" s="1034" t="s">
        <v>239</v>
      </c>
      <c r="F63" s="146" t="s">
        <v>265</v>
      </c>
      <c r="G63" s="1112"/>
      <c r="L63" s="46"/>
      <c r="T63" s="46"/>
      <c r="U63" s="46"/>
    </row>
    <row r="64" spans="1:21" s="48" customFormat="1" ht="57.95" customHeight="1" x14ac:dyDescent="0.2">
      <c r="A64" s="426" t="s">
        <v>50</v>
      </c>
      <c r="B64" s="1018"/>
      <c r="C64" s="425" t="e">
        <f>+H11/2</f>
        <v>#N/A</v>
      </c>
      <c r="D64" s="424" t="s">
        <v>73</v>
      </c>
      <c r="E64" s="423" t="s">
        <v>239</v>
      </c>
      <c r="F64" s="148" t="s">
        <v>265</v>
      </c>
      <c r="G64" s="1112"/>
      <c r="H64" s="130"/>
      <c r="J64" s="130"/>
      <c r="K64" s="130"/>
      <c r="L64" s="130"/>
      <c r="M64" s="130"/>
      <c r="Q64" s="47"/>
      <c r="R64" s="47"/>
      <c r="S64" s="47"/>
      <c r="T64" s="47"/>
      <c r="U64" s="47"/>
    </row>
    <row r="65" spans="1:21" s="48" customFormat="1" ht="57.95" customHeight="1" thickBot="1" x14ac:dyDescent="0.25">
      <c r="A65" s="1028" t="s">
        <v>346</v>
      </c>
      <c r="B65" s="1038"/>
      <c r="C65" s="1039" t="e">
        <f>+C14/2</f>
        <v>#N/A</v>
      </c>
      <c r="D65" s="1031" t="s">
        <v>73</v>
      </c>
      <c r="E65" s="1040" t="s">
        <v>239</v>
      </c>
      <c r="F65" s="147" t="s">
        <v>265</v>
      </c>
      <c r="G65" s="1112"/>
      <c r="H65" s="130"/>
      <c r="I65" s="130"/>
      <c r="J65" s="130"/>
      <c r="K65" s="130"/>
      <c r="L65" s="130"/>
      <c r="M65" s="130"/>
      <c r="Q65" s="46"/>
      <c r="R65" s="46"/>
      <c r="S65" s="46"/>
      <c r="T65" s="46"/>
      <c r="U65" s="46"/>
    </row>
    <row r="66" spans="1:21" s="48" customFormat="1" ht="57.95" customHeight="1" thickBot="1" x14ac:dyDescent="0.3">
      <c r="A66" s="1024" t="s">
        <v>347</v>
      </c>
      <c r="B66" s="1035"/>
      <c r="C66" s="1036" t="e">
        <f>+SQRT(ABS(((C10/1000+C11/1000000)*(C13-H10)/(C13*H10)*C63)^2+((C10/1000+C11/1000000)*(I48-I50))^2*C64^2/H10^4+(C10/1000+C11/1000000)^2*(I48-I50)*((I48-I50)-2*(C15-I50))*C65^2/C13^4))*1000000</f>
        <v>#N/A</v>
      </c>
      <c r="D66" s="1051" t="s">
        <v>3</v>
      </c>
      <c r="E66" s="1037" t="s">
        <v>240</v>
      </c>
      <c r="F66" s="139">
        <v>200</v>
      </c>
      <c r="G66" s="1112" t="e">
        <f t="shared" si="0"/>
        <v>#N/A</v>
      </c>
      <c r="H66" s="130"/>
      <c r="I66" s="1093" t="s">
        <v>554</v>
      </c>
      <c r="J66" s="1095" t="s">
        <v>556</v>
      </c>
      <c r="K66" s="1094" t="s">
        <v>555</v>
      </c>
      <c r="L66" s="130"/>
      <c r="M66" s="130"/>
      <c r="Q66" s="47"/>
      <c r="R66" s="47"/>
      <c r="S66" s="47"/>
      <c r="T66" s="47"/>
      <c r="U66" s="47"/>
    </row>
    <row r="67" spans="1:21" s="48" customFormat="1" ht="57.95" customHeight="1" thickBot="1" x14ac:dyDescent="0.3">
      <c r="A67" s="1047" t="s">
        <v>52</v>
      </c>
      <c r="B67" s="1048"/>
      <c r="C67" s="1049" t="e">
        <f>+(G15/2/3^0.5)*2^0.5*1000</f>
        <v>#N/A</v>
      </c>
      <c r="D67" s="1044" t="s">
        <v>3</v>
      </c>
      <c r="E67" s="1045" t="s">
        <v>239</v>
      </c>
      <c r="F67" s="1050">
        <v>200</v>
      </c>
      <c r="G67" s="1112" t="e">
        <f t="shared" si="0"/>
        <v>#N/A</v>
      </c>
      <c r="H67" s="130"/>
      <c r="I67" s="1096" t="e">
        <f>G70^4/((C59^4/F59)+(C62^4/F62)+(C66^4/F66)+(C67^4/F67)+(C68^4/F68))</f>
        <v>#DIV/0!</v>
      </c>
      <c r="J67" s="1097" t="e">
        <f>TINV(0.05,I67)</f>
        <v>#DIV/0!</v>
      </c>
      <c r="K67" s="1098" t="e">
        <f>1-TDIST(J67,I67,2)</f>
        <v>#DIV/0!</v>
      </c>
      <c r="L67" s="130"/>
      <c r="M67" s="130"/>
    </row>
    <row r="68" spans="1:21" s="46" customFormat="1" ht="65.25" customHeight="1" thickBot="1" x14ac:dyDescent="0.3">
      <c r="A68" s="1041" t="s">
        <v>552</v>
      </c>
      <c r="B68" s="1042"/>
      <c r="C68" s="1043">
        <f>0.01/SQRT(45)</f>
        <v>1.4907119849998597E-3</v>
      </c>
      <c r="D68" s="1044" t="s">
        <v>3</v>
      </c>
      <c r="E68" s="1045" t="s">
        <v>240</v>
      </c>
      <c r="F68" s="1046">
        <v>50</v>
      </c>
      <c r="G68" s="1113" t="e">
        <f t="shared" si="0"/>
        <v>#DIV/0!</v>
      </c>
      <c r="H68" s="130"/>
      <c r="I68" s="130"/>
      <c r="J68" s="130"/>
      <c r="K68" s="130"/>
      <c r="L68" s="130"/>
      <c r="M68" s="130"/>
      <c r="S68" s="48"/>
      <c r="T68" s="48"/>
      <c r="U68" s="48"/>
    </row>
    <row r="69" spans="1:21" s="46" customFormat="1" ht="65.25" customHeight="1" thickBot="1" x14ac:dyDescent="0.25">
      <c r="A69" s="130"/>
      <c r="B69" s="130"/>
      <c r="C69" s="130"/>
      <c r="D69" s="130"/>
      <c r="E69" s="130"/>
      <c r="F69" s="130"/>
      <c r="G69" s="1114" t="e">
        <f>SUM(G59,G62,G66,G67,G68)</f>
        <v>#DIV/0!</v>
      </c>
      <c r="H69" s="130"/>
      <c r="I69" s="130"/>
      <c r="J69" s="130"/>
      <c r="K69" s="130"/>
      <c r="L69" s="130"/>
      <c r="M69" s="130"/>
      <c r="S69" s="48"/>
      <c r="T69" s="48"/>
      <c r="U69" s="48"/>
    </row>
    <row r="70" spans="1:21" s="106" customFormat="1" ht="51.75" customHeight="1" thickBot="1" x14ac:dyDescent="0.3">
      <c r="D70" s="1306" t="s">
        <v>51</v>
      </c>
      <c r="E70" s="1307"/>
      <c r="F70" s="134"/>
      <c r="G70" s="140" t="e">
        <f>+SQRT(SUMSQ(C59,C62,C66,C67,C68))</f>
        <v>#DIV/0!</v>
      </c>
      <c r="H70" s="136" t="s">
        <v>3</v>
      </c>
      <c r="K70" s="130"/>
      <c r="L70" s="130"/>
      <c r="M70" s="130"/>
      <c r="S70" s="48"/>
      <c r="T70" s="48"/>
      <c r="U70" s="48"/>
    </row>
    <row r="71" spans="1:21" s="106" customFormat="1" ht="35.1" customHeight="1" thickBot="1" x14ac:dyDescent="0.25">
      <c r="D71" s="1306" t="s">
        <v>53</v>
      </c>
      <c r="E71" s="1307"/>
      <c r="F71" s="135"/>
      <c r="G71" s="140" t="e">
        <f>+G70*2</f>
        <v>#DIV/0!</v>
      </c>
      <c r="H71" s="137" t="s">
        <v>3</v>
      </c>
      <c r="K71" s="110"/>
      <c r="L71" s="107"/>
      <c r="O71" s="48"/>
      <c r="P71" s="48"/>
      <c r="Q71" s="48"/>
      <c r="R71" s="48"/>
      <c r="S71" s="48"/>
      <c r="T71" s="48"/>
      <c r="U71" s="48"/>
    </row>
    <row r="72" spans="1:21" s="106" customFormat="1" ht="33.75" customHeight="1" thickBot="1" x14ac:dyDescent="4.45">
      <c r="B72" s="1313" t="s">
        <v>54</v>
      </c>
      <c r="C72" s="1314"/>
      <c r="D72" s="1314"/>
      <c r="E72" s="1314"/>
      <c r="F72" s="1314"/>
      <c r="G72" s="1314"/>
      <c r="H72" s="1314"/>
      <c r="I72" s="1314"/>
      <c r="J72" s="1314"/>
      <c r="K72" s="1315"/>
      <c r="L72" s="117"/>
      <c r="O72" s="48"/>
      <c r="P72" s="48"/>
      <c r="Q72" s="48"/>
      <c r="R72" s="48"/>
      <c r="S72" s="48"/>
      <c r="T72" s="48"/>
      <c r="U72" s="48"/>
    </row>
    <row r="73" spans="1:21" s="106" customFormat="1" ht="35.1" customHeight="1" thickBot="1" x14ac:dyDescent="0.25">
      <c r="B73" s="1368" t="s">
        <v>255</v>
      </c>
      <c r="C73" s="1369"/>
      <c r="D73" s="1369"/>
      <c r="E73" s="1370"/>
      <c r="F73" s="79"/>
      <c r="G73" s="80"/>
      <c r="H73" s="1371"/>
      <c r="I73" s="1372"/>
      <c r="J73" s="1372"/>
      <c r="K73" s="1373"/>
      <c r="O73" s="48"/>
      <c r="P73" s="48"/>
      <c r="Q73" s="48"/>
      <c r="R73" s="48"/>
      <c r="S73" s="48"/>
      <c r="T73" s="48"/>
      <c r="U73" s="48"/>
    </row>
    <row r="74" spans="1:21" s="106" customFormat="1" ht="40.5" customHeight="1" x14ac:dyDescent="0.2">
      <c r="B74" s="118"/>
      <c r="C74" s="362" t="s">
        <v>348</v>
      </c>
      <c r="D74" s="119" t="s">
        <v>253</v>
      </c>
      <c r="E74" s="120"/>
      <c r="F74" s="1358"/>
      <c r="G74" s="1358"/>
      <c r="H74" s="1359" t="s">
        <v>266</v>
      </c>
      <c r="I74" s="1381" t="s">
        <v>254</v>
      </c>
      <c r="J74" s="1381"/>
      <c r="K74" s="1382"/>
      <c r="O74" s="48"/>
      <c r="P74" s="48"/>
      <c r="Q74" s="48"/>
      <c r="R74" s="48"/>
      <c r="S74" s="48"/>
      <c r="T74" s="48"/>
      <c r="U74" s="48"/>
    </row>
    <row r="75" spans="1:21" s="106" customFormat="1" ht="35.1" customHeight="1" x14ac:dyDescent="0.2">
      <c r="B75" s="927" t="e">
        <f>C10</f>
        <v>#N/A</v>
      </c>
      <c r="C75" s="77" t="e">
        <f>C11</f>
        <v>#N/A</v>
      </c>
      <c r="D75" s="78" t="e">
        <f>H54</f>
        <v>#DIV/0!</v>
      </c>
      <c r="E75" s="940" t="e">
        <f>B75+(C75/1000)+(D75/1000)</f>
        <v>#N/A</v>
      </c>
      <c r="F75" s="264" t="e">
        <f>E75*1000-B75*1000</f>
        <v>#N/A</v>
      </c>
      <c r="G75" s="61"/>
      <c r="H75" s="1360"/>
      <c r="I75" s="285" t="e">
        <f>G71</f>
        <v>#DIV/0!</v>
      </c>
      <c r="J75" s="1364"/>
      <c r="K75" s="1365"/>
      <c r="O75" s="48"/>
      <c r="P75" s="48"/>
      <c r="Q75" s="48"/>
      <c r="R75" s="48"/>
      <c r="S75" s="48"/>
      <c r="T75" s="48"/>
      <c r="U75" s="48"/>
    </row>
    <row r="76" spans="1:21" s="106" customFormat="1" ht="35.1" customHeight="1" thickBot="1" x14ac:dyDescent="0.25">
      <c r="B76" s="928" t="e">
        <f>B75</f>
        <v>#N/A</v>
      </c>
      <c r="C76" s="88" t="e">
        <f>C75</f>
        <v>#N/A</v>
      </c>
      <c r="D76" s="88" t="e">
        <f>D75</f>
        <v>#DIV/0!</v>
      </c>
      <c r="E76" s="262" t="e">
        <f>B76+(C76/1000)+(D76/1000)</f>
        <v>#N/A</v>
      </c>
      <c r="F76" s="281" t="e">
        <f>F75/1000</f>
        <v>#N/A</v>
      </c>
      <c r="G76" s="89"/>
      <c r="H76" s="1361"/>
      <c r="I76" s="289" t="e">
        <f>I75/1000</f>
        <v>#DIV/0!</v>
      </c>
      <c r="J76" s="1366"/>
      <c r="K76" s="1367"/>
      <c r="O76" s="48"/>
      <c r="P76" s="48"/>
      <c r="Q76" s="48"/>
      <c r="R76" s="48"/>
      <c r="S76" s="48"/>
      <c r="T76" s="48"/>
      <c r="U76" s="48"/>
    </row>
    <row r="77" spans="1:21" s="106" customFormat="1" ht="35.1" customHeight="1" x14ac:dyDescent="0.2">
      <c r="G77" s="47"/>
      <c r="H77" s="47"/>
      <c r="I77" s="47"/>
      <c r="J77" s="47"/>
      <c r="O77" s="48"/>
      <c r="P77" s="48"/>
      <c r="Q77" s="48"/>
      <c r="R77" s="48"/>
      <c r="S77" s="48"/>
      <c r="T77" s="48"/>
      <c r="U77" s="48"/>
    </row>
    <row r="78" spans="1:21" s="106" customFormat="1" ht="35.1" customHeight="1" x14ac:dyDescent="0.2">
      <c r="G78" s="47"/>
      <c r="H78" s="47"/>
      <c r="I78" s="47"/>
      <c r="J78" s="47"/>
      <c r="O78" s="48"/>
      <c r="P78" s="48"/>
      <c r="Q78" s="48"/>
      <c r="R78" s="48"/>
      <c r="S78" s="48"/>
      <c r="T78" s="48"/>
      <c r="U78" s="48"/>
    </row>
    <row r="79" spans="1:21" s="106" customFormat="1" ht="35.1" customHeight="1" x14ac:dyDescent="0.2">
      <c r="G79" s="47"/>
      <c r="H79" s="47"/>
      <c r="I79" s="47"/>
      <c r="J79" s="47"/>
    </row>
    <row r="80" spans="1:21" s="107" customFormat="1" ht="9.9499999999999993" customHeight="1" x14ac:dyDescent="0.2">
      <c r="A80" s="109"/>
      <c r="B80" s="106"/>
      <c r="C80" s="106"/>
      <c r="D80" s="106"/>
      <c r="E80" s="106"/>
      <c r="F80" s="106"/>
      <c r="G80" s="47"/>
      <c r="H80" s="47"/>
    </row>
    <row r="81" spans="2:11" s="111" customFormat="1" ht="35.1" customHeight="1" x14ac:dyDescent="0.2">
      <c r="B81" s="106"/>
      <c r="C81" s="106"/>
      <c r="D81" s="106"/>
      <c r="E81" s="106"/>
      <c r="F81" s="106"/>
      <c r="G81" s="47"/>
      <c r="H81" s="47"/>
    </row>
    <row r="82" spans="2:11" s="106" customFormat="1" ht="61.5" customHeight="1" x14ac:dyDescent="0.2">
      <c r="H82" s="111"/>
      <c r="I82" s="111"/>
      <c r="J82" s="111"/>
      <c r="K82" s="108"/>
    </row>
    <row r="83" spans="2:11" s="106" customFormat="1" ht="35.1" customHeight="1" x14ac:dyDescent="0.2">
      <c r="G83" s="111"/>
      <c r="H83" s="111"/>
      <c r="I83" s="111"/>
      <c r="J83" s="111"/>
      <c r="K83" s="108"/>
    </row>
    <row r="84" spans="2:11" s="106" customFormat="1" ht="35.1" customHeight="1" x14ac:dyDescent="0.2">
      <c r="G84" s="111"/>
      <c r="H84" s="111"/>
      <c r="I84" s="111"/>
      <c r="J84" s="111"/>
      <c r="K84" s="108"/>
    </row>
    <row r="85" spans="2:11" s="106" customFormat="1" ht="35.1" customHeight="1" x14ac:dyDescent="0.2">
      <c r="F85" s="107"/>
      <c r="K85" s="108"/>
    </row>
    <row r="86" spans="2:11" s="106" customFormat="1" ht="50.1" customHeight="1" x14ac:dyDescent="0.2"/>
    <row r="87" spans="2:11" s="106" customFormat="1" ht="57.75" customHeight="1" x14ac:dyDescent="0.2">
      <c r="C87" s="112"/>
      <c r="D87" s="112"/>
      <c r="E87" s="112"/>
    </row>
    <row r="88" spans="2:11" s="106" customFormat="1" ht="35.1" customHeight="1" x14ac:dyDescent="0.2"/>
    <row r="89" spans="2:11" s="106" customFormat="1" ht="35.1" customHeight="1" x14ac:dyDescent="0.2">
      <c r="F89" s="108"/>
      <c r="G89" s="108"/>
      <c r="H89" s="108"/>
      <c r="I89" s="108"/>
      <c r="J89" s="108"/>
    </row>
    <row r="90" spans="2:11" s="106" customFormat="1" ht="35.1" customHeight="1" x14ac:dyDescent="0.2"/>
    <row r="91" spans="2:11" s="106" customFormat="1" ht="50.1" customHeight="1" x14ac:dyDescent="0.2">
      <c r="J91" s="47"/>
    </row>
    <row r="92" spans="2:11" s="106" customFormat="1" ht="55.5" customHeight="1" x14ac:dyDescent="0.2">
      <c r="J92" s="111"/>
    </row>
    <row r="93" spans="2:11" s="106" customFormat="1" ht="50.1" customHeight="1" x14ac:dyDescent="0.2">
      <c r="J93" s="111"/>
    </row>
    <row r="94" spans="2:11" s="107" customFormat="1" ht="31.5" customHeight="1" x14ac:dyDescent="0.2">
      <c r="J94" s="111"/>
    </row>
    <row r="95" spans="2:11" s="106" customFormat="1" ht="35.1" customHeight="1" x14ac:dyDescent="0.2">
      <c r="G95" s="111"/>
      <c r="H95" s="111"/>
      <c r="I95" s="111"/>
      <c r="J95" s="111"/>
    </row>
    <row r="96" spans="2:11" s="106" customFormat="1" ht="35.1" customHeight="1" x14ac:dyDescent="0.2">
      <c r="G96" s="111"/>
      <c r="H96" s="111"/>
      <c r="I96" s="111"/>
      <c r="J96" s="111"/>
    </row>
    <row r="97" spans="1:12" s="106" customFormat="1" ht="9.9499999999999993" customHeight="1" x14ac:dyDescent="0.2">
      <c r="G97" s="108"/>
      <c r="H97" s="108"/>
      <c r="I97" s="108"/>
      <c r="J97" s="108"/>
    </row>
    <row r="98" spans="1:12" s="106" customFormat="1" ht="35.1" customHeight="1" x14ac:dyDescent="0.2">
      <c r="J98" s="108"/>
      <c r="K98" s="108"/>
      <c r="L98" s="108"/>
    </row>
    <row r="99" spans="1:12" s="46" customFormat="1" ht="15" customHeight="1" x14ac:dyDescent="0.2">
      <c r="A99" s="47"/>
      <c r="G99" s="47"/>
      <c r="H99" s="47"/>
      <c r="I99" s="47"/>
      <c r="J99" s="47"/>
      <c r="K99" s="48"/>
    </row>
    <row r="100" spans="1:12" s="48" customFormat="1" ht="31.5" customHeight="1" x14ac:dyDescent="0.2">
      <c r="A100" s="47"/>
      <c r="B100" s="47"/>
      <c r="C100" s="47"/>
      <c r="D100" s="47"/>
      <c r="E100" s="47"/>
      <c r="F100" s="47"/>
      <c r="G100" s="47"/>
      <c r="H100" s="47"/>
      <c r="I100" s="47"/>
      <c r="J100" s="47"/>
    </row>
    <row r="101" spans="1:12" s="48" customFormat="1" ht="31.5" customHeight="1" x14ac:dyDescent="0.2"/>
    <row r="102" spans="1:12" s="48" customFormat="1" ht="31.5" customHeight="1" x14ac:dyDescent="0.2"/>
    <row r="103" spans="1:12" s="48" customFormat="1" ht="52.5" customHeight="1" x14ac:dyDescent="0.2"/>
    <row r="104" spans="1:12" s="48" customFormat="1" ht="31.5" customHeight="1" x14ac:dyDescent="0.2">
      <c r="K104" s="8"/>
    </row>
    <row r="105" spans="1:12" s="48" customFormat="1" ht="31.5" customHeight="1" x14ac:dyDescent="0.2">
      <c r="K105" s="8"/>
    </row>
    <row r="106" spans="1:12" ht="31.5" customHeight="1" x14ac:dyDescent="0.2">
      <c r="G106" s="76"/>
    </row>
    <row r="107" spans="1:12" ht="51" customHeight="1" x14ac:dyDescent="0.2"/>
    <row r="109" spans="1:12" ht="31.5" customHeight="1" x14ac:dyDescent="0.2">
      <c r="B109" s="29"/>
      <c r="C109" s="29"/>
      <c r="D109" s="29"/>
      <c r="E109" s="29"/>
      <c r="F109" s="29"/>
      <c r="G109" s="29"/>
      <c r="H109" s="29"/>
      <c r="I109" s="29"/>
      <c r="J109" s="29"/>
    </row>
    <row r="110" spans="1:12" ht="31.5" customHeight="1" x14ac:dyDescent="0.2">
      <c r="B110" s="29"/>
      <c r="C110" s="29"/>
      <c r="D110" s="29"/>
      <c r="E110" s="29"/>
      <c r="F110" s="29"/>
      <c r="G110" s="29"/>
      <c r="H110" s="29"/>
      <c r="I110" s="29"/>
      <c r="J110" s="29"/>
    </row>
    <row r="111" spans="1:12" ht="31.5" customHeight="1" x14ac:dyDescent="0.2">
      <c r="B111" s="29"/>
      <c r="C111" s="29"/>
      <c r="D111" s="29"/>
      <c r="E111" s="29"/>
      <c r="F111" s="29"/>
      <c r="G111" s="29"/>
      <c r="H111" s="29"/>
      <c r="I111" s="29"/>
      <c r="J111" s="29"/>
    </row>
    <row r="112" spans="1:12" ht="31.5" customHeight="1" x14ac:dyDescent="0.2">
      <c r="B112" s="29"/>
      <c r="C112" s="29"/>
      <c r="D112" s="29"/>
      <c r="E112" s="29"/>
      <c r="F112" s="29"/>
      <c r="G112" s="29"/>
      <c r="H112" s="29"/>
      <c r="I112" s="29"/>
      <c r="J112" s="29"/>
    </row>
    <row r="113" spans="2:10" ht="31.5" customHeight="1" x14ac:dyDescent="0.2">
      <c r="B113" s="29"/>
      <c r="C113" s="29"/>
      <c r="D113" s="29"/>
      <c r="E113" s="29"/>
      <c r="F113" s="29"/>
      <c r="G113" s="29"/>
      <c r="H113" s="29"/>
      <c r="I113" s="29"/>
      <c r="J113" s="29"/>
    </row>
    <row r="114" spans="2:10" ht="31.5" customHeight="1" x14ac:dyDescent="0.2">
      <c r="B114" s="29"/>
      <c r="C114" s="29"/>
      <c r="D114" s="29"/>
      <c r="E114" s="29"/>
      <c r="F114" s="29"/>
      <c r="G114" s="29"/>
      <c r="H114" s="29"/>
      <c r="I114" s="29"/>
      <c r="J114" s="29"/>
    </row>
    <row r="115" spans="2:10" ht="31.5" customHeight="1" x14ac:dyDescent="0.2">
      <c r="B115" s="29"/>
      <c r="C115" s="29"/>
      <c r="D115" s="29"/>
      <c r="E115" s="29"/>
      <c r="F115" s="29"/>
      <c r="G115" s="29"/>
      <c r="H115" s="29"/>
      <c r="I115" s="29"/>
      <c r="J115" s="29"/>
    </row>
  </sheetData>
  <sheetProtection password="CF5C" sheet="1" objects="1" scenarios="1"/>
  <mergeCells count="62">
    <mergeCell ref="D70:E70"/>
    <mergeCell ref="D71:E71"/>
    <mergeCell ref="B72:K72"/>
    <mergeCell ref="B73:E73"/>
    <mergeCell ref="H73:K73"/>
    <mergeCell ref="F74:G74"/>
    <mergeCell ref="H74:H76"/>
    <mergeCell ref="I74:K74"/>
    <mergeCell ref="J75:K75"/>
    <mergeCell ref="J76:K76"/>
    <mergeCell ref="A56:J56"/>
    <mergeCell ref="A58:B58"/>
    <mergeCell ref="C58:D58"/>
    <mergeCell ref="E58:F58"/>
    <mergeCell ref="H60:M60"/>
    <mergeCell ref="A50:B50"/>
    <mergeCell ref="G50:H50"/>
    <mergeCell ref="A52:J52"/>
    <mergeCell ref="D53:E53"/>
    <mergeCell ref="H53:I53"/>
    <mergeCell ref="A49:B49"/>
    <mergeCell ref="G49:H49"/>
    <mergeCell ref="A28:A31"/>
    <mergeCell ref="C33:D33"/>
    <mergeCell ref="F33:G33"/>
    <mergeCell ref="A36:J36"/>
    <mergeCell ref="B38:F38"/>
    <mergeCell ref="H38:J38"/>
    <mergeCell ref="H39:J42"/>
    <mergeCell ref="A46:J46"/>
    <mergeCell ref="A47:B48"/>
    <mergeCell ref="C47:E47"/>
    <mergeCell ref="G48:H48"/>
    <mergeCell ref="A27:B27"/>
    <mergeCell ref="G27:H27"/>
    <mergeCell ref="A14:B14"/>
    <mergeCell ref="A15:B15"/>
    <mergeCell ref="A16:B16"/>
    <mergeCell ref="C16:D16"/>
    <mergeCell ref="A18:J18"/>
    <mergeCell ref="F19:G19"/>
    <mergeCell ref="J19:J20"/>
    <mergeCell ref="A20:B20"/>
    <mergeCell ref="E20:F20"/>
    <mergeCell ref="A22:J22"/>
    <mergeCell ref="C24:D24"/>
    <mergeCell ref="F24:G24"/>
    <mergeCell ref="C26:F26"/>
    <mergeCell ref="G26:H26"/>
    <mergeCell ref="A13:B13"/>
    <mergeCell ref="F13:I13"/>
    <mergeCell ref="A1:B1"/>
    <mergeCell ref="C1:M1"/>
    <mergeCell ref="I3:J4"/>
    <mergeCell ref="A6:D6"/>
    <mergeCell ref="F6:I6"/>
    <mergeCell ref="F9:G9"/>
    <mergeCell ref="A10:B10"/>
    <mergeCell ref="F10:G10"/>
    <mergeCell ref="A11:B11"/>
    <mergeCell ref="F11:G11"/>
    <mergeCell ref="A12:B12"/>
  </mergeCells>
  <printOptions horizontalCentered="1"/>
  <pageMargins left="0.70866141732283472" right="0.70866141732283472" top="0.74803149606299213" bottom="0.74803149606299213" header="0.31496062992125984" footer="0.31496062992125984"/>
  <pageSetup scale="13" orientation="portrait" r:id="rId1"/>
  <headerFooter>
    <oddHeader xml:space="preserve">&amp;C
&amp;16   
</oddHeader>
    <oddFooter xml:space="preserve">&amp;RRT03-F13 Vr.14 (2021-05-21)
</oddFooter>
  </headerFooter>
  <rowBreaks count="1" manualBreakCount="1">
    <brk id="34" max="16383" man="1"/>
  </rowBreaks>
  <drawing r:id="rId2"/>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0C00-000000000000}">
          <x14:formula1>
            <xm:f>'DATOS %'!$B$7:$B$40</xm:f>
          </x14:formula1>
          <xm:sqref>I3:J4</xm:sqref>
        </x14:dataValidation>
        <x14:dataValidation type="list" allowBlank="1" showInputMessage="1" showErrorMessage="1" xr:uid="{00000000-0002-0000-0C00-000001000000}">
          <x14:formula1>
            <xm:f>'DATOS %'!$J$174:$J$179</xm:f>
          </x14:formula1>
          <xm:sqref>J19</xm:sqref>
        </x14:dataValidation>
        <x14:dataValidation type="list" allowBlank="1" showInputMessage="1" showErrorMessage="1" xr:uid="{00000000-0002-0000-0C00-000002000000}">
          <x14:formula1>
            <xm:f>'DATOS %'!$N$121:$N$166</xm:f>
          </x14:formula1>
          <xm:sqref>F48</xm:sqref>
        </x14:dataValidation>
        <x14:dataValidation type="list" allowBlank="1" showInputMessage="1" showErrorMessage="1" xr:uid="{00000000-0002-0000-0C00-000003000000}">
          <x14:formula1>
            <xm:f>'DATOS %'!$N$29:$N$113</xm:f>
          </x14:formula1>
          <xm:sqref>E6</xm:sqref>
        </x14:dataValidation>
        <x14:dataValidation type="list" allowBlank="1" showInputMessage="1" showErrorMessage="1" xr:uid="{00000000-0002-0000-0C00-000004000000}">
          <x14:formula1>
            <xm:f>'DATOS %'!$V$120:$V$126</xm:f>
          </x14:formula1>
          <xm:sqref>J13</xm:sqref>
        </x14:dataValidation>
        <x14:dataValidation type="list" allowBlank="1" showInputMessage="1" showErrorMessage="1" xr:uid="{00000000-0002-0000-0C00-000005000000}">
          <x14:formula1>
            <xm:f>'DATOS %'!$V$161:$V$165</xm:f>
          </x14:formula1>
          <xm:sqref>H25</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FF00"/>
  </sheetPr>
  <dimension ref="A1:R45"/>
  <sheetViews>
    <sheetView showGridLines="0" view="pageBreakPreview" zoomScale="55" zoomScaleNormal="40" zoomScaleSheetLayoutView="55" workbookViewId="0">
      <selection activeCell="C65" sqref="C65"/>
    </sheetView>
  </sheetViews>
  <sheetFormatPr baseColWidth="10" defaultColWidth="11.42578125" defaultRowHeight="15" x14ac:dyDescent="0.2"/>
  <cols>
    <col min="1" max="5" width="24.7109375" style="299" customWidth="1"/>
    <col min="6" max="6" width="13.7109375" style="299" customWidth="1"/>
    <col min="7" max="11" width="24.7109375" style="299" customWidth="1"/>
    <col min="12" max="12" width="13.7109375" style="299" customWidth="1"/>
    <col min="13" max="17" width="24.7109375" style="299" customWidth="1"/>
    <col min="18" max="18" width="13.7109375" style="299" customWidth="1"/>
    <col min="19" max="16384" width="11.42578125" style="299"/>
  </cols>
  <sheetData>
    <row r="1" spans="1:18" ht="119.25" customHeight="1" x14ac:dyDescent="0.2">
      <c r="A1" s="1390"/>
      <c r="B1" s="1390"/>
      <c r="C1" s="1390"/>
      <c r="D1" s="1390"/>
      <c r="E1" s="1388" t="s">
        <v>57</v>
      </c>
      <c r="F1" s="1389"/>
      <c r="G1" s="1389"/>
      <c r="H1" s="1389"/>
      <c r="I1" s="1389"/>
      <c r="J1" s="1389"/>
      <c r="K1" s="1389"/>
      <c r="L1" s="1389"/>
      <c r="M1" s="1389"/>
      <c r="N1" s="1389"/>
      <c r="O1" s="1389"/>
      <c r="P1" s="1389"/>
      <c r="Q1" s="1389"/>
      <c r="R1" s="1389"/>
    </row>
    <row r="2" spans="1:18" ht="15.75" thickBot="1" x14ac:dyDescent="0.25"/>
    <row r="3" spans="1:18" x14ac:dyDescent="0.2">
      <c r="A3" s="1391" t="s">
        <v>557</v>
      </c>
      <c r="B3" s="1392"/>
      <c r="C3" s="1392"/>
      <c r="D3" s="1392"/>
      <c r="E3" s="1392"/>
      <c r="F3" s="1392"/>
      <c r="G3" s="1392"/>
      <c r="H3" s="1392"/>
      <c r="I3" s="1392"/>
      <c r="J3" s="1392"/>
      <c r="K3" s="1392"/>
      <c r="L3" s="1392"/>
      <c r="M3" s="1392"/>
      <c r="N3" s="1392"/>
      <c r="O3" s="1392"/>
      <c r="P3" s="1392"/>
      <c r="Q3" s="1392"/>
      <c r="R3" s="1392"/>
    </row>
    <row r="4" spans="1:18" ht="23.25" customHeight="1" thickBot="1" x14ac:dyDescent="0.25">
      <c r="A4" s="1393"/>
      <c r="B4" s="1394"/>
      <c r="C4" s="1394"/>
      <c r="D4" s="1394"/>
      <c r="E4" s="1394"/>
      <c r="F4" s="1394"/>
      <c r="G4" s="1394"/>
      <c r="H4" s="1394"/>
      <c r="I4" s="1394"/>
      <c r="J4" s="1394"/>
      <c r="K4" s="1394"/>
      <c r="L4" s="1394"/>
      <c r="M4" s="1394"/>
      <c r="N4" s="1394"/>
      <c r="O4" s="1394"/>
      <c r="P4" s="1394"/>
      <c r="Q4" s="1394"/>
      <c r="R4" s="1394"/>
    </row>
    <row r="5" spans="1:18" s="302" customFormat="1" ht="23.25" customHeight="1" thickBot="1" x14ac:dyDescent="0.25">
      <c r="A5" s="368"/>
      <c r="B5" s="301"/>
      <c r="C5" s="301"/>
      <c r="D5" s="301"/>
      <c r="E5" s="301"/>
      <c r="F5" s="301"/>
      <c r="G5" s="301"/>
      <c r="H5" s="300"/>
      <c r="I5" s="300"/>
      <c r="J5" s="301"/>
      <c r="K5" s="301"/>
      <c r="L5" s="301"/>
      <c r="M5" s="301"/>
      <c r="N5" s="300"/>
      <c r="O5" s="300"/>
      <c r="P5" s="301"/>
      <c r="Q5" s="301"/>
      <c r="R5" s="301"/>
    </row>
    <row r="6" spans="1:18" s="305" customFormat="1" ht="30" customHeight="1" thickBot="1" x14ac:dyDescent="0.3">
      <c r="A6" s="369"/>
      <c r="B6" s="374" t="s">
        <v>351</v>
      </c>
      <c r="C6" s="375" t="s">
        <v>352</v>
      </c>
      <c r="D6" s="369"/>
      <c r="G6" s="380"/>
      <c r="H6" s="376" t="s">
        <v>351</v>
      </c>
      <c r="I6" s="376" t="s">
        <v>352</v>
      </c>
      <c r="J6" s="380"/>
      <c r="K6" s="380"/>
      <c r="M6" s="380"/>
      <c r="N6" s="372" t="s">
        <v>351</v>
      </c>
      <c r="O6" s="372" t="s">
        <v>352</v>
      </c>
      <c r="P6" s="380"/>
      <c r="Q6" s="380"/>
    </row>
    <row r="7" spans="1:18" s="305" customFormat="1" ht="30" customHeight="1" thickBot="1" x14ac:dyDescent="0.3">
      <c r="A7" s="365" t="s">
        <v>484</v>
      </c>
      <c r="B7" s="1154">
        <f>'1 mg % '!B24</f>
        <v>0</v>
      </c>
      <c r="C7" s="1154">
        <f>'1 mg % '!B33</f>
        <v>0</v>
      </c>
      <c r="D7" s="1155" t="s">
        <v>353</v>
      </c>
      <c r="E7" s="371">
        <f>'1 mg % '!$J$19</f>
        <v>0</v>
      </c>
      <c r="G7" s="365" t="s">
        <v>487</v>
      </c>
      <c r="H7" s="1154">
        <f>'10 mg % '!$B$24</f>
        <v>0</v>
      </c>
      <c r="I7" s="1154">
        <f>'10 mg % '!$B$33</f>
        <v>0</v>
      </c>
      <c r="J7" s="372" t="s">
        <v>353</v>
      </c>
      <c r="K7" s="371">
        <f>'10 mg % '!J19</f>
        <v>0</v>
      </c>
      <c r="M7" s="372" t="s">
        <v>492</v>
      </c>
      <c r="N7" s="1154">
        <f>'100 mg % '!$B$24</f>
        <v>0</v>
      </c>
      <c r="O7" s="1154">
        <f>'100 mg % '!$B$33</f>
        <v>0</v>
      </c>
      <c r="P7" s="372" t="s">
        <v>353</v>
      </c>
      <c r="Q7" s="371">
        <f>'100 mg % '!$J$19</f>
        <v>0</v>
      </c>
    </row>
    <row r="8" spans="1:18" s="305" customFormat="1" ht="30" customHeight="1" thickBot="1" x14ac:dyDescent="0.3">
      <c r="A8" s="365" t="s">
        <v>333</v>
      </c>
      <c r="B8" s="366" t="s">
        <v>342</v>
      </c>
      <c r="C8" s="366" t="s">
        <v>163</v>
      </c>
      <c r="D8" s="366" t="s">
        <v>318</v>
      </c>
      <c r="E8" s="377" t="s">
        <v>164</v>
      </c>
      <c r="G8" s="374" t="s">
        <v>333</v>
      </c>
      <c r="H8" s="366" t="s">
        <v>342</v>
      </c>
      <c r="I8" s="378" t="s">
        <v>163</v>
      </c>
      <c r="J8" s="378" t="s">
        <v>318</v>
      </c>
      <c r="K8" s="375" t="s">
        <v>164</v>
      </c>
      <c r="M8" s="374" t="s">
        <v>333</v>
      </c>
      <c r="N8" s="366" t="s">
        <v>342</v>
      </c>
      <c r="O8" s="378" t="s">
        <v>163</v>
      </c>
      <c r="P8" s="378" t="s">
        <v>318</v>
      </c>
      <c r="Q8" s="375" t="s">
        <v>164</v>
      </c>
    </row>
    <row r="9" spans="1:18" s="305" customFormat="1" ht="39.950000000000003" customHeight="1" x14ac:dyDescent="0.25">
      <c r="A9" s="1385" t="e">
        <f>'1 mg % '!$E$4</f>
        <v>#N/A</v>
      </c>
      <c r="B9" s="370" t="s">
        <v>334</v>
      </c>
      <c r="C9" s="896"/>
      <c r="D9" s="436"/>
      <c r="E9" s="437"/>
      <c r="G9" s="1387" t="e">
        <f>'10 mg % '!$E$4</f>
        <v>#N/A</v>
      </c>
      <c r="H9" s="330" t="s">
        <v>334</v>
      </c>
      <c r="I9" s="435"/>
      <c r="J9" s="436"/>
      <c r="K9" s="437"/>
      <c r="M9" s="1387" t="e">
        <f>'100 mg % '!$E$4</f>
        <v>#N/A</v>
      </c>
      <c r="N9" s="330" t="s">
        <v>334</v>
      </c>
      <c r="O9" s="435"/>
      <c r="P9" s="436"/>
      <c r="Q9" s="437"/>
    </row>
    <row r="10" spans="1:18" s="305" customFormat="1" ht="39.950000000000003" customHeight="1" thickBot="1" x14ac:dyDescent="0.3">
      <c r="A10" s="1385"/>
      <c r="B10" s="331" t="s">
        <v>335</v>
      </c>
      <c r="C10" s="897"/>
      <c r="D10" s="439"/>
      <c r="E10" s="440"/>
      <c r="G10" s="1385"/>
      <c r="H10" s="332" t="s">
        <v>335</v>
      </c>
      <c r="I10" s="438"/>
      <c r="J10" s="439"/>
      <c r="K10" s="440"/>
      <c r="M10" s="1385"/>
      <c r="N10" s="332" t="s">
        <v>335</v>
      </c>
      <c r="O10" s="432"/>
      <c r="P10" s="433"/>
      <c r="Q10" s="434"/>
    </row>
    <row r="11" spans="1:18" s="305" customFormat="1" ht="39.950000000000003" customHeight="1" x14ac:dyDescent="0.25">
      <c r="A11" s="1385"/>
      <c r="B11" s="330" t="s">
        <v>340</v>
      </c>
      <c r="C11" s="333" t="e">
        <f>C9+(VLOOKUP('1 mg % '!$J$19,'DATOS %'!$J$174:$W$180,9,FALSE))*C9+(VLOOKUP('1 mg % '!$J$19,'DATOS %'!$J$174:$W$180,10,FALSE))</f>
        <v>#N/A</v>
      </c>
      <c r="D11" s="325" t="e">
        <f>D9+(VLOOKUP('1 mg % '!$J$19,'DATOS %'!$J$174:$W$180,11,FALSE))*D9+(VLOOKUP('1 mg % '!$J$19,'DATOS %'!$J$174:$W$180,12,FALSE))</f>
        <v>#N/A</v>
      </c>
      <c r="E11" s="326" t="e">
        <f>E9+(VLOOKUP('1 mg % '!$J$19,'DATOS %'!$J$174:$W$180,13,FALSE))*E9+(VLOOKUP('1 mg % '!$J$19,'DATOS %'!$J$174:$W$180,14,FALSE))</f>
        <v>#N/A</v>
      </c>
      <c r="G11" s="1385"/>
      <c r="H11" s="330" t="s">
        <v>340</v>
      </c>
      <c r="I11" s="338" t="e">
        <f>I9+(VLOOKUP('10 mg % '!$J$19,'DATOS %'!$J$174:$W$180,9,FALSE))*I9+(VLOOKUP('10 mg % '!$J$19,'DATOS %'!$J$174:$W$180,10,FALSE))</f>
        <v>#N/A</v>
      </c>
      <c r="J11" s="337" t="e">
        <f>J9+(VLOOKUP('10 mg % '!$J$19,'DATOS %'!$J$174:$W$180,11,FALSE))*J9+(VLOOKUP('10 mg % '!$J$19,'DATOS %'!$J$174:$W$180,12,FALSE))</f>
        <v>#N/A</v>
      </c>
      <c r="K11" s="339" t="e">
        <f>K9+(VLOOKUP('10 mg % '!$J$19,'DATOS %'!$J$174:$W$180,13,FALSE))*K9+(VLOOKUP('10 mg % '!$J$19,'DATOS %'!$J$174:$W$180,14,FALSE))</f>
        <v>#N/A</v>
      </c>
      <c r="M11" s="1385"/>
      <c r="N11" s="346" t="s">
        <v>340</v>
      </c>
      <c r="O11" s="341" t="e">
        <f>O9+(VLOOKUP('100 mg % '!$J$19,'DATOS %'!$J$174:$W$180,9,FALSE))*O9+(VLOOKUP('100 mg % '!$J$19,'DATOS %'!$J$174:$W$180,10,FALSE))</f>
        <v>#N/A</v>
      </c>
      <c r="P11" s="348" t="e">
        <f>P9+(VLOOKUP('100 mg % '!$J$19,'DATOS %'!$J$174:$W$180,11,FALSE))*P9+(VLOOKUP('100 mg % '!$J$19,'DATOS %'!$J$174:$W$180,12,FALSE))</f>
        <v>#N/A</v>
      </c>
      <c r="Q11" s="349" t="e">
        <f>Q9+(VLOOKUP('100 mg % '!$J$19,'DATOS %'!$J$174:$W$180,13,FALSE))*Q9+(VLOOKUP('100 mg % '!$J$19,'DATOS %'!$J$174:$W$180,14,FALSE))</f>
        <v>#N/A</v>
      </c>
    </row>
    <row r="12" spans="1:18" s="305" customFormat="1" ht="39.950000000000003" customHeight="1" thickBot="1" x14ac:dyDescent="0.3">
      <c r="A12" s="1386"/>
      <c r="B12" s="332" t="s">
        <v>341</v>
      </c>
      <c r="C12" s="334" t="e">
        <f>C10+(VLOOKUP('1 mg % '!$J$19,'DATOS %'!$J$174:$W$180,9,FALSE))*C10+(VLOOKUP('1 mg % '!$J$19,'DATOS %'!$J$174:$W$180,10,FALSE))</f>
        <v>#N/A</v>
      </c>
      <c r="D12" s="327" t="e">
        <f>D10+(VLOOKUP('1 mg % '!$J$19,'DATOS %'!$J$174:$W$180,11,FALSE))*D10+(VLOOKUP('1 mg % '!$J$19,'DATOS %'!$J$174:$W$180,12,FALSE))</f>
        <v>#N/A</v>
      </c>
      <c r="E12" s="328" t="e">
        <f>E10+(VLOOKUP('1 mg % '!$J$19,'DATOS %'!$J$174:$W$180,13,FALSE))*E10+(VLOOKUP('1 mg % '!$J$19,'DATOS %'!$J$174:$W$180,14,FALSE))</f>
        <v>#N/A</v>
      </c>
      <c r="G12" s="1386"/>
      <c r="H12" s="332" t="s">
        <v>341</v>
      </c>
      <c r="I12" s="334" t="e">
        <f>I10+(VLOOKUP('10 mg % '!$J$19,'DATOS %'!$J$174:$W$180,9,FALSE))*I10+(VLOOKUP('10 mg % '!$J$19,'DATOS %'!$J$174:$W$180,10,FALSE))</f>
        <v>#N/A</v>
      </c>
      <c r="J12" s="329" t="e">
        <f>J10+(VLOOKUP('10 mg % '!$J$19,'DATOS %'!$J$174:$W$180,11,FALSE))*J10+(VLOOKUP('10 mg % '!$J$19,'DATOS %'!$J$174:$W$180,12,FALSE))</f>
        <v>#N/A</v>
      </c>
      <c r="K12" s="340" t="e">
        <f>K10+(VLOOKUP('10 mg % '!$J$19,'DATOS %'!$J$174:$W$180,13,FALSE))*K10+(VLOOKUP('10 mg % '!$J$19,'DATOS %'!$J$174:$W$180,14,FALSE))</f>
        <v>#N/A</v>
      </c>
      <c r="M12" s="1386"/>
      <c r="N12" s="347" t="s">
        <v>341</v>
      </c>
      <c r="O12" s="350" t="e">
        <f>O10+(VLOOKUP('100 mg % '!$J$19,'DATOS %'!$J$174:$W$180,9,FALSE))*O10+(VLOOKUP('100 mg % '!$J$19,'DATOS %'!$J$174:$W$180,10,FALSE))</f>
        <v>#N/A</v>
      </c>
      <c r="P12" s="351" t="e">
        <f>P10+(VLOOKUP('100 mg % '!$J$19,'DATOS %'!$J$174:$W$180,11,FALSE))*P10+(VLOOKUP('100 mg % '!$J$19,'DATOS %'!$J$174:$W$180,12,FALSE))</f>
        <v>#N/A</v>
      </c>
      <c r="Q12" s="352" t="e">
        <f>Q10+(VLOOKUP('100 mg % '!$J$19,'DATOS %'!$J$174:$W$180,13,FALSE))*Q10+(VLOOKUP('100 mg % '!$J$19,'DATOS %'!$J$174:$W$180,14,FALSE))</f>
        <v>#N/A</v>
      </c>
    </row>
    <row r="13" spans="1:18" s="305" customFormat="1" ht="300" customHeight="1" x14ac:dyDescent="0.25"/>
    <row r="14" spans="1:18" s="305" customFormat="1" ht="30" customHeight="1" thickBot="1" x14ac:dyDescent="0.3"/>
    <row r="15" spans="1:18" s="305" customFormat="1" ht="30" customHeight="1" thickBot="1" x14ac:dyDescent="0.3">
      <c r="A15" s="379"/>
      <c r="B15" s="374" t="s">
        <v>351</v>
      </c>
      <c r="C15" s="375" t="s">
        <v>352</v>
      </c>
      <c r="D15" s="380"/>
      <c r="E15" s="379"/>
      <c r="G15" s="379"/>
      <c r="H15" s="374" t="s">
        <v>351</v>
      </c>
      <c r="I15" s="375" t="s">
        <v>352</v>
      </c>
      <c r="J15" s="380"/>
      <c r="K15" s="379"/>
      <c r="M15" s="379"/>
      <c r="N15" s="374" t="s">
        <v>351</v>
      </c>
      <c r="O15" s="375" t="s">
        <v>352</v>
      </c>
      <c r="P15" s="380"/>
      <c r="Q15" s="379"/>
    </row>
    <row r="16" spans="1:18" s="305" customFormat="1" ht="30" customHeight="1" thickBot="1" x14ac:dyDescent="0.3">
      <c r="A16" s="381" t="s">
        <v>485</v>
      </c>
      <c r="B16" s="899">
        <f>'2 mg %'!$B$24</f>
        <v>0</v>
      </c>
      <c r="C16" s="899">
        <f>'2 mg %'!$B$33</f>
        <v>0</v>
      </c>
      <c r="D16" s="372" t="s">
        <v>353</v>
      </c>
      <c r="E16" s="371">
        <f>'2 mg %'!J19</f>
        <v>0</v>
      </c>
      <c r="G16" s="381" t="s">
        <v>490</v>
      </c>
      <c r="H16" s="1154">
        <f>'20 mg % '!$B$24</f>
        <v>0</v>
      </c>
      <c r="I16" s="1154">
        <f>'20 mg % '!$B$33</f>
        <v>0</v>
      </c>
      <c r="J16" s="372" t="s">
        <v>353</v>
      </c>
      <c r="K16" s="371">
        <f>'20 mg % '!$J$19</f>
        <v>0</v>
      </c>
      <c r="M16" s="381" t="s">
        <v>493</v>
      </c>
      <c r="N16" s="1154">
        <f>'200 mg % '!$B$24</f>
        <v>0</v>
      </c>
      <c r="O16" s="1154">
        <f>'200 mg % '!$B$33</f>
        <v>0</v>
      </c>
      <c r="P16" s="372" t="s">
        <v>353</v>
      </c>
      <c r="Q16" s="371">
        <f>'200 mg % '!$J$19</f>
        <v>0</v>
      </c>
    </row>
    <row r="17" spans="1:18" s="305" customFormat="1" ht="30" customHeight="1" thickBot="1" x14ac:dyDescent="0.3">
      <c r="A17" s="374" t="s">
        <v>333</v>
      </c>
      <c r="B17" s="366" t="s">
        <v>342</v>
      </c>
      <c r="C17" s="378" t="s">
        <v>163</v>
      </c>
      <c r="D17" s="378" t="s">
        <v>318</v>
      </c>
      <c r="E17" s="375" t="s">
        <v>164</v>
      </c>
      <c r="G17" s="374" t="s">
        <v>333</v>
      </c>
      <c r="H17" s="366" t="s">
        <v>342</v>
      </c>
      <c r="I17" s="378" t="s">
        <v>163</v>
      </c>
      <c r="J17" s="378" t="s">
        <v>318</v>
      </c>
      <c r="K17" s="375" t="s">
        <v>164</v>
      </c>
      <c r="M17" s="374" t="s">
        <v>333</v>
      </c>
      <c r="N17" s="366" t="s">
        <v>342</v>
      </c>
      <c r="O17" s="378" t="s">
        <v>163</v>
      </c>
      <c r="P17" s="378" t="s">
        <v>318</v>
      </c>
      <c r="Q17" s="375" t="s">
        <v>164</v>
      </c>
    </row>
    <row r="18" spans="1:18" s="305" customFormat="1" ht="39.950000000000003" customHeight="1" x14ac:dyDescent="0.25">
      <c r="A18" s="1387" t="e">
        <f>'2 mg %'!E$4</f>
        <v>#N/A</v>
      </c>
      <c r="B18" s="330" t="s">
        <v>334</v>
      </c>
      <c r="C18" s="435"/>
      <c r="D18" s="436"/>
      <c r="E18" s="437"/>
      <c r="G18" s="1387" t="e">
        <f>'20 mg % '!$E$4</f>
        <v>#N/A</v>
      </c>
      <c r="H18" s="330" t="s">
        <v>334</v>
      </c>
      <c r="I18" s="435"/>
      <c r="J18" s="436"/>
      <c r="K18" s="437"/>
      <c r="M18" s="1387" t="e">
        <f>'200 mg % '!$E$4</f>
        <v>#N/A</v>
      </c>
      <c r="N18" s="330" t="s">
        <v>334</v>
      </c>
      <c r="O18" s="435"/>
      <c r="P18" s="436"/>
      <c r="Q18" s="437"/>
    </row>
    <row r="19" spans="1:18" s="305" customFormat="1" ht="39.950000000000003" customHeight="1" thickBot="1" x14ac:dyDescent="0.3">
      <c r="A19" s="1385"/>
      <c r="B19" s="332" t="s">
        <v>335</v>
      </c>
      <c r="C19" s="432"/>
      <c r="D19" s="433"/>
      <c r="E19" s="434"/>
      <c r="G19" s="1385"/>
      <c r="H19" s="332" t="s">
        <v>335</v>
      </c>
      <c r="I19" s="432"/>
      <c r="J19" s="433"/>
      <c r="K19" s="434"/>
      <c r="M19" s="1385"/>
      <c r="N19" s="332" t="s">
        <v>335</v>
      </c>
      <c r="O19" s="432"/>
      <c r="P19" s="433"/>
      <c r="Q19" s="434"/>
    </row>
    <row r="20" spans="1:18" s="305" customFormat="1" ht="39.950000000000003" customHeight="1" x14ac:dyDescent="0.25">
      <c r="A20" s="1385"/>
      <c r="B20" s="346" t="s">
        <v>340</v>
      </c>
      <c r="C20" s="341" t="e">
        <f>C18+(VLOOKUP('2 mg %'!$J$19,'DATOS %'!$J$174:$W$180,9,FALSE))*C18+(VLOOKUP('2 mg %'!$J$19,'DATOS %'!$J$174:$W$180,10,FALSE))</f>
        <v>#N/A</v>
      </c>
      <c r="D20" s="348" t="e">
        <f>D18+(VLOOKUP('2 mg %'!$J$19,'DATOS %'!$J$174:$W$180,11,FALSE))*D18+(VLOOKUP('2 mg %'!$J$19,'DATOS %'!$J$174:$W$180,12,FALSE))</f>
        <v>#N/A</v>
      </c>
      <c r="E20" s="349" t="e">
        <f>E18+(VLOOKUP('2 mg %'!$J$19,'DATOS %'!$J$174:$W$180,13,FALSE))*E18+(VLOOKUP('2 mg %'!$J$19,'DATOS %'!$J$174:$W$180,14,FALSE))</f>
        <v>#N/A</v>
      </c>
      <c r="G20" s="1385"/>
      <c r="H20" s="346" t="s">
        <v>340</v>
      </c>
      <c r="I20" s="338" t="e">
        <f>I18+(VLOOKUP('20 mg % '!$J$19,'DATOS %'!$J$174:$W$180,9,FALSE))*I18+(VLOOKUP('20 mg % '!$J$19,'DATOS %'!$J$174:$W$180,10,FALSE))</f>
        <v>#N/A</v>
      </c>
      <c r="J20" s="335" t="e">
        <f>J18+(VLOOKUP('20 mg % '!$J$19,'DATOS %'!$J$174:$W$180,11,FALSE))*J18+(VLOOKUP('20 mg % '!$J$19,'DATOS %'!$J$174:$W$180,12,FALSE))</f>
        <v>#N/A</v>
      </c>
      <c r="K20" s="336" t="e">
        <f>K18+(VLOOKUP('20 mg % '!$J$19,'DATOS %'!$J$174:$W$180,13,FALSE))*K18+(VLOOKUP('20 mg % '!$J$19,'DATOS %'!$J$174:$W$180,14,FALSE))</f>
        <v>#N/A</v>
      </c>
      <c r="M20" s="1385"/>
      <c r="N20" s="346" t="s">
        <v>340</v>
      </c>
      <c r="O20" s="338" t="e">
        <f>O18+(VLOOKUP('200 mg % '!$J$19,'DATOS %'!$J$174:$W$180,9,FALSE))*O18+(VLOOKUP('200 mg % '!$J$19,'DATOS %'!$J$174:$W$180,10,FALSE))</f>
        <v>#N/A</v>
      </c>
      <c r="P20" s="335" t="e">
        <f>P18+(VLOOKUP('200 mg % '!$J$19,'DATOS %'!$J$174:$W$180,11,FALSE))*P18+(VLOOKUP('200 mg % '!$J$19,'DATOS %'!$J$174:$W$180,12,FALSE))</f>
        <v>#N/A</v>
      </c>
      <c r="Q20" s="336" t="e">
        <f>Q18+(VLOOKUP('200 mg % '!$J$19,'DATOS %'!$J$174:$W$180,13,FALSE))*Q18+(VLOOKUP('200 mg % '!$J$19,'DATOS %'!$J$174:$W$180,14,FALSE))</f>
        <v>#N/A</v>
      </c>
    </row>
    <row r="21" spans="1:18" s="305" customFormat="1" ht="39.950000000000003" customHeight="1" thickBot="1" x14ac:dyDescent="0.3">
      <c r="A21" s="1386"/>
      <c r="B21" s="347" t="s">
        <v>341</v>
      </c>
      <c r="C21" s="350" t="e">
        <f>C19+(VLOOKUP('2 mg %'!$J$19,'DATOS %'!$J$174:$W$180,9,FALSE))*C19+(VLOOKUP('2 mg %'!$J$19,'DATOS %'!$J$174:$W$180,10,FALSE))</f>
        <v>#N/A</v>
      </c>
      <c r="D21" s="351" t="e">
        <f>D19+(VLOOKUP('2 mg %'!$J$19,'DATOS %'!$J$174:$W$180,11,FALSE))*D19+(VLOOKUP('2 mg %'!$J$19,'DATOS %'!$J$174:$W$180,12,FALSE))</f>
        <v>#N/A</v>
      </c>
      <c r="E21" s="352" t="e">
        <f>E19+(VLOOKUP('2 mg %'!$J$19,'DATOS %'!$J$174:$W$180,13,FALSE))*E19+(VLOOKUP('2 mg %'!$J$19,'DATOS %'!$J$174:$W$180,14,FALSE))</f>
        <v>#N/A</v>
      </c>
      <c r="G21" s="1386"/>
      <c r="H21" s="347" t="s">
        <v>341</v>
      </c>
      <c r="I21" s="334" t="e">
        <f>I19+(VLOOKUP('20 mg % '!$J$19,'DATOS %'!$J$174:$W$180,9,FALSE))*I19+(VLOOKUP('20 mg % '!$J$19,'DATOS %'!$J$174:$W$180,10,FALSE))</f>
        <v>#N/A</v>
      </c>
      <c r="J21" s="327" t="e">
        <f>J19+(VLOOKUP('20 mg % '!$J$19,'DATOS %'!$J$174:$W$180,11,FALSE))*J19+(VLOOKUP('20 mg % '!$J$19,'DATOS %'!$J$174:$W$180,12,FALSE))</f>
        <v>#N/A</v>
      </c>
      <c r="K21" s="328" t="e">
        <f>K19+(VLOOKUP('20 mg % '!$J$19,'DATOS %'!$J$174:$W$180,13,FALSE))*K19+(VLOOKUP('20 mg % '!$J$19,'DATOS %'!$J$174:$W$180,14,FALSE))</f>
        <v>#N/A</v>
      </c>
      <c r="M21" s="1386"/>
      <c r="N21" s="347" t="s">
        <v>341</v>
      </c>
      <c r="O21" s="334" t="e">
        <f>O19+(VLOOKUP('200 mg % '!$J$19,'DATOS %'!$J$174:$W$180,9,FALSE))*O19+(VLOOKUP('200 mg % '!$J$19,'DATOS %'!$J$174:$W$180,10,FALSE))</f>
        <v>#N/A</v>
      </c>
      <c r="P21" s="327" t="e">
        <f>P19+(VLOOKUP('200 mg % '!$J$19,'DATOS %'!$J$174:$W$180,11,FALSE))*P19+(VLOOKUP('200 mg % '!$J$19,'DATOS %'!$J$174:$W$180,12,FALSE))</f>
        <v>#N/A</v>
      </c>
      <c r="Q21" s="328" t="e">
        <f>Q19+(VLOOKUP('200 mg % '!$J$19,'DATOS %'!$J$174:$W$180,13,FALSE))*Q19+(VLOOKUP('200 mg % '!$J$19,'DATOS %'!$J$174:$W$180,14,FALSE))</f>
        <v>#N/A</v>
      </c>
    </row>
    <row r="22" spans="1:18" s="305" customFormat="1" ht="300" customHeight="1" x14ac:dyDescent="0.25"/>
    <row r="23" spans="1:18" s="305" customFormat="1" ht="30" customHeight="1" thickBot="1" x14ac:dyDescent="0.3">
      <c r="G23" s="379"/>
      <c r="H23" s="379"/>
      <c r="I23" s="379"/>
      <c r="J23" s="379"/>
      <c r="K23" s="379"/>
    </row>
    <row r="24" spans="1:18" s="305" customFormat="1" ht="30" customHeight="1" thickBot="1" x14ac:dyDescent="0.3">
      <c r="A24" s="379"/>
      <c r="B24" s="374" t="s">
        <v>351</v>
      </c>
      <c r="C24" s="375" t="s">
        <v>352</v>
      </c>
      <c r="D24" s="380"/>
      <c r="E24" s="379"/>
      <c r="G24" s="379"/>
      <c r="H24" s="374" t="s">
        <v>351</v>
      </c>
      <c r="I24" s="375" t="s">
        <v>352</v>
      </c>
      <c r="J24" s="380"/>
      <c r="K24" s="379"/>
      <c r="M24" s="379"/>
      <c r="N24" s="374" t="s">
        <v>351</v>
      </c>
      <c r="O24" s="375" t="s">
        <v>352</v>
      </c>
      <c r="P24" s="380"/>
      <c r="Q24" s="379"/>
    </row>
    <row r="25" spans="1:18" s="305" customFormat="1" ht="30" customHeight="1" thickBot="1" x14ac:dyDescent="0.3">
      <c r="A25" s="365" t="s">
        <v>542</v>
      </c>
      <c r="B25" s="899">
        <f>'2 mg + % '!$B$24</f>
        <v>0</v>
      </c>
      <c r="C25" s="899">
        <f>'2 mg + % '!$B$33</f>
        <v>0</v>
      </c>
      <c r="D25" s="372" t="s">
        <v>353</v>
      </c>
      <c r="E25" s="371">
        <f>'2 mg + % '!$J$19</f>
        <v>0</v>
      </c>
      <c r="G25" s="381" t="s">
        <v>543</v>
      </c>
      <c r="H25" s="899">
        <f>'20 mg + % '!$B$24</f>
        <v>0</v>
      </c>
      <c r="I25" s="899">
        <f>'20 mg + % '!$B$33</f>
        <v>0</v>
      </c>
      <c r="J25" s="372" t="s">
        <v>353</v>
      </c>
      <c r="K25" s="371">
        <f>'20 mg + % '!$J$19</f>
        <v>0</v>
      </c>
      <c r="M25" s="385" t="s">
        <v>544</v>
      </c>
      <c r="N25" s="899">
        <f>'200 mg + %'!B24</f>
        <v>0</v>
      </c>
      <c r="O25" s="899">
        <f>'200 mg + %'!B33</f>
        <v>0</v>
      </c>
      <c r="P25" s="372" t="s">
        <v>353</v>
      </c>
      <c r="Q25" s="371">
        <f>'200 mg + %'!$J$19</f>
        <v>0</v>
      </c>
    </row>
    <row r="26" spans="1:18" s="305" customFormat="1" ht="30" customHeight="1" thickBot="1" x14ac:dyDescent="0.3">
      <c r="A26" s="365" t="s">
        <v>333</v>
      </c>
      <c r="B26" s="366" t="s">
        <v>342</v>
      </c>
      <c r="C26" s="366" t="s">
        <v>163</v>
      </c>
      <c r="D26" s="366" t="s">
        <v>318</v>
      </c>
      <c r="E26" s="377" t="s">
        <v>164</v>
      </c>
      <c r="G26" s="374" t="s">
        <v>333</v>
      </c>
      <c r="H26" s="366" t="s">
        <v>342</v>
      </c>
      <c r="I26" s="378" t="s">
        <v>163</v>
      </c>
      <c r="J26" s="378" t="s">
        <v>318</v>
      </c>
      <c r="K26" s="375" t="s">
        <v>164</v>
      </c>
      <c r="M26" s="382" t="s">
        <v>333</v>
      </c>
      <c r="N26" s="386" t="s">
        <v>342</v>
      </c>
      <c r="O26" s="383" t="s">
        <v>163</v>
      </c>
      <c r="P26" s="383" t="s">
        <v>318</v>
      </c>
      <c r="Q26" s="384" t="s">
        <v>164</v>
      </c>
    </row>
    <row r="27" spans="1:18" s="305" customFormat="1" ht="39.950000000000003" customHeight="1" x14ac:dyDescent="0.25">
      <c r="A27" s="1385" t="e">
        <f>'2 mg + % '!$E$4</f>
        <v>#N/A</v>
      </c>
      <c r="B27" s="330" t="s">
        <v>334</v>
      </c>
      <c r="C27" s="435"/>
      <c r="D27" s="436"/>
      <c r="E27" s="437"/>
      <c r="G27" s="1387" t="e">
        <f>'20 mg + % '!$E$4</f>
        <v>#N/A</v>
      </c>
      <c r="H27" s="330" t="s">
        <v>334</v>
      </c>
      <c r="I27" s="435"/>
      <c r="J27" s="436"/>
      <c r="K27" s="437"/>
      <c r="M27" s="1387" t="e">
        <f>'200 mg + %'!E4</f>
        <v>#N/A</v>
      </c>
      <c r="N27" s="343" t="s">
        <v>334</v>
      </c>
      <c r="O27" s="435"/>
      <c r="P27" s="436"/>
      <c r="Q27" s="437"/>
    </row>
    <row r="28" spans="1:18" s="305" customFormat="1" ht="39.950000000000003" customHeight="1" thickBot="1" x14ac:dyDescent="0.3">
      <c r="A28" s="1385"/>
      <c r="B28" s="332" t="s">
        <v>335</v>
      </c>
      <c r="C28" s="432"/>
      <c r="D28" s="433"/>
      <c r="E28" s="434"/>
      <c r="G28" s="1385"/>
      <c r="H28" s="332" t="s">
        <v>335</v>
      </c>
      <c r="I28" s="432"/>
      <c r="J28" s="433"/>
      <c r="K28" s="434"/>
      <c r="M28" s="1385"/>
      <c r="N28" s="344" t="s">
        <v>335</v>
      </c>
      <c r="O28" s="432"/>
      <c r="P28" s="433"/>
      <c r="Q28" s="434"/>
      <c r="R28" s="342"/>
    </row>
    <row r="29" spans="1:18" s="305" customFormat="1" ht="39.950000000000003" customHeight="1" x14ac:dyDescent="0.25">
      <c r="A29" s="1385"/>
      <c r="B29" s="346" t="s">
        <v>340</v>
      </c>
      <c r="C29" s="338" t="e">
        <f>C27+(VLOOKUP('2 mg + % '!$J$19,'DATOS %'!$J$174:$W$180,9,FALSE))*C27+(VLOOKUP('2 mg + % '!$J$19,'DATOS %'!$J$174:$W$180,10,FALSE))</f>
        <v>#N/A</v>
      </c>
      <c r="D29" s="335" t="e">
        <f>D27+(VLOOKUP('2 mg + % '!$J$19,'DATOS %'!$J$174:$W$180,11,FALSE))*D27+(VLOOKUP('2 mg + % '!$J$19,'DATOS %'!$J$174:$W$180,12,FALSE))</f>
        <v>#N/A</v>
      </c>
      <c r="E29" s="336" t="e">
        <f>E27+(VLOOKUP('2 mg + % '!$J$19,'DATOS %'!$J$174:$W$180,13,FALSE))*E27+(VLOOKUP('2 mg + % '!$J$19,'DATOS %'!$J$174:$W$180,14,FALSE))</f>
        <v>#N/A</v>
      </c>
      <c r="G29" s="1385"/>
      <c r="H29" s="346" t="s">
        <v>340</v>
      </c>
      <c r="I29" s="338" t="e">
        <f>I27+(VLOOKUP('20 mg + % '!$J$19,'DATOS %'!$J$174:$W$180,9,FALSE))*I27+(VLOOKUP('20 mg + % '!$J$19,'DATOS %'!$J$174:$W$180,10,FALSE))</f>
        <v>#N/A</v>
      </c>
      <c r="J29" s="335" t="e">
        <f>J27+(VLOOKUP('20 mg + % '!$J$19,'DATOS %'!$J$174:$W$180,11,FALSE))*J27+(VLOOKUP('20 mg + % '!$J$19,'DATOS %'!$J$174:$W$180,12,FALSE))</f>
        <v>#N/A</v>
      </c>
      <c r="K29" s="336" t="e">
        <f>K27+(VLOOKUP('20 mg + % '!$J$19,'DATOS %'!$J$174:$W$180,13,FALSE))*K27+(VLOOKUP('20 mg + % '!$J$19,'DATOS %'!$J$174:$W$180,14,FALSE))</f>
        <v>#N/A</v>
      </c>
      <c r="M29" s="1385"/>
      <c r="N29" s="353" t="s">
        <v>340</v>
      </c>
      <c r="O29" s="345" t="e">
        <f>O27+(VLOOKUP('200 mg + %'!$J$19,'DATOS %'!$J$174:$W$180,9,FALSE))*O27+(VLOOKUP('200 mg + %'!$J$19,'DATOS %'!$J$174:$W$180,10,FALSE))</f>
        <v>#N/A</v>
      </c>
      <c r="P29" s="355" t="e">
        <f>P27+(VLOOKUP('200 mg + %'!$J$19,'DATOS %'!$J$174:$W$180,11,FALSE))*P27+(VLOOKUP('200 mg + %'!$J$19,'DATOS %'!$J$174:$W$180,12,FALSE))</f>
        <v>#N/A</v>
      </c>
      <c r="Q29" s="356" t="e">
        <f>Q27+(VLOOKUP('200 mg + %'!$J$19,'DATOS %'!$J$174:$W$180,13,FALSE))*Q27+(VLOOKUP('200 mg + %'!$J$19,'DATOS %'!$J$174:$W$180,14,FALSE))</f>
        <v>#N/A</v>
      </c>
    </row>
    <row r="30" spans="1:18" s="305" customFormat="1" ht="39.950000000000003" customHeight="1" thickBot="1" x14ac:dyDescent="0.3">
      <c r="A30" s="1386"/>
      <c r="B30" s="347" t="s">
        <v>341</v>
      </c>
      <c r="C30" s="334" t="e">
        <f>C28+(VLOOKUP('2 mg + % '!$J$19,'DATOS %'!$J$174:$W$180,9,FALSE))*C28+(VLOOKUP('2 mg + % '!$J$19,'DATOS %'!$J$174:$W$180,10,FALSE))</f>
        <v>#N/A</v>
      </c>
      <c r="D30" s="327" t="e">
        <f>D28+(VLOOKUP('2 mg + % '!$J$19,'DATOS %'!$J$174:$W$180,11,FALSE))*D28+(VLOOKUP('2 mg + % '!$J$19,'DATOS %'!$J$174:$W$180,12,FALSE))</f>
        <v>#N/A</v>
      </c>
      <c r="E30" s="328" t="e">
        <f>E28+(VLOOKUP('2 mg + % '!$J$19,'DATOS %'!$J$174:$W$180,13,FALSE))*E28+(VLOOKUP('2 mg + % '!$J$19,'DATOS %'!$J$174:$W$180,14,FALSE))</f>
        <v>#N/A</v>
      </c>
      <c r="G30" s="1386"/>
      <c r="H30" s="347" t="s">
        <v>341</v>
      </c>
      <c r="I30" s="334" t="e">
        <f>I28+(VLOOKUP('20 mg % '!$J$19,'DATOS %'!$J$174:$W$180,9,FALSE))*I28+(VLOOKUP('20 mg % '!$J$19,'DATOS %'!$J$174:$W$180,10,FALSE))</f>
        <v>#N/A</v>
      </c>
      <c r="J30" s="327" t="e">
        <f>J28+(VLOOKUP('20 mg + % '!$J$19,'DATOS %'!$J$174:$W$180,11,FALSE))*J28+(VLOOKUP('20 mg + % '!$J$19,'DATOS %'!$J$174:$W$180,12,FALSE))</f>
        <v>#N/A</v>
      </c>
      <c r="K30" s="328" t="e">
        <f>K28+(VLOOKUP('20 mg + % '!$J$19,'DATOS %'!$J$174:$W$180,13,FALSE))*K28+(VLOOKUP('20 mg + % '!$J$19,'DATOS %'!$J$174:$W$180,14,FALSE))</f>
        <v>#N/A</v>
      </c>
      <c r="M30" s="1386"/>
      <c r="N30" s="354" t="s">
        <v>341</v>
      </c>
      <c r="O30" s="357" t="e">
        <f>O28+(VLOOKUP('200 mg + %'!$J$19,'DATOS %'!$J$174:$W$180,9,FALSE))*O28+(VLOOKUP('200 mg + %'!$J$19,'DATOS %'!$J$174:$W$180,10,FALSE))</f>
        <v>#N/A</v>
      </c>
      <c r="P30" s="358" t="e">
        <f>P28+(VLOOKUP('200 mg + %'!$J$19,'DATOS %'!$J$174:$W$180,11,FALSE))*P28+(VLOOKUP('200 mg + %'!$J$19,'DATOS %'!$J$174:$W$180,12,FALSE))</f>
        <v>#N/A</v>
      </c>
      <c r="Q30" s="359" t="e">
        <f>Q28+(VLOOKUP('200 mg + %'!$J$19,'DATOS %'!$J$174:$W$180,13,FALSE))*Q28+(VLOOKUP('200 mg + %'!$J$19,'DATOS %'!$J$174:$W$180,14,FALSE))</f>
        <v>#N/A</v>
      </c>
    </row>
    <row r="31" spans="1:18" s="305" customFormat="1" ht="300" customHeight="1" x14ac:dyDescent="0.25">
      <c r="O31" s="900"/>
    </row>
    <row r="32" spans="1:18" s="305" customFormat="1" ht="30" customHeight="1" thickBot="1" x14ac:dyDescent="0.3">
      <c r="B32" s="304"/>
      <c r="C32" s="303"/>
      <c r="D32" s="303"/>
      <c r="E32" s="303"/>
    </row>
    <row r="33" spans="1:17" s="305" customFormat="1" ht="30" customHeight="1" thickBot="1" x14ac:dyDescent="0.3">
      <c r="A33" s="379"/>
      <c r="B33" s="374" t="s">
        <v>351</v>
      </c>
      <c r="C33" s="375" t="s">
        <v>352</v>
      </c>
      <c r="D33" s="380"/>
      <c r="E33" s="379"/>
      <c r="G33" s="379"/>
      <c r="H33" s="374" t="s">
        <v>351</v>
      </c>
      <c r="I33" s="375" t="s">
        <v>352</v>
      </c>
      <c r="J33" s="380"/>
      <c r="K33" s="379"/>
      <c r="M33" s="379"/>
      <c r="N33" s="374" t="s">
        <v>351</v>
      </c>
      <c r="O33" s="375" t="s">
        <v>352</v>
      </c>
      <c r="P33" s="380"/>
      <c r="Q33" s="379"/>
    </row>
    <row r="34" spans="1:17" s="305" customFormat="1" ht="30" customHeight="1" thickBot="1" x14ac:dyDescent="0.3">
      <c r="A34" s="365" t="s">
        <v>486</v>
      </c>
      <c r="B34" s="1154">
        <f>'5 mg % '!$B$24</f>
        <v>0</v>
      </c>
      <c r="C34" s="1154">
        <f>'5 mg % '!$B$33</f>
        <v>0</v>
      </c>
      <c r="D34" s="372" t="s">
        <v>353</v>
      </c>
      <c r="E34" s="371">
        <f>'5 mg % '!J19</f>
        <v>0</v>
      </c>
      <c r="G34" s="381" t="s">
        <v>491</v>
      </c>
      <c r="H34" s="1154">
        <f>'50 mg % '!$B$24</f>
        <v>0</v>
      </c>
      <c r="I34" s="1154">
        <f>'50 mg % '!$B$33</f>
        <v>0</v>
      </c>
      <c r="J34" s="372" t="s">
        <v>353</v>
      </c>
      <c r="K34" s="371">
        <f>'50 mg % '!$J$19</f>
        <v>0</v>
      </c>
      <c r="M34" s="381" t="s">
        <v>495</v>
      </c>
      <c r="N34" s="1154">
        <f>'500 mg % '!B24</f>
        <v>0</v>
      </c>
      <c r="O34" s="1154">
        <f>'500 mg % '!B33</f>
        <v>0</v>
      </c>
      <c r="P34" s="372" t="s">
        <v>353</v>
      </c>
      <c r="Q34" s="371">
        <f>'500 mg % '!$J$19</f>
        <v>0</v>
      </c>
    </row>
    <row r="35" spans="1:17" s="305" customFormat="1" ht="30" customHeight="1" thickBot="1" x14ac:dyDescent="0.3">
      <c r="A35" s="365" t="s">
        <v>333</v>
      </c>
      <c r="B35" s="366" t="s">
        <v>342</v>
      </c>
      <c r="C35" s="366" t="s">
        <v>163</v>
      </c>
      <c r="D35" s="366" t="s">
        <v>318</v>
      </c>
      <c r="E35" s="377" t="s">
        <v>164</v>
      </c>
      <c r="G35" s="365" t="s">
        <v>333</v>
      </c>
      <c r="H35" s="366" t="s">
        <v>342</v>
      </c>
      <c r="I35" s="366" t="s">
        <v>163</v>
      </c>
      <c r="J35" s="366" t="s">
        <v>318</v>
      </c>
      <c r="K35" s="377" t="s">
        <v>164</v>
      </c>
      <c r="M35" s="374" t="s">
        <v>333</v>
      </c>
      <c r="N35" s="366" t="s">
        <v>342</v>
      </c>
      <c r="O35" s="378" t="s">
        <v>163</v>
      </c>
      <c r="P35" s="378" t="s">
        <v>318</v>
      </c>
      <c r="Q35" s="375" t="s">
        <v>164</v>
      </c>
    </row>
    <row r="36" spans="1:17" s="305" customFormat="1" ht="39.950000000000003" customHeight="1" x14ac:dyDescent="0.25">
      <c r="A36" s="1385" t="e">
        <f>'5 mg % '!$E$4</f>
        <v>#N/A</v>
      </c>
      <c r="B36" s="330" t="s">
        <v>334</v>
      </c>
      <c r="C36" s="435"/>
      <c r="D36" s="436"/>
      <c r="E36" s="437"/>
      <c r="G36" s="1385" t="e">
        <f>'50 mg % '!$E$4</f>
        <v>#N/A</v>
      </c>
      <c r="H36" s="330" t="s">
        <v>334</v>
      </c>
      <c r="I36" s="435"/>
      <c r="J36" s="436"/>
      <c r="K36" s="437"/>
      <c r="M36" s="1387" t="e">
        <f>'500 mg % '!$E$4</f>
        <v>#N/A</v>
      </c>
      <c r="N36" s="330" t="s">
        <v>334</v>
      </c>
      <c r="O36" s="435"/>
      <c r="P36" s="436"/>
      <c r="Q36" s="437"/>
    </row>
    <row r="37" spans="1:17" s="305" customFormat="1" ht="39.950000000000003" customHeight="1" thickBot="1" x14ac:dyDescent="0.3">
      <c r="A37" s="1385"/>
      <c r="B37" s="332" t="s">
        <v>335</v>
      </c>
      <c r="C37" s="432"/>
      <c r="D37" s="433"/>
      <c r="E37" s="434"/>
      <c r="G37" s="1385"/>
      <c r="H37" s="332" t="s">
        <v>335</v>
      </c>
      <c r="I37" s="432"/>
      <c r="J37" s="433"/>
      <c r="K37" s="434"/>
      <c r="M37" s="1385"/>
      <c r="N37" s="332" t="s">
        <v>335</v>
      </c>
      <c r="O37" s="432"/>
      <c r="P37" s="433"/>
      <c r="Q37" s="434"/>
    </row>
    <row r="38" spans="1:17" s="305" customFormat="1" ht="39.950000000000003" customHeight="1" x14ac:dyDescent="0.25">
      <c r="A38" s="1385"/>
      <c r="B38" s="346" t="s">
        <v>340</v>
      </c>
      <c r="C38" s="338" t="e">
        <f>C36+(VLOOKUP('5 mg % '!$J$19,'DATOS %'!$J$174:$W$180,9,FALSE))*C36+(VLOOKUP('5 mg % '!$J$19,'DATOS %'!$J$174:$W$180,10,FALSE))</f>
        <v>#N/A</v>
      </c>
      <c r="D38" s="335" t="e">
        <f>D36+(VLOOKUP('5 mg % '!$J$19,'DATOS %'!$J$174:$W$180,11,FALSE))*D36+(VLOOKUP('5 mg % '!$J$19,'DATOS %'!$J$174:$W$180,12,FALSE))</f>
        <v>#N/A</v>
      </c>
      <c r="E38" s="336" t="e">
        <f>E36+(VLOOKUP('5 mg % '!$J$19,'DATOS %'!$J$174:$W$180,13,FALSE))*E36+(VLOOKUP('5 mg % '!$J$19,'DATOS %'!$J$174:$W$180,14,FALSE))</f>
        <v>#N/A</v>
      </c>
      <c r="G38" s="1385"/>
      <c r="H38" s="346" t="s">
        <v>340</v>
      </c>
      <c r="I38" s="338" t="e">
        <f>I36+(VLOOKUP('50 mg % '!$J$19,'DATOS %'!$J$174:$W$180,9,FALSE))*I36+(VLOOKUP('50 mg % '!$J$19,'DATOS %'!$J$174:$W$180,10,FALSE))</f>
        <v>#N/A</v>
      </c>
      <c r="J38" s="335" t="e">
        <f>J36+(VLOOKUP('50 mg % '!$J$19,'DATOS %'!$J$174:$W$180,11,FALSE))*J36+(VLOOKUP('50 mg % '!$J$19,'DATOS %'!$J$174:$W$180,12,FALSE))</f>
        <v>#N/A</v>
      </c>
      <c r="K38" s="336" t="e">
        <f>K36+(VLOOKUP('50 mg % '!$J$19,'DATOS %'!$J$174:$W$180,13,FALSE))*K36+(VLOOKUP('50 mg % '!$J$19,'DATOS %'!$J$174:$W$180,14,FALSE))</f>
        <v>#N/A</v>
      </c>
      <c r="M38" s="1385"/>
      <c r="N38" s="346" t="s">
        <v>340</v>
      </c>
      <c r="O38" s="338" t="e">
        <f>O36+(VLOOKUP('500 mg % '!$J$19,'DATOS %'!$J$174:$W$180,9,FALSE))*O36+(VLOOKUP('500 mg % '!$J$19,'DATOS %'!$J$174:$W$180,10,FALSE))</f>
        <v>#N/A</v>
      </c>
      <c r="P38" s="335" t="e">
        <f>P36+(VLOOKUP('500 mg % '!$J$19,'DATOS %'!$J$174:$W$180,11,FALSE))*P36+(VLOOKUP('500 mg % '!$J$19,'DATOS %'!$J$174:$W$180,12,FALSE))</f>
        <v>#N/A</v>
      </c>
      <c r="Q38" s="336" t="e">
        <f>Q36+(VLOOKUP('500 mg % '!$J$19,'DATOS %'!$J$174:$W$180,13,FALSE))*Q36+(VLOOKUP('500 mg % '!$J$19,'DATOS %'!$J$174:$W$180,14,FALSE))</f>
        <v>#N/A</v>
      </c>
    </row>
    <row r="39" spans="1:17" s="305" customFormat="1" ht="39.950000000000003" customHeight="1" thickBot="1" x14ac:dyDescent="0.3">
      <c r="A39" s="1386"/>
      <c r="B39" s="347" t="s">
        <v>341</v>
      </c>
      <c r="C39" s="334" t="e">
        <f>C37+(VLOOKUP('5 mg % '!$J$19,'DATOS %'!$J$174:$W$180,9,FALSE))*C37+(VLOOKUP('5 mg % '!$J$19,'DATOS %'!$J$174:$W$180,10,FALSE))</f>
        <v>#N/A</v>
      </c>
      <c r="D39" s="327" t="e">
        <f>D37+(VLOOKUP('5 mg % '!$J$19,'DATOS %'!$J$174:$W$180,11,FALSE))*D37+(VLOOKUP('5 mg % '!$J$19,'DATOS %'!$J$174:$W$180,12,FALSE))</f>
        <v>#N/A</v>
      </c>
      <c r="E39" s="328" t="e">
        <f>E37+(VLOOKUP('5 mg % '!$J$19,'DATOS %'!$J$174:$W$180,13,FALSE))*E37+(VLOOKUP('5 mg % '!$J$19,'DATOS %'!$J$174:$W$180,14,FALSE))</f>
        <v>#N/A</v>
      </c>
      <c r="G39" s="1386"/>
      <c r="H39" s="347" t="s">
        <v>341</v>
      </c>
      <c r="I39" s="334" t="e">
        <f>I37+(VLOOKUP('50 mg % '!$J$19,'DATOS %'!$J$174:$W$180,9,FALSE))*I37+(VLOOKUP('50 mg % '!$J$19,'DATOS %'!$J$174:$W$180,10,FALSE))</f>
        <v>#N/A</v>
      </c>
      <c r="J39" s="327" t="e">
        <f>J37+(VLOOKUP('50 mg % '!$J$19,'DATOS %'!$J$174:$W$180,11,FALSE))*J37+(VLOOKUP('50 mg % '!$J$19,'DATOS %'!$J$174:$W$180,12,FALSE))</f>
        <v>#N/A</v>
      </c>
      <c r="K39" s="328" t="e">
        <f>K37+(VLOOKUP('50 mg % '!$J$19,'DATOS %'!$J$174:$W$180,13,FALSE))*K37+(VLOOKUP('50 mg % '!$J$19,'DATOS %'!$J$174:$W$180,14,FALSE))</f>
        <v>#N/A</v>
      </c>
      <c r="M39" s="1386"/>
      <c r="N39" s="347" t="s">
        <v>341</v>
      </c>
      <c r="O39" s="334" t="e">
        <f>O37+(VLOOKUP('500 mg % '!$J$19,'DATOS %'!$J$174:$W$180,9,FALSE))*O37+(VLOOKUP('500 mg % '!$J$19,'DATOS %'!$J$174:$W$180,10,FALSE))</f>
        <v>#N/A</v>
      </c>
      <c r="P39" s="327" t="e">
        <f>P37+(VLOOKUP('500 mg % '!$J$19,'DATOS %'!$J$174:$W$180,11,FALSE))*P37+(VLOOKUP('500 mg % '!$J$19,'DATOS %'!$J$174:$W$180,12,FALSE))</f>
        <v>#N/A</v>
      </c>
      <c r="Q39" s="328" t="e">
        <f>Q37+(VLOOKUP('500 mg % '!$J$19,'DATOS %'!$J$174:$W$180,13,FALSE))*Q37+(VLOOKUP('500 mg % '!$J$19,'DATOS %'!$J$174:$W$180,14,FALSE))</f>
        <v>#N/A</v>
      </c>
    </row>
    <row r="40" spans="1:17" s="305" customFormat="1" ht="300" customHeight="1" x14ac:dyDescent="0.25"/>
    <row r="41" spans="1:17" s="305" customFormat="1" x14ac:dyDescent="0.25"/>
    <row r="42" spans="1:17" s="305" customFormat="1" x14ac:dyDescent="0.25"/>
    <row r="43" spans="1:17" s="305" customFormat="1" x14ac:dyDescent="0.25"/>
    <row r="44" spans="1:17" s="305" customFormat="1" x14ac:dyDescent="0.25"/>
    <row r="45" spans="1:17" s="305" customFormat="1" x14ac:dyDescent="0.25"/>
  </sheetData>
  <sheetProtection password="CF5C" sheet="1" objects="1" scenarios="1"/>
  <mergeCells count="15">
    <mergeCell ref="A36:A39"/>
    <mergeCell ref="G36:G39"/>
    <mergeCell ref="M36:M39"/>
    <mergeCell ref="E1:R1"/>
    <mergeCell ref="A18:A21"/>
    <mergeCell ref="G18:G21"/>
    <mergeCell ref="M18:M21"/>
    <mergeCell ref="A27:A30"/>
    <mergeCell ref="G27:G30"/>
    <mergeCell ref="M27:M30"/>
    <mergeCell ref="A1:D1"/>
    <mergeCell ref="A3:R4"/>
    <mergeCell ref="A9:A12"/>
    <mergeCell ref="G9:G12"/>
    <mergeCell ref="M9:M12"/>
  </mergeCells>
  <printOptions horizontalCentered="1"/>
  <pageMargins left="0.70866141732283472" right="0.70866141732283472" top="0.74803149606299213" bottom="0.74803149606299213" header="0.31496062992125984" footer="0.31496062992125984"/>
  <pageSetup scale="13" orientation="portrait" r:id="rId1"/>
  <headerFooter>
    <oddHeader xml:space="preserve">&amp;C
&amp;16   
</oddHeader>
    <oddFooter xml:space="preserve">&amp;RRT03-F13 Vr.14 (2021-05-21)
</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FF00"/>
  </sheetPr>
  <dimension ref="A1:X156"/>
  <sheetViews>
    <sheetView showGridLines="0" view="pageBreakPreview" topLeftCell="C1" zoomScale="60" zoomScaleNormal="50" workbookViewId="0">
      <selection activeCell="C65" sqref="C65"/>
    </sheetView>
  </sheetViews>
  <sheetFormatPr baseColWidth="10" defaultColWidth="10.85546875" defaultRowHeight="15" x14ac:dyDescent="0.2"/>
  <cols>
    <col min="1" max="1" width="13.7109375" style="767" customWidth="1"/>
    <col min="2" max="2" width="18.7109375" style="768" customWidth="1"/>
    <col min="3" max="3" width="13.7109375" style="768" customWidth="1"/>
    <col min="4" max="4" width="16.42578125" style="768" customWidth="1"/>
    <col min="5" max="5" width="16.85546875" style="768" customWidth="1"/>
    <col min="6" max="6" width="11.28515625" style="768" customWidth="1"/>
    <col min="7" max="7" width="12.7109375" style="768" customWidth="1"/>
    <col min="8" max="8" width="17.140625" style="767" customWidth="1"/>
    <col min="9" max="9" width="16.5703125" style="767" customWidth="1"/>
    <col min="10" max="11" width="11.5703125" style="767" customWidth="1"/>
    <col min="12" max="12" width="12.7109375" style="767" customWidth="1"/>
    <col min="13" max="13" width="17.5703125" style="767" customWidth="1"/>
    <col min="14" max="18" width="13.7109375" style="767" customWidth="1"/>
    <col min="19" max="16384" width="10.85546875" style="767"/>
  </cols>
  <sheetData>
    <row r="1" spans="1:24" ht="24.95" customHeight="1" x14ac:dyDescent="0.2">
      <c r="A1" s="1395"/>
      <c r="B1" s="1396"/>
      <c r="C1" s="1396"/>
      <c r="D1" s="1401" t="s">
        <v>57</v>
      </c>
      <c r="E1" s="1402"/>
      <c r="F1" s="1402"/>
      <c r="G1" s="1402"/>
      <c r="H1" s="1402"/>
      <c r="I1" s="1402"/>
      <c r="J1" s="1402"/>
      <c r="K1" s="1402"/>
      <c r="L1" s="1402"/>
      <c r="M1" s="1402"/>
      <c r="N1" s="1402"/>
      <c r="O1" s="1402"/>
      <c r="P1" s="1402"/>
      <c r="Q1" s="1402"/>
      <c r="R1" s="1402"/>
      <c r="S1" s="1402"/>
      <c r="T1" s="1402"/>
      <c r="U1" s="1402"/>
      <c r="V1" s="1402"/>
      <c r="W1" s="1402"/>
      <c r="X1" s="1402"/>
    </row>
    <row r="2" spans="1:24" ht="24.95" customHeight="1" x14ac:dyDescent="0.2">
      <c r="A2" s="1397"/>
      <c r="B2" s="1398"/>
      <c r="C2" s="1398"/>
      <c r="D2" s="1403"/>
      <c r="E2" s="1404"/>
      <c r="F2" s="1404"/>
      <c r="G2" s="1404"/>
      <c r="H2" s="1404"/>
      <c r="I2" s="1404"/>
      <c r="J2" s="1404"/>
      <c r="K2" s="1404"/>
      <c r="L2" s="1404"/>
      <c r="M2" s="1404"/>
      <c r="N2" s="1404"/>
      <c r="O2" s="1404"/>
      <c r="P2" s="1404"/>
      <c r="Q2" s="1404"/>
      <c r="R2" s="1404"/>
      <c r="S2" s="1404"/>
      <c r="T2" s="1404"/>
      <c r="U2" s="1404"/>
      <c r="V2" s="1404"/>
      <c r="W2" s="1404"/>
      <c r="X2" s="1404"/>
    </row>
    <row r="3" spans="1:24" ht="24.95" customHeight="1" thickBot="1" x14ac:dyDescent="0.25">
      <c r="A3" s="1399"/>
      <c r="B3" s="1400"/>
      <c r="C3" s="1400"/>
      <c r="D3" s="1405"/>
      <c r="E3" s="1406"/>
      <c r="F3" s="1406"/>
      <c r="G3" s="1406"/>
      <c r="H3" s="1406"/>
      <c r="I3" s="1406"/>
      <c r="J3" s="1406"/>
      <c r="K3" s="1406"/>
      <c r="L3" s="1406"/>
      <c r="M3" s="1406"/>
      <c r="N3" s="1406"/>
      <c r="O3" s="1406"/>
      <c r="P3" s="1406"/>
      <c r="Q3" s="1406"/>
      <c r="R3" s="1406"/>
      <c r="S3" s="1406"/>
      <c r="T3" s="1406"/>
      <c r="U3" s="1406"/>
      <c r="V3" s="1406"/>
      <c r="W3" s="1406"/>
      <c r="X3" s="1406"/>
    </row>
    <row r="4" spans="1:24" ht="15" customHeight="1" x14ac:dyDescent="0.2">
      <c r="A4" s="1407"/>
      <c r="B4" s="1407"/>
      <c r="C4" s="1407"/>
      <c r="D4" s="1407"/>
      <c r="E4" s="1407"/>
      <c r="F4" s="1407"/>
      <c r="G4" s="1407"/>
      <c r="H4" s="1407"/>
      <c r="I4" s="1407"/>
      <c r="J4" s="1407"/>
      <c r="K4" s="1407"/>
      <c r="L4" s="1407"/>
      <c r="M4" s="1407"/>
      <c r="N4" s="1407"/>
      <c r="O4" s="1407"/>
      <c r="P4" s="1407"/>
      <c r="Q4" s="1407"/>
      <c r="R4" s="1407"/>
    </row>
    <row r="5" spans="1:24" ht="20.100000000000001" customHeight="1" thickBot="1" x14ac:dyDescent="0.25">
      <c r="A5" s="418"/>
      <c r="B5" s="418"/>
      <c r="C5" s="418"/>
      <c r="D5" s="418"/>
      <c r="E5" s="418"/>
      <c r="F5" s="418"/>
      <c r="G5" s="418"/>
      <c r="H5" s="418"/>
      <c r="I5" s="418"/>
      <c r="J5" s="418"/>
      <c r="K5" s="418"/>
      <c r="L5" s="418"/>
      <c r="M5" s="418"/>
      <c r="N5" s="418"/>
      <c r="O5" s="418"/>
      <c r="P5" s="418"/>
      <c r="Q5" s="418"/>
      <c r="R5" s="418"/>
    </row>
    <row r="6" spans="1:24" ht="48.75" customHeight="1" thickBot="1" x14ac:dyDescent="0.25">
      <c r="A6" s="889" t="s">
        <v>448</v>
      </c>
      <c r="B6" s="890" t="s">
        <v>306</v>
      </c>
      <c r="C6" s="890" t="s">
        <v>447</v>
      </c>
      <c r="D6" s="890" t="s">
        <v>444</v>
      </c>
      <c r="E6" s="890" t="s">
        <v>202</v>
      </c>
      <c r="F6" s="890" t="s">
        <v>445</v>
      </c>
      <c r="G6" s="890" t="s">
        <v>445</v>
      </c>
      <c r="H6" s="890" t="s">
        <v>446</v>
      </c>
      <c r="I6" s="890" t="s">
        <v>450</v>
      </c>
      <c r="J6" s="890" t="s">
        <v>451</v>
      </c>
      <c r="K6" s="890" t="s">
        <v>452</v>
      </c>
      <c r="L6" s="890" t="s">
        <v>458</v>
      </c>
      <c r="M6" s="891" t="s">
        <v>457</v>
      </c>
      <c r="N6" s="418"/>
      <c r="O6" s="1408" t="s">
        <v>449</v>
      </c>
      <c r="P6" s="1409"/>
      <c r="Q6" s="1410"/>
      <c r="R6" s="1411" t="s">
        <v>449</v>
      </c>
      <c r="S6" s="1409"/>
      <c r="T6" s="1410"/>
      <c r="W6" s="768"/>
    </row>
    <row r="7" spans="1:24" ht="39.950000000000003" customHeight="1" x14ac:dyDescent="0.2">
      <c r="A7" s="769">
        <v>1</v>
      </c>
      <c r="B7" s="770">
        <f>'Cert juego miligramo'!B59</f>
        <v>0</v>
      </c>
      <c r="C7" s="770" t="str">
        <f>'Cert juego miligramo'!C59</f>
        <v>1 mg</v>
      </c>
      <c r="D7" s="771" t="e">
        <f>'Cert juego miligramo'!D59</f>
        <v>#N/A</v>
      </c>
      <c r="E7" s="771">
        <f>'Cert juego miligramo'!E59</f>
        <v>0.06</v>
      </c>
      <c r="F7" s="771">
        <f>'Cert juego miligramo'!F59</f>
        <v>0.2</v>
      </c>
      <c r="G7" s="771">
        <f>-F7</f>
        <v>-0.2</v>
      </c>
      <c r="H7" s="773" t="e">
        <f>_xlfn.NORM.S.DIST(K7,1)</f>
        <v>#N/A</v>
      </c>
      <c r="I7" s="774" t="e">
        <f>1-H7</f>
        <v>#N/A</v>
      </c>
      <c r="J7" s="442" t="e">
        <f t="shared" ref="J7:J18" si="0">ABS(D7)</f>
        <v>#N/A</v>
      </c>
      <c r="K7" s="775" t="e">
        <f>(F7-J7)/(E7/2)</f>
        <v>#N/A</v>
      </c>
      <c r="L7" s="776">
        <f>F7-E7</f>
        <v>0.14000000000000001</v>
      </c>
      <c r="M7" s="443" t="e">
        <f>IF(AND(H7&gt;=97.5%,I7&lt;=2.5%),"SI","NO")</f>
        <v>#N/A</v>
      </c>
      <c r="N7" s="418"/>
      <c r="O7" s="948">
        <f>'DATOS %'!$AA$134</f>
        <v>0.2</v>
      </c>
      <c r="P7" s="949">
        <f>'DATOS %'!$AA$134</f>
        <v>0.2</v>
      </c>
      <c r="Q7" s="950">
        <f>'DATOS %'!$AA$134</f>
        <v>0.2</v>
      </c>
      <c r="R7" s="951">
        <f>-$O$7</f>
        <v>-0.2</v>
      </c>
      <c r="S7" s="949">
        <f>-$O$7</f>
        <v>-0.2</v>
      </c>
      <c r="T7" s="950">
        <f>-$O$7</f>
        <v>-0.2</v>
      </c>
      <c r="W7" s="768"/>
    </row>
    <row r="8" spans="1:24" ht="39.950000000000003" customHeight="1" x14ac:dyDescent="0.2">
      <c r="A8" s="780">
        <v>2</v>
      </c>
      <c r="B8" s="781">
        <f>'Cert juego miligramo'!B60</f>
        <v>0</v>
      </c>
      <c r="C8" s="781" t="str">
        <f>'Cert juego miligramo'!C60</f>
        <v>2 mg</v>
      </c>
      <c r="D8" s="782" t="e">
        <f>'Cert juego miligramo'!D60</f>
        <v>#N/A</v>
      </c>
      <c r="E8" s="782">
        <f>'Cert juego miligramo'!E60</f>
        <v>0.06</v>
      </c>
      <c r="F8" s="782">
        <f>'Cert juego miligramo'!F60</f>
        <v>0.2</v>
      </c>
      <c r="G8" s="782">
        <f>-F8</f>
        <v>-0.2</v>
      </c>
      <c r="H8" s="784" t="e">
        <f t="shared" ref="H8:H17" si="1">_xlfn.NORM.S.DIST(K8,1)</f>
        <v>#N/A</v>
      </c>
      <c r="I8" s="785" t="e">
        <f t="shared" ref="I8:I17" si="2">1-H8</f>
        <v>#N/A</v>
      </c>
      <c r="J8" s="428" t="e">
        <f t="shared" si="0"/>
        <v>#N/A</v>
      </c>
      <c r="K8" s="786" t="e">
        <f t="shared" ref="K8:K18" si="3">(F8-J8)/(E8/2)</f>
        <v>#N/A</v>
      </c>
      <c r="L8" s="787">
        <f t="shared" ref="L8:L18" si="4">F8-E8</f>
        <v>0.14000000000000001</v>
      </c>
      <c r="M8" s="892" t="e">
        <f t="shared" ref="M8:M18" si="5">IF(AND(H8&gt;=97.5%,I8&lt;=2.5%),"SI","NO")</f>
        <v>#N/A</v>
      </c>
      <c r="N8" s="418"/>
      <c r="O8" s="798">
        <f>'DATOS %'!$AA$135</f>
        <v>0.2</v>
      </c>
      <c r="P8" s="799">
        <f>'DATOS %'!$AA$135</f>
        <v>0.2</v>
      </c>
      <c r="Q8" s="800">
        <f>'DATOS %'!$AA$135</f>
        <v>0.2</v>
      </c>
      <c r="R8" s="895">
        <f>-$O$8</f>
        <v>-0.2</v>
      </c>
      <c r="S8" s="799">
        <f>-$O$8</f>
        <v>-0.2</v>
      </c>
      <c r="T8" s="800">
        <f>-$O$8</f>
        <v>-0.2</v>
      </c>
      <c r="W8" s="768"/>
    </row>
    <row r="9" spans="1:24" ht="39.950000000000003" customHeight="1" x14ac:dyDescent="0.2">
      <c r="A9" s="780">
        <v>3</v>
      </c>
      <c r="B9" s="781">
        <f>'Cert juego miligramo'!B61</f>
        <v>0</v>
      </c>
      <c r="C9" s="781" t="str">
        <f>'Cert juego miligramo'!C61</f>
        <v>2 mg</v>
      </c>
      <c r="D9" s="782" t="e">
        <f>'Cert juego miligramo'!D61</f>
        <v>#N/A</v>
      </c>
      <c r="E9" s="782">
        <f>'Cert juego miligramo'!E61</f>
        <v>0.06</v>
      </c>
      <c r="F9" s="782">
        <f>'Cert juego miligramo'!F61</f>
        <v>0.2</v>
      </c>
      <c r="G9" s="782">
        <f t="shared" ref="G9:G18" si="6">-F9</f>
        <v>-0.2</v>
      </c>
      <c r="H9" s="784" t="e">
        <f t="shared" si="1"/>
        <v>#N/A</v>
      </c>
      <c r="I9" s="785" t="e">
        <f t="shared" si="2"/>
        <v>#N/A</v>
      </c>
      <c r="J9" s="428" t="e">
        <f t="shared" si="0"/>
        <v>#N/A</v>
      </c>
      <c r="K9" s="786" t="e">
        <f t="shared" si="3"/>
        <v>#N/A</v>
      </c>
      <c r="L9" s="787">
        <f t="shared" si="4"/>
        <v>0.14000000000000001</v>
      </c>
      <c r="M9" s="892" t="e">
        <f t="shared" si="5"/>
        <v>#N/A</v>
      </c>
      <c r="N9" s="418"/>
      <c r="O9" s="798">
        <f>'DATOS %'!$AA$136</f>
        <v>0.2</v>
      </c>
      <c r="P9" s="799">
        <f>'DATOS %'!$AA$136</f>
        <v>0.2</v>
      </c>
      <c r="Q9" s="800">
        <f>'DATOS %'!$AA$136</f>
        <v>0.2</v>
      </c>
      <c r="R9" s="895">
        <f>-$O$9</f>
        <v>-0.2</v>
      </c>
      <c r="S9" s="799">
        <f>-$O$9</f>
        <v>-0.2</v>
      </c>
      <c r="T9" s="800">
        <f>-$O$9</f>
        <v>-0.2</v>
      </c>
      <c r="W9" s="768"/>
    </row>
    <row r="10" spans="1:24" ht="39.950000000000003" customHeight="1" x14ac:dyDescent="0.2">
      <c r="A10" s="780">
        <v>4</v>
      </c>
      <c r="B10" s="781">
        <f>'Cert juego miligramo'!B62</f>
        <v>0</v>
      </c>
      <c r="C10" s="781" t="str">
        <f>'Cert juego miligramo'!C62</f>
        <v>5 mg</v>
      </c>
      <c r="D10" s="782" t="e">
        <f>'Cert juego miligramo'!D62</f>
        <v>#N/A</v>
      </c>
      <c r="E10" s="782">
        <f>'Cert juego miligramo'!E62</f>
        <v>0.06</v>
      </c>
      <c r="F10" s="782">
        <f>'Cert juego miligramo'!F62</f>
        <v>0.2</v>
      </c>
      <c r="G10" s="782">
        <f t="shared" si="6"/>
        <v>-0.2</v>
      </c>
      <c r="H10" s="784" t="e">
        <f t="shared" si="1"/>
        <v>#N/A</v>
      </c>
      <c r="I10" s="785" t="e">
        <f t="shared" si="2"/>
        <v>#N/A</v>
      </c>
      <c r="J10" s="428" t="e">
        <f t="shared" si="0"/>
        <v>#N/A</v>
      </c>
      <c r="K10" s="786" t="e">
        <f t="shared" si="3"/>
        <v>#N/A</v>
      </c>
      <c r="L10" s="787">
        <f t="shared" si="4"/>
        <v>0.14000000000000001</v>
      </c>
      <c r="M10" s="892" t="e">
        <f t="shared" si="5"/>
        <v>#N/A</v>
      </c>
      <c r="N10" s="418"/>
      <c r="O10" s="798">
        <f>'DATOS %'!$AA$137</f>
        <v>0.2</v>
      </c>
      <c r="P10" s="799">
        <f>'DATOS %'!$AA$137</f>
        <v>0.2</v>
      </c>
      <c r="Q10" s="800">
        <f>'DATOS %'!$AA$137</f>
        <v>0.2</v>
      </c>
      <c r="R10" s="895">
        <f>-$O$10</f>
        <v>-0.2</v>
      </c>
      <c r="S10" s="799">
        <f>-$O$10</f>
        <v>-0.2</v>
      </c>
      <c r="T10" s="800">
        <f>-$O$10</f>
        <v>-0.2</v>
      </c>
      <c r="W10" s="768"/>
    </row>
    <row r="11" spans="1:24" ht="39.950000000000003" customHeight="1" x14ac:dyDescent="0.2">
      <c r="A11" s="780">
        <v>5</v>
      </c>
      <c r="B11" s="781">
        <f>'Cert juego miligramo'!B63</f>
        <v>0</v>
      </c>
      <c r="C11" s="781" t="str">
        <f>'Cert juego miligramo'!C63</f>
        <v>10 mg</v>
      </c>
      <c r="D11" s="782" t="e">
        <f>'Cert juego miligramo'!D63</f>
        <v>#N/A</v>
      </c>
      <c r="E11" s="782">
        <f>'Cert juego miligramo'!E63</f>
        <v>0.08</v>
      </c>
      <c r="F11" s="782">
        <f>'Cert juego miligramo'!F63</f>
        <v>0.25</v>
      </c>
      <c r="G11" s="782">
        <f t="shared" si="6"/>
        <v>-0.25</v>
      </c>
      <c r="H11" s="784" t="e">
        <f t="shared" si="1"/>
        <v>#N/A</v>
      </c>
      <c r="I11" s="785" t="e">
        <f t="shared" si="2"/>
        <v>#N/A</v>
      </c>
      <c r="J11" s="428" t="e">
        <f t="shared" si="0"/>
        <v>#N/A</v>
      </c>
      <c r="K11" s="786" t="e">
        <f t="shared" si="3"/>
        <v>#N/A</v>
      </c>
      <c r="L11" s="787">
        <f t="shared" si="4"/>
        <v>0.16999999999999998</v>
      </c>
      <c r="M11" s="892" t="e">
        <f t="shared" si="5"/>
        <v>#N/A</v>
      </c>
      <c r="N11" s="418"/>
      <c r="O11" s="798">
        <f>'DATOS %'!$AA$138</f>
        <v>0.25</v>
      </c>
      <c r="P11" s="799">
        <f>'DATOS %'!$AA$138</f>
        <v>0.25</v>
      </c>
      <c r="Q11" s="800">
        <f>'DATOS %'!$AA$138</f>
        <v>0.25</v>
      </c>
      <c r="R11" s="895">
        <f>-$O$11</f>
        <v>-0.25</v>
      </c>
      <c r="S11" s="799">
        <f>-$O$11</f>
        <v>-0.25</v>
      </c>
      <c r="T11" s="800">
        <f>-$O$11</f>
        <v>-0.25</v>
      </c>
      <c r="W11" s="768"/>
    </row>
    <row r="12" spans="1:24" ht="39.950000000000003" customHeight="1" x14ac:dyDescent="0.2">
      <c r="A12" s="780">
        <v>6</v>
      </c>
      <c r="B12" s="781">
        <f>'Cert juego miligramo'!B64</f>
        <v>0</v>
      </c>
      <c r="C12" s="781" t="str">
        <f>'Cert juego miligramo'!C64</f>
        <v>20 mg</v>
      </c>
      <c r="D12" s="782" t="e">
        <f>'Cert juego miligramo'!D64</f>
        <v>#N/A</v>
      </c>
      <c r="E12" s="782">
        <f>'Cert juego miligramo'!E64</f>
        <v>0.1</v>
      </c>
      <c r="F12" s="783">
        <f>'Cert juego miligramo'!F64</f>
        <v>0.3</v>
      </c>
      <c r="G12" s="783">
        <f t="shared" si="6"/>
        <v>-0.3</v>
      </c>
      <c r="H12" s="784" t="e">
        <f t="shared" si="1"/>
        <v>#N/A</v>
      </c>
      <c r="I12" s="785" t="e">
        <f t="shared" si="2"/>
        <v>#N/A</v>
      </c>
      <c r="J12" s="428" t="e">
        <f t="shared" si="0"/>
        <v>#N/A</v>
      </c>
      <c r="K12" s="786" t="e">
        <f t="shared" si="3"/>
        <v>#N/A</v>
      </c>
      <c r="L12" s="787">
        <f t="shared" si="4"/>
        <v>0.19999999999999998</v>
      </c>
      <c r="M12" s="892" t="e">
        <f t="shared" si="5"/>
        <v>#N/A</v>
      </c>
      <c r="N12" s="418"/>
      <c r="O12" s="791">
        <f>'DATOS %'!$AA$139</f>
        <v>0.3</v>
      </c>
      <c r="P12" s="792">
        <f>'DATOS %'!$AA$139</f>
        <v>0.3</v>
      </c>
      <c r="Q12" s="793">
        <f>'DATOS %'!$AA$139</f>
        <v>0.3</v>
      </c>
      <c r="R12" s="952">
        <f>-$O$12</f>
        <v>-0.3</v>
      </c>
      <c r="S12" s="792">
        <f>-$O$12</f>
        <v>-0.3</v>
      </c>
      <c r="T12" s="793">
        <f>-$O$12</f>
        <v>-0.3</v>
      </c>
      <c r="W12" s="768"/>
    </row>
    <row r="13" spans="1:24" ht="39.950000000000003" customHeight="1" x14ac:dyDescent="0.2">
      <c r="A13" s="780">
        <v>7</v>
      </c>
      <c r="B13" s="781">
        <f>'Cert juego miligramo'!B65</f>
        <v>0</v>
      </c>
      <c r="C13" s="781" t="str">
        <f>'Cert juego miligramo'!C65</f>
        <v>20 mg</v>
      </c>
      <c r="D13" s="782" t="e">
        <f>'Cert juego miligramo'!D65</f>
        <v>#N/A</v>
      </c>
      <c r="E13" s="782">
        <f>'Cert juego miligramo'!E65</f>
        <v>0.1</v>
      </c>
      <c r="F13" s="783">
        <f>'Cert juego miligramo'!F65</f>
        <v>0.3</v>
      </c>
      <c r="G13" s="783">
        <f t="shared" si="6"/>
        <v>-0.3</v>
      </c>
      <c r="H13" s="784" t="e">
        <f t="shared" si="1"/>
        <v>#N/A</v>
      </c>
      <c r="I13" s="785" t="e">
        <f t="shared" si="2"/>
        <v>#N/A</v>
      </c>
      <c r="J13" s="428" t="e">
        <f t="shared" si="0"/>
        <v>#N/A</v>
      </c>
      <c r="K13" s="786" t="e">
        <f t="shared" si="3"/>
        <v>#N/A</v>
      </c>
      <c r="L13" s="787">
        <f t="shared" si="4"/>
        <v>0.19999999999999998</v>
      </c>
      <c r="M13" s="892" t="e">
        <f t="shared" si="5"/>
        <v>#N/A</v>
      </c>
      <c r="N13" s="418"/>
      <c r="O13" s="791">
        <f>'DATOS %'!$AA$140</f>
        <v>0.3</v>
      </c>
      <c r="P13" s="792">
        <f>'DATOS %'!$AA$140</f>
        <v>0.3</v>
      </c>
      <c r="Q13" s="793">
        <f>'DATOS %'!$AA$140</f>
        <v>0.3</v>
      </c>
      <c r="R13" s="952">
        <f>-$O$13</f>
        <v>-0.3</v>
      </c>
      <c r="S13" s="792">
        <f>-$O$13</f>
        <v>-0.3</v>
      </c>
      <c r="T13" s="793">
        <f>-$O$13</f>
        <v>-0.3</v>
      </c>
      <c r="W13" s="768"/>
    </row>
    <row r="14" spans="1:24" ht="39.950000000000003" customHeight="1" x14ac:dyDescent="0.2">
      <c r="A14" s="780">
        <v>8</v>
      </c>
      <c r="B14" s="781">
        <f>'Cert juego miligramo'!B66</f>
        <v>0</v>
      </c>
      <c r="C14" s="781" t="str">
        <f>'Cert juego miligramo'!C66</f>
        <v>50 mg</v>
      </c>
      <c r="D14" s="782" t="e">
        <f>'Cert juego miligramo'!D66</f>
        <v>#N/A</v>
      </c>
      <c r="E14" s="782">
        <f>'Cert juego miligramo'!E66</f>
        <v>0.12</v>
      </c>
      <c r="F14" s="783">
        <f>'Cert juego miligramo'!F66</f>
        <v>0.4</v>
      </c>
      <c r="G14" s="783">
        <f t="shared" si="6"/>
        <v>-0.4</v>
      </c>
      <c r="H14" s="784" t="e">
        <f t="shared" si="1"/>
        <v>#N/A</v>
      </c>
      <c r="I14" s="785" t="e">
        <f t="shared" si="2"/>
        <v>#N/A</v>
      </c>
      <c r="J14" s="428" t="e">
        <f t="shared" si="0"/>
        <v>#N/A</v>
      </c>
      <c r="K14" s="786" t="e">
        <f t="shared" si="3"/>
        <v>#N/A</v>
      </c>
      <c r="L14" s="787">
        <f t="shared" si="4"/>
        <v>0.28000000000000003</v>
      </c>
      <c r="M14" s="892" t="e">
        <f t="shared" si="5"/>
        <v>#N/A</v>
      </c>
      <c r="N14" s="418"/>
      <c r="O14" s="791">
        <f>'DATOS %'!$AA$141</f>
        <v>0.4</v>
      </c>
      <c r="P14" s="792">
        <f>'DATOS %'!$AA$141</f>
        <v>0.4</v>
      </c>
      <c r="Q14" s="793">
        <f>'DATOS %'!$AA$141</f>
        <v>0.4</v>
      </c>
      <c r="R14" s="953">
        <f>-$O$14</f>
        <v>-0.4</v>
      </c>
      <c r="S14" s="954">
        <f>-$O$14</f>
        <v>-0.4</v>
      </c>
      <c r="T14" s="955">
        <f>-$O$14</f>
        <v>-0.4</v>
      </c>
      <c r="W14" s="768"/>
    </row>
    <row r="15" spans="1:24" ht="39.950000000000003" customHeight="1" x14ac:dyDescent="0.2">
      <c r="A15" s="780">
        <v>9</v>
      </c>
      <c r="B15" s="781">
        <f>'Cert juego miligramo'!B67</f>
        <v>0</v>
      </c>
      <c r="C15" s="781" t="str">
        <f>'Cert juego miligramo'!C67</f>
        <v>100 mg</v>
      </c>
      <c r="D15" s="782" t="e">
        <f>'Cert juego miligramo'!D67</f>
        <v>#N/A</v>
      </c>
      <c r="E15" s="782">
        <f>'Cert juego miligramo'!E67</f>
        <v>0.16</v>
      </c>
      <c r="F15" s="783">
        <f>'Cert juego miligramo'!F67</f>
        <v>0.5</v>
      </c>
      <c r="G15" s="783">
        <f t="shared" si="6"/>
        <v>-0.5</v>
      </c>
      <c r="H15" s="784" t="e">
        <f t="shared" si="1"/>
        <v>#N/A</v>
      </c>
      <c r="I15" s="785" t="e">
        <f t="shared" si="2"/>
        <v>#N/A</v>
      </c>
      <c r="J15" s="428" t="e">
        <f t="shared" si="0"/>
        <v>#N/A</v>
      </c>
      <c r="K15" s="786" t="e">
        <f t="shared" si="3"/>
        <v>#N/A</v>
      </c>
      <c r="L15" s="787">
        <f t="shared" si="4"/>
        <v>0.33999999999999997</v>
      </c>
      <c r="M15" s="892" t="e">
        <f t="shared" si="5"/>
        <v>#N/A</v>
      </c>
      <c r="N15" s="418"/>
      <c r="O15" s="791">
        <f>'DATOS %'!$AA$142</f>
        <v>0.5</v>
      </c>
      <c r="P15" s="792">
        <f>'DATOS %'!$AA$142</f>
        <v>0.5</v>
      </c>
      <c r="Q15" s="793">
        <f>'DATOS %'!$AA$142</f>
        <v>0.5</v>
      </c>
      <c r="R15" s="952">
        <f>-$O$15</f>
        <v>-0.5</v>
      </c>
      <c r="S15" s="792">
        <f>-$O$15</f>
        <v>-0.5</v>
      </c>
      <c r="T15" s="793">
        <f>-$O$15</f>
        <v>-0.5</v>
      </c>
      <c r="W15" s="768"/>
    </row>
    <row r="16" spans="1:24" ht="39.950000000000003" customHeight="1" x14ac:dyDescent="0.2">
      <c r="A16" s="780">
        <v>10</v>
      </c>
      <c r="B16" s="781">
        <f>'Cert juego miligramo'!B68</f>
        <v>0</v>
      </c>
      <c r="C16" s="781" t="str">
        <f>'Cert juego miligramo'!C68</f>
        <v>200 mg</v>
      </c>
      <c r="D16" s="782" t="e">
        <f>'Cert juego miligramo'!D68</f>
        <v>#N/A</v>
      </c>
      <c r="E16" s="782">
        <f>'Cert juego miligramo'!E68</f>
        <v>0.2</v>
      </c>
      <c r="F16" s="783">
        <f>'Cert juego miligramo'!F68</f>
        <v>0.6</v>
      </c>
      <c r="G16" s="783">
        <f t="shared" si="6"/>
        <v>-0.6</v>
      </c>
      <c r="H16" s="784" t="e">
        <f>_xlfn.NORM.S.DIST(K16,1)</f>
        <v>#N/A</v>
      </c>
      <c r="I16" s="785" t="e">
        <f t="shared" si="2"/>
        <v>#N/A</v>
      </c>
      <c r="J16" s="428" t="e">
        <f t="shared" si="0"/>
        <v>#N/A</v>
      </c>
      <c r="K16" s="786" t="e">
        <f t="shared" si="3"/>
        <v>#N/A</v>
      </c>
      <c r="L16" s="787">
        <f t="shared" si="4"/>
        <v>0.39999999999999997</v>
      </c>
      <c r="M16" s="892" t="e">
        <f t="shared" si="5"/>
        <v>#N/A</v>
      </c>
      <c r="N16" s="418"/>
      <c r="O16" s="791">
        <f>'DATOS %'!$AA$143</f>
        <v>0.6</v>
      </c>
      <c r="P16" s="792">
        <f>'DATOS %'!$AA$143</f>
        <v>0.6</v>
      </c>
      <c r="Q16" s="793">
        <f>'DATOS %'!$AA$143</f>
        <v>0.6</v>
      </c>
      <c r="R16" s="952">
        <f>-$O$16</f>
        <v>-0.6</v>
      </c>
      <c r="S16" s="792">
        <f>-$O$16</f>
        <v>-0.6</v>
      </c>
      <c r="T16" s="793">
        <f>-$O$16</f>
        <v>-0.6</v>
      </c>
      <c r="W16" s="768"/>
    </row>
    <row r="17" spans="1:23" ht="39.950000000000003" customHeight="1" x14ac:dyDescent="0.2">
      <c r="A17" s="780">
        <v>11</v>
      </c>
      <c r="B17" s="781">
        <f>'Cert juego miligramo'!B69</f>
        <v>0</v>
      </c>
      <c r="C17" s="781" t="str">
        <f>'Cert juego miligramo'!C69</f>
        <v>200 mg</v>
      </c>
      <c r="D17" s="782" t="e">
        <f>'Cert juego miligramo'!D69</f>
        <v>#N/A</v>
      </c>
      <c r="E17" s="782">
        <f>'Cert juego miligramo'!E69</f>
        <v>0.2</v>
      </c>
      <c r="F17" s="783">
        <f>'Cert juego miligramo'!F69</f>
        <v>0.6</v>
      </c>
      <c r="G17" s="783">
        <f t="shared" si="6"/>
        <v>-0.6</v>
      </c>
      <c r="H17" s="784" t="e">
        <f t="shared" si="1"/>
        <v>#N/A</v>
      </c>
      <c r="I17" s="785" t="e">
        <f t="shared" si="2"/>
        <v>#N/A</v>
      </c>
      <c r="J17" s="428" t="e">
        <f t="shared" si="0"/>
        <v>#N/A</v>
      </c>
      <c r="K17" s="786" t="e">
        <f t="shared" si="3"/>
        <v>#N/A</v>
      </c>
      <c r="L17" s="787">
        <f t="shared" si="4"/>
        <v>0.39999999999999997</v>
      </c>
      <c r="M17" s="892" t="e">
        <f t="shared" si="5"/>
        <v>#N/A</v>
      </c>
      <c r="N17" s="418"/>
      <c r="O17" s="791">
        <f>'DATOS %'!$AA$144</f>
        <v>0.6</v>
      </c>
      <c r="P17" s="792">
        <f>'DATOS %'!$AA$144</f>
        <v>0.6</v>
      </c>
      <c r="Q17" s="793">
        <f>'DATOS %'!$AA$144</f>
        <v>0.6</v>
      </c>
      <c r="R17" s="952">
        <f>-$O$17</f>
        <v>-0.6</v>
      </c>
      <c r="S17" s="792">
        <f>-$O$17</f>
        <v>-0.6</v>
      </c>
      <c r="T17" s="793">
        <f>-$O$17</f>
        <v>-0.6</v>
      </c>
      <c r="W17" s="768"/>
    </row>
    <row r="18" spans="1:23" ht="39.950000000000003" customHeight="1" thickBot="1" x14ac:dyDescent="0.25">
      <c r="A18" s="807">
        <v>12</v>
      </c>
      <c r="B18" s="809">
        <f>'Cert juego miligramo'!B70</f>
        <v>0</v>
      </c>
      <c r="C18" s="809" t="str">
        <f>'Cert juego miligramo'!C70</f>
        <v>500 mg</v>
      </c>
      <c r="D18" s="893" t="e">
        <f>'Cert juego miligramo'!D70</f>
        <v>#N/A</v>
      </c>
      <c r="E18" s="893">
        <f>'Cert juego miligramo'!E70</f>
        <v>0.25</v>
      </c>
      <c r="F18" s="947">
        <f>'Cert juego miligramo'!F70</f>
        <v>0.8</v>
      </c>
      <c r="G18" s="947">
        <f t="shared" si="6"/>
        <v>-0.8</v>
      </c>
      <c r="H18" s="812" t="e">
        <f>_xlfn.NORM.S.DIST(K18,1)</f>
        <v>#N/A</v>
      </c>
      <c r="I18" s="813" t="e">
        <f>1-H18</f>
        <v>#N/A</v>
      </c>
      <c r="J18" s="429" t="e">
        <f t="shared" si="0"/>
        <v>#N/A</v>
      </c>
      <c r="K18" s="814" t="e">
        <f t="shared" si="3"/>
        <v>#N/A</v>
      </c>
      <c r="L18" s="815">
        <f t="shared" si="4"/>
        <v>0.55000000000000004</v>
      </c>
      <c r="M18" s="894" t="e">
        <f t="shared" si="5"/>
        <v>#N/A</v>
      </c>
      <c r="N18" s="418"/>
      <c r="O18" s="956">
        <f>'DATOS %'!$AA$145</f>
        <v>0.8</v>
      </c>
      <c r="P18" s="957">
        <f>'DATOS %'!$AA$145</f>
        <v>0.8</v>
      </c>
      <c r="Q18" s="958">
        <f>'DATOS %'!$AA$145</f>
        <v>0.8</v>
      </c>
      <c r="R18" s="959">
        <f>-$O$18</f>
        <v>-0.8</v>
      </c>
      <c r="S18" s="957">
        <f>-$O$18</f>
        <v>-0.8</v>
      </c>
      <c r="T18" s="958">
        <f>-$O$18</f>
        <v>-0.8</v>
      </c>
      <c r="W18" s="768"/>
    </row>
    <row r="19" spans="1:23" ht="39.950000000000003" customHeight="1" x14ac:dyDescent="0.2">
      <c r="A19" s="876"/>
      <c r="B19" s="877"/>
      <c r="C19" s="877"/>
      <c r="D19" s="878"/>
      <c r="E19" s="878"/>
      <c r="F19" s="879"/>
      <c r="G19" s="879"/>
      <c r="H19" s="880"/>
      <c r="I19" s="881"/>
      <c r="J19" s="882"/>
      <c r="K19" s="883"/>
      <c r="L19" s="884"/>
      <c r="M19" s="885"/>
      <c r="N19" s="418"/>
      <c r="W19" s="768"/>
    </row>
    <row r="20" spans="1:23" ht="39.950000000000003" customHeight="1" x14ac:dyDescent="0.2">
      <c r="A20" s="876"/>
      <c r="B20" s="886"/>
      <c r="C20" s="877"/>
      <c r="D20" s="878"/>
      <c r="E20" s="878"/>
      <c r="F20" s="879"/>
      <c r="G20" s="879"/>
      <c r="H20" s="880"/>
      <c r="I20" s="881"/>
      <c r="J20" s="882"/>
      <c r="K20" s="883"/>
      <c r="L20" s="884"/>
      <c r="M20" s="885"/>
      <c r="N20" s="418"/>
    </row>
    <row r="21" spans="1:23" ht="39.950000000000003" customHeight="1" x14ac:dyDescent="0.2">
      <c r="A21" s="876"/>
      <c r="B21" s="886"/>
      <c r="C21" s="877"/>
      <c r="D21" s="878"/>
      <c r="E21" s="878"/>
      <c r="F21" s="879"/>
      <c r="G21" s="879"/>
      <c r="H21" s="880"/>
      <c r="I21" s="881"/>
      <c r="J21" s="882"/>
      <c r="K21" s="883"/>
      <c r="L21" s="884"/>
      <c r="M21" s="885"/>
      <c r="N21" s="418"/>
      <c r="O21" s="418"/>
      <c r="P21" s="418"/>
      <c r="Q21" s="418"/>
      <c r="R21" s="418"/>
    </row>
    <row r="22" spans="1:23" ht="39.950000000000003" customHeight="1" x14ac:dyDescent="0.2">
      <c r="A22" s="876"/>
      <c r="B22" s="886"/>
      <c r="C22" s="877"/>
      <c r="D22" s="878"/>
      <c r="E22" s="878"/>
      <c r="F22" s="878"/>
      <c r="G22" s="878"/>
      <c r="H22" s="880"/>
      <c r="I22" s="881"/>
      <c r="J22" s="882"/>
      <c r="K22" s="883"/>
      <c r="L22" s="884"/>
      <c r="M22" s="885"/>
      <c r="N22" s="418"/>
      <c r="O22" s="418"/>
      <c r="P22" s="418"/>
      <c r="Q22" s="418"/>
      <c r="R22" s="418"/>
    </row>
    <row r="23" spans="1:23" ht="39.950000000000003" customHeight="1" x14ac:dyDescent="0.2">
      <c r="A23" s="876"/>
      <c r="B23" s="886"/>
      <c r="C23" s="877"/>
      <c r="D23" s="887"/>
      <c r="E23" s="887"/>
      <c r="F23" s="887"/>
      <c r="G23" s="887"/>
      <c r="H23" s="880"/>
      <c r="I23" s="881"/>
      <c r="J23" s="882"/>
      <c r="K23" s="883"/>
      <c r="L23" s="884"/>
      <c r="M23" s="885"/>
      <c r="N23" s="418"/>
      <c r="O23" s="418"/>
      <c r="P23" s="418"/>
      <c r="Q23" s="418"/>
      <c r="R23" s="418"/>
    </row>
    <row r="24" spans="1:23" ht="39.950000000000003" customHeight="1" x14ac:dyDescent="0.2">
      <c r="A24" s="876"/>
      <c r="B24" s="886"/>
      <c r="C24" s="877"/>
      <c r="D24" s="887"/>
      <c r="E24" s="887"/>
      <c r="F24" s="878"/>
      <c r="G24" s="878"/>
      <c r="H24" s="880"/>
      <c r="I24" s="881"/>
      <c r="J24" s="882"/>
      <c r="K24" s="883"/>
      <c r="L24" s="886"/>
      <c r="M24" s="885"/>
      <c r="N24" s="418"/>
      <c r="O24" s="418"/>
      <c r="P24" s="418"/>
      <c r="Q24" s="418"/>
      <c r="R24" s="418"/>
    </row>
    <row r="25" spans="1:23" ht="39.950000000000003" customHeight="1" x14ac:dyDescent="0.2">
      <c r="A25" s="876"/>
      <c r="B25" s="886"/>
      <c r="C25" s="877"/>
      <c r="D25" s="887"/>
      <c r="E25" s="887"/>
      <c r="F25" s="887"/>
      <c r="G25" s="888"/>
      <c r="H25" s="880"/>
      <c r="I25" s="881"/>
      <c r="J25" s="882"/>
      <c r="K25" s="883"/>
      <c r="L25" s="884"/>
      <c r="M25" s="885"/>
      <c r="N25" s="418"/>
      <c r="O25" s="418"/>
      <c r="P25" s="418"/>
      <c r="Q25" s="418"/>
      <c r="R25" s="418"/>
    </row>
    <row r="26" spans="1:23" ht="39.950000000000003" customHeight="1" x14ac:dyDescent="0.2">
      <c r="A26" s="876"/>
      <c r="B26" s="886"/>
      <c r="C26" s="877"/>
      <c r="D26" s="887"/>
      <c r="E26" s="887"/>
      <c r="F26" s="887"/>
      <c r="G26" s="888"/>
      <c r="H26" s="880"/>
      <c r="I26" s="881"/>
      <c r="J26" s="882"/>
      <c r="K26" s="883"/>
      <c r="L26" s="884"/>
      <c r="M26" s="885"/>
      <c r="N26" s="418"/>
      <c r="O26" s="418"/>
      <c r="P26" s="418"/>
      <c r="Q26" s="418"/>
      <c r="R26" s="418"/>
    </row>
    <row r="27" spans="1:23" ht="30" customHeight="1" x14ac:dyDescent="0.2">
      <c r="B27" s="767"/>
      <c r="C27" s="767"/>
      <c r="D27" s="767"/>
      <c r="E27" s="767"/>
      <c r="F27" s="767"/>
      <c r="G27" s="767"/>
      <c r="J27" s="419"/>
      <c r="K27" s="419"/>
      <c r="L27" s="418"/>
      <c r="M27" s="418"/>
      <c r="N27" s="418"/>
      <c r="O27" s="418"/>
      <c r="P27" s="418"/>
      <c r="Q27" s="418"/>
      <c r="R27" s="418"/>
    </row>
    <row r="28" spans="1:23" ht="30" customHeight="1" x14ac:dyDescent="0.2">
      <c r="A28" s="418"/>
      <c r="B28" s="418"/>
      <c r="C28" s="418"/>
      <c r="D28" s="418"/>
      <c r="E28" s="418"/>
      <c r="F28" s="419"/>
      <c r="G28" s="418"/>
      <c r="H28" s="418"/>
      <c r="I28" s="418"/>
      <c r="J28" s="418"/>
      <c r="K28" s="418"/>
      <c r="L28" s="418"/>
      <c r="M28" s="418"/>
      <c r="N28" s="418"/>
      <c r="O28" s="418"/>
      <c r="P28" s="418"/>
      <c r="Q28" s="418"/>
      <c r="R28" s="418"/>
    </row>
    <row r="29" spans="1:23" ht="30" customHeight="1" x14ac:dyDescent="0.2">
      <c r="A29" s="430"/>
      <c r="B29" s="430"/>
      <c r="C29" s="430"/>
      <c r="D29" s="430"/>
      <c r="E29" s="430"/>
      <c r="F29" s="430"/>
      <c r="G29" s="430"/>
      <c r="H29" s="430"/>
      <c r="I29" s="430"/>
      <c r="J29" s="430"/>
      <c r="K29" s="430"/>
      <c r="L29" s="430"/>
      <c r="M29" s="418"/>
      <c r="N29" s="418"/>
      <c r="O29" s="418"/>
      <c r="P29" s="418"/>
      <c r="Q29" s="418"/>
      <c r="R29" s="418"/>
    </row>
    <row r="30" spans="1:23" ht="30" customHeight="1" x14ac:dyDescent="0.2">
      <c r="A30" s="431"/>
      <c r="B30" s="431"/>
      <c r="C30" s="431"/>
      <c r="D30" s="431"/>
      <c r="E30" s="431"/>
      <c r="F30" s="431"/>
      <c r="G30" s="431"/>
      <c r="H30" s="431"/>
      <c r="I30" s="431"/>
      <c r="J30" s="431"/>
      <c r="K30" s="431"/>
      <c r="L30" s="431"/>
      <c r="M30" s="418"/>
      <c r="N30" s="418"/>
      <c r="O30" s="418"/>
      <c r="P30" s="418"/>
      <c r="Q30" s="418"/>
      <c r="R30" s="418"/>
    </row>
    <row r="31" spans="1:23" ht="30" customHeight="1" x14ac:dyDescent="0.2">
      <c r="A31" s="431"/>
      <c r="B31" s="431"/>
      <c r="C31" s="431"/>
      <c r="D31" s="431"/>
      <c r="E31" s="431"/>
      <c r="F31" s="431"/>
      <c r="G31" s="431"/>
      <c r="H31" s="431"/>
      <c r="I31" s="431"/>
      <c r="J31" s="431"/>
      <c r="K31" s="431"/>
      <c r="L31" s="431"/>
      <c r="M31" s="418"/>
      <c r="N31" s="418"/>
      <c r="O31" s="418"/>
      <c r="P31" s="418"/>
      <c r="Q31" s="418"/>
      <c r="R31" s="418"/>
    </row>
    <row r="32" spans="1:23" ht="30" customHeight="1" x14ac:dyDescent="0.2">
      <c r="A32" s="431"/>
      <c r="B32" s="431"/>
      <c r="C32" s="431"/>
      <c r="D32" s="431"/>
      <c r="E32" s="431"/>
      <c r="F32" s="431"/>
      <c r="G32" s="431"/>
      <c r="H32" s="431"/>
      <c r="I32" s="431"/>
      <c r="J32" s="431"/>
      <c r="K32" s="431"/>
      <c r="L32" s="431"/>
      <c r="M32" s="418"/>
      <c r="N32" s="418"/>
      <c r="O32" s="418"/>
      <c r="P32" s="418"/>
      <c r="Q32" s="418"/>
      <c r="R32" s="418"/>
    </row>
    <row r="33" spans="1:18" ht="30" customHeight="1" x14ac:dyDescent="0.2">
      <c r="A33" s="431"/>
      <c r="B33" s="431"/>
      <c r="C33" s="431"/>
      <c r="D33" s="431"/>
      <c r="E33" s="431"/>
      <c r="F33" s="431"/>
      <c r="G33" s="431"/>
      <c r="H33" s="431"/>
      <c r="I33" s="431"/>
      <c r="J33" s="431"/>
      <c r="K33" s="431"/>
      <c r="L33" s="431"/>
      <c r="M33" s="418"/>
      <c r="N33" s="418"/>
      <c r="O33" s="418"/>
      <c r="P33" s="418"/>
      <c r="Q33" s="418"/>
      <c r="R33" s="418"/>
    </row>
    <row r="34" spans="1:18" ht="30" customHeight="1" x14ac:dyDescent="0.2">
      <c r="A34" s="431"/>
      <c r="B34" s="431"/>
      <c r="C34" s="431"/>
      <c r="D34" s="431"/>
      <c r="E34" s="431"/>
      <c r="F34" s="431"/>
      <c r="G34" s="431"/>
      <c r="H34" s="431"/>
      <c r="I34" s="431"/>
      <c r="J34" s="431"/>
      <c r="K34" s="431"/>
      <c r="L34" s="431"/>
      <c r="M34" s="418"/>
      <c r="N34" s="418"/>
      <c r="O34" s="418"/>
      <c r="P34" s="418"/>
      <c r="Q34" s="418"/>
      <c r="R34" s="418"/>
    </row>
    <row r="35" spans="1:18" ht="30" customHeight="1" x14ac:dyDescent="0.2">
      <c r="A35" s="431"/>
      <c r="B35" s="431"/>
      <c r="C35" s="431"/>
      <c r="D35" s="431"/>
      <c r="E35" s="431"/>
      <c r="F35" s="431"/>
      <c r="G35" s="431"/>
      <c r="H35" s="431"/>
      <c r="I35" s="431"/>
      <c r="J35" s="431"/>
      <c r="K35" s="431"/>
      <c r="L35" s="431"/>
      <c r="M35" s="418"/>
      <c r="N35" s="418"/>
      <c r="O35" s="418"/>
      <c r="P35" s="418"/>
      <c r="Q35" s="418"/>
      <c r="R35" s="418"/>
    </row>
    <row r="36" spans="1:18" ht="30" customHeight="1" x14ac:dyDescent="0.2">
      <c r="A36" s="431"/>
      <c r="B36" s="431"/>
      <c r="C36" s="431"/>
      <c r="D36" s="431"/>
      <c r="E36" s="431"/>
      <c r="F36" s="431"/>
      <c r="G36" s="431"/>
      <c r="H36" s="431"/>
      <c r="I36" s="431"/>
      <c r="J36" s="431"/>
      <c r="K36" s="431"/>
      <c r="L36" s="431"/>
      <c r="M36" s="418"/>
      <c r="N36" s="418"/>
      <c r="O36" s="418"/>
      <c r="P36" s="418"/>
      <c r="Q36" s="418"/>
      <c r="R36" s="418"/>
    </row>
    <row r="37" spans="1:18" ht="30" customHeight="1" x14ac:dyDescent="0.2">
      <c r="A37" s="431"/>
      <c r="B37" s="431"/>
      <c r="C37" s="431"/>
      <c r="D37" s="431"/>
      <c r="E37" s="431"/>
      <c r="F37" s="431"/>
      <c r="G37" s="431"/>
      <c r="H37" s="431"/>
      <c r="I37" s="431"/>
      <c r="J37" s="431"/>
      <c r="K37" s="431"/>
      <c r="L37" s="431"/>
      <c r="M37" s="418"/>
      <c r="N37" s="418"/>
      <c r="O37" s="418"/>
      <c r="P37" s="418"/>
      <c r="Q37" s="418"/>
      <c r="R37" s="418"/>
    </row>
    <row r="38" spans="1:18" ht="30" customHeight="1" x14ac:dyDescent="0.2">
      <c r="A38" s="431"/>
      <c r="B38" s="431"/>
      <c r="C38" s="431"/>
      <c r="D38" s="431"/>
      <c r="E38" s="431"/>
      <c r="F38" s="431"/>
      <c r="G38" s="431"/>
      <c r="H38" s="431"/>
      <c r="I38" s="431"/>
      <c r="J38" s="431"/>
      <c r="K38" s="431"/>
      <c r="L38" s="431"/>
      <c r="M38" s="418"/>
      <c r="N38" s="418"/>
      <c r="O38" s="418"/>
      <c r="P38" s="418"/>
      <c r="Q38" s="418"/>
      <c r="R38" s="418"/>
    </row>
    <row r="39" spans="1:18" ht="30" customHeight="1" x14ac:dyDescent="0.2">
      <c r="A39" s="431"/>
      <c r="B39" s="431"/>
      <c r="C39" s="431"/>
      <c r="D39" s="431"/>
      <c r="E39" s="431"/>
      <c r="F39" s="431"/>
      <c r="G39" s="431"/>
      <c r="H39" s="431"/>
      <c r="I39" s="431"/>
      <c r="J39" s="431"/>
      <c r="K39" s="431"/>
      <c r="L39" s="431"/>
      <c r="M39" s="418"/>
      <c r="N39" s="418"/>
      <c r="O39" s="418"/>
      <c r="P39" s="418"/>
      <c r="Q39" s="418"/>
      <c r="R39" s="418"/>
    </row>
    <row r="40" spans="1:18" ht="30" customHeight="1" x14ac:dyDescent="0.2">
      <c r="A40" s="431"/>
      <c r="B40" s="431"/>
      <c r="C40" s="431"/>
      <c r="D40" s="431"/>
      <c r="E40" s="431"/>
      <c r="F40" s="431"/>
      <c r="G40" s="431"/>
      <c r="H40" s="431"/>
      <c r="I40" s="431"/>
      <c r="J40" s="431"/>
      <c r="K40" s="431"/>
      <c r="L40" s="431"/>
      <c r="M40" s="418"/>
      <c r="N40" s="418"/>
      <c r="O40" s="418"/>
      <c r="P40" s="418"/>
      <c r="Q40" s="418"/>
      <c r="R40" s="418"/>
    </row>
    <row r="41" spans="1:18" ht="30" customHeight="1" x14ac:dyDescent="0.2">
      <c r="A41" s="431"/>
      <c r="B41" s="431"/>
      <c r="C41" s="431"/>
      <c r="D41" s="431"/>
      <c r="E41" s="431"/>
      <c r="F41" s="431"/>
      <c r="G41" s="431"/>
      <c r="H41" s="431"/>
      <c r="I41" s="431"/>
      <c r="J41" s="431"/>
      <c r="K41" s="431"/>
      <c r="L41" s="431"/>
      <c r="M41" s="418"/>
      <c r="N41" s="418"/>
      <c r="O41" s="418"/>
      <c r="P41" s="418"/>
      <c r="Q41" s="418"/>
      <c r="R41" s="418"/>
    </row>
    <row r="42" spans="1:18" ht="30" customHeight="1" x14ac:dyDescent="0.2">
      <c r="A42" s="431"/>
      <c r="B42" s="431"/>
      <c r="C42" s="431"/>
      <c r="D42" s="431"/>
      <c r="E42" s="431"/>
      <c r="F42" s="431"/>
      <c r="G42" s="431"/>
      <c r="H42" s="431"/>
      <c r="I42" s="431"/>
      <c r="J42" s="431"/>
      <c r="K42" s="431"/>
      <c r="L42" s="431"/>
      <c r="M42" s="418"/>
      <c r="N42" s="418"/>
      <c r="O42" s="418"/>
      <c r="P42" s="418"/>
      <c r="Q42" s="418"/>
      <c r="R42" s="418"/>
    </row>
    <row r="43" spans="1:18" ht="30" customHeight="1" x14ac:dyDescent="0.2">
      <c r="A43" s="431"/>
      <c r="B43" s="431"/>
      <c r="C43" s="431"/>
      <c r="D43" s="431"/>
      <c r="E43" s="431"/>
      <c r="F43" s="431"/>
      <c r="G43" s="431"/>
      <c r="H43" s="431"/>
      <c r="I43" s="431"/>
      <c r="J43" s="431"/>
      <c r="K43" s="431"/>
      <c r="L43" s="431"/>
      <c r="M43" s="418"/>
      <c r="N43" s="418"/>
      <c r="O43" s="418"/>
      <c r="P43" s="418"/>
      <c r="Q43" s="418"/>
      <c r="R43" s="418"/>
    </row>
    <row r="44" spans="1:18" ht="30" customHeight="1" x14ac:dyDescent="0.2">
      <c r="A44" s="431"/>
      <c r="B44" s="431"/>
      <c r="C44" s="431"/>
      <c r="D44" s="431"/>
      <c r="E44" s="431"/>
      <c r="F44" s="431"/>
      <c r="G44" s="431"/>
      <c r="H44" s="431"/>
      <c r="I44" s="431"/>
      <c r="J44" s="431"/>
      <c r="K44" s="431"/>
      <c r="L44" s="431"/>
      <c r="M44" s="418"/>
      <c r="N44" s="418"/>
      <c r="O44" s="418"/>
      <c r="P44" s="418"/>
      <c r="Q44" s="418"/>
      <c r="R44" s="418"/>
    </row>
    <row r="45" spans="1:18" ht="30" customHeight="1" x14ac:dyDescent="0.2">
      <c r="A45" s="431"/>
      <c r="B45" s="431"/>
      <c r="C45" s="431"/>
      <c r="D45" s="431"/>
      <c r="E45" s="431"/>
      <c r="F45" s="431"/>
      <c r="G45" s="431"/>
      <c r="H45" s="431"/>
      <c r="I45" s="431"/>
      <c r="J45" s="431"/>
      <c r="K45" s="431"/>
      <c r="L45" s="431"/>
      <c r="M45" s="418"/>
      <c r="N45" s="418"/>
      <c r="O45" s="418"/>
      <c r="P45" s="418"/>
      <c r="Q45" s="418"/>
      <c r="R45" s="418"/>
    </row>
    <row r="46" spans="1:18" ht="30" customHeight="1" x14ac:dyDescent="0.2">
      <c r="A46" s="431"/>
      <c r="B46" s="431"/>
      <c r="C46" s="431"/>
      <c r="D46" s="431"/>
      <c r="E46" s="431"/>
      <c r="F46" s="431"/>
      <c r="G46" s="431"/>
      <c r="H46" s="431"/>
      <c r="I46" s="431"/>
      <c r="J46" s="431"/>
      <c r="K46" s="431"/>
      <c r="L46" s="431"/>
      <c r="M46" s="418"/>
      <c r="N46" s="418"/>
      <c r="O46" s="418"/>
      <c r="P46" s="418"/>
      <c r="Q46" s="418"/>
      <c r="R46" s="418"/>
    </row>
    <row r="47" spans="1:18" ht="30" customHeight="1" x14ac:dyDescent="0.2">
      <c r="A47" s="431"/>
      <c r="B47" s="431"/>
      <c r="C47" s="431"/>
      <c r="D47" s="431"/>
      <c r="E47" s="431"/>
      <c r="F47" s="431"/>
      <c r="G47" s="431"/>
      <c r="H47" s="431"/>
      <c r="I47" s="431"/>
      <c r="J47" s="431"/>
      <c r="K47" s="431"/>
      <c r="L47" s="431"/>
      <c r="M47" s="418"/>
      <c r="N47" s="418"/>
      <c r="O47" s="418"/>
      <c r="P47" s="418"/>
      <c r="Q47" s="418"/>
      <c r="R47" s="418"/>
    </row>
    <row r="48" spans="1:18" ht="30" customHeight="1" x14ac:dyDescent="0.2">
      <c r="A48" s="431"/>
      <c r="B48" s="431"/>
      <c r="C48" s="431"/>
      <c r="D48" s="431"/>
      <c r="E48" s="431"/>
      <c r="F48" s="431"/>
      <c r="G48" s="431"/>
      <c r="H48" s="431"/>
      <c r="I48" s="431"/>
      <c r="J48" s="431"/>
      <c r="K48" s="431"/>
      <c r="L48" s="431"/>
      <c r="M48" s="418"/>
      <c r="N48" s="418"/>
      <c r="O48" s="418"/>
      <c r="P48" s="418"/>
      <c r="Q48" s="418"/>
      <c r="R48" s="418"/>
    </row>
    <row r="49" spans="1:18" ht="30" customHeight="1" x14ac:dyDescent="0.2">
      <c r="A49" s="431"/>
      <c r="B49" s="431"/>
      <c r="C49" s="431"/>
      <c r="D49" s="431"/>
      <c r="E49" s="431"/>
      <c r="F49" s="431"/>
      <c r="G49" s="431"/>
      <c r="H49" s="431"/>
      <c r="I49" s="431"/>
      <c r="J49" s="431"/>
      <c r="K49" s="431"/>
      <c r="L49" s="431"/>
      <c r="M49" s="418"/>
      <c r="N49" s="418"/>
      <c r="O49" s="418"/>
      <c r="P49" s="418"/>
      <c r="Q49" s="418"/>
      <c r="R49" s="418"/>
    </row>
    <row r="50" spans="1:18" ht="30" customHeight="1" x14ac:dyDescent="0.2">
      <c r="A50" s="431"/>
      <c r="B50" s="431"/>
      <c r="C50" s="431"/>
      <c r="D50" s="431"/>
      <c r="E50" s="431"/>
      <c r="F50" s="431"/>
      <c r="G50" s="431"/>
      <c r="H50" s="431"/>
      <c r="I50" s="431"/>
      <c r="J50" s="431"/>
      <c r="K50" s="431"/>
      <c r="L50" s="431"/>
      <c r="M50" s="418"/>
      <c r="N50" s="418"/>
      <c r="O50" s="418"/>
      <c r="P50" s="418"/>
      <c r="Q50" s="418"/>
      <c r="R50" s="418"/>
    </row>
    <row r="51" spans="1:18" ht="30" customHeight="1" x14ac:dyDescent="0.2">
      <c r="A51" s="816"/>
      <c r="B51" s="817"/>
      <c r="C51" s="817"/>
      <c r="D51" s="418"/>
      <c r="E51" s="418"/>
      <c r="F51" s="418"/>
      <c r="G51" s="418"/>
      <c r="H51" s="418"/>
      <c r="I51" s="418"/>
      <c r="J51" s="418"/>
      <c r="K51" s="418"/>
      <c r="L51" s="418"/>
      <c r="M51" s="418"/>
      <c r="N51" s="418"/>
      <c r="O51" s="418"/>
      <c r="P51" s="418"/>
      <c r="Q51" s="418"/>
      <c r="R51" s="418"/>
    </row>
    <row r="52" spans="1:18" ht="30" customHeight="1" x14ac:dyDescent="0.2">
      <c r="A52" s="816"/>
      <c r="B52" s="817"/>
      <c r="C52" s="817"/>
      <c r="D52" s="418"/>
      <c r="E52" s="418"/>
      <c r="F52" s="418"/>
      <c r="G52" s="418"/>
      <c r="H52" s="418"/>
      <c r="I52" s="418"/>
      <c r="J52" s="418"/>
      <c r="K52" s="418"/>
      <c r="L52" s="418"/>
      <c r="M52" s="418"/>
      <c r="N52" s="418"/>
      <c r="O52" s="418"/>
      <c r="P52" s="418"/>
      <c r="Q52" s="418"/>
      <c r="R52" s="418"/>
    </row>
    <row r="53" spans="1:18" ht="30" customHeight="1" x14ac:dyDescent="0.2">
      <c r="A53" s="816"/>
      <c r="B53" s="817"/>
      <c r="C53" s="817"/>
      <c r="D53" s="418"/>
      <c r="E53" s="418"/>
      <c r="F53" s="418"/>
      <c r="G53" s="418"/>
      <c r="H53" s="418"/>
      <c r="I53" s="418"/>
      <c r="J53" s="418"/>
      <c r="K53" s="418"/>
      <c r="L53" s="418"/>
      <c r="M53" s="418"/>
      <c r="N53" s="418"/>
      <c r="O53" s="418"/>
      <c r="P53" s="418"/>
      <c r="Q53" s="418"/>
      <c r="R53" s="418"/>
    </row>
    <row r="54" spans="1:18" ht="30" customHeight="1" x14ac:dyDescent="0.2">
      <c r="A54" s="816"/>
      <c r="B54" s="817"/>
      <c r="C54" s="817"/>
      <c r="D54" s="418"/>
      <c r="E54" s="418"/>
      <c r="F54" s="418"/>
      <c r="G54" s="418"/>
      <c r="H54" s="418"/>
      <c r="I54" s="418"/>
      <c r="J54" s="418"/>
      <c r="K54" s="418"/>
      <c r="L54" s="418"/>
      <c r="M54" s="418"/>
      <c r="N54" s="418"/>
      <c r="O54" s="418"/>
      <c r="P54" s="418"/>
      <c r="Q54" s="418"/>
      <c r="R54" s="418"/>
    </row>
    <row r="55" spans="1:18" ht="30" customHeight="1" x14ac:dyDescent="0.2">
      <c r="A55" s="816"/>
      <c r="B55" s="817"/>
      <c r="C55" s="817"/>
      <c r="D55" s="418"/>
      <c r="E55" s="418"/>
      <c r="F55" s="418"/>
      <c r="G55" s="418"/>
      <c r="H55" s="418"/>
      <c r="I55" s="418"/>
      <c r="J55" s="418"/>
      <c r="K55" s="418"/>
      <c r="L55" s="418"/>
      <c r="M55" s="418"/>
      <c r="N55" s="418"/>
      <c r="O55" s="418"/>
      <c r="P55" s="418"/>
      <c r="Q55" s="418"/>
      <c r="R55" s="418"/>
    </row>
    <row r="56" spans="1:18" ht="30" customHeight="1" x14ac:dyDescent="0.2">
      <c r="A56" s="816"/>
      <c r="B56" s="817"/>
      <c r="C56" s="817"/>
      <c r="D56" s="418"/>
      <c r="E56" s="418"/>
      <c r="F56" s="418"/>
      <c r="G56" s="418"/>
      <c r="H56" s="418"/>
      <c r="I56" s="418"/>
      <c r="J56" s="418"/>
      <c r="K56" s="418"/>
      <c r="L56" s="418"/>
      <c r="M56" s="418"/>
      <c r="N56" s="418"/>
      <c r="O56" s="418"/>
      <c r="P56" s="418"/>
      <c r="Q56" s="418"/>
      <c r="R56" s="418"/>
    </row>
    <row r="57" spans="1:18" ht="30" customHeight="1" x14ac:dyDescent="0.2">
      <c r="A57" s="816"/>
      <c r="B57" s="817"/>
      <c r="C57" s="817"/>
      <c r="D57" s="418"/>
      <c r="E57" s="418"/>
      <c r="F57" s="418"/>
      <c r="G57" s="418"/>
      <c r="H57" s="418"/>
      <c r="I57" s="418"/>
      <c r="J57" s="418"/>
      <c r="K57" s="418"/>
      <c r="L57" s="418"/>
      <c r="M57" s="418"/>
      <c r="N57" s="418"/>
      <c r="O57" s="418"/>
      <c r="P57" s="418"/>
      <c r="Q57" s="418"/>
      <c r="R57" s="418"/>
    </row>
    <row r="58" spans="1:18" ht="30" customHeight="1" x14ac:dyDescent="0.2">
      <c r="A58" s="816"/>
      <c r="B58" s="817"/>
      <c r="C58" s="817"/>
      <c r="D58" s="418"/>
      <c r="E58" s="418"/>
      <c r="F58" s="418"/>
      <c r="G58" s="418"/>
      <c r="H58" s="418"/>
      <c r="I58" s="418"/>
      <c r="J58" s="418"/>
      <c r="K58" s="418"/>
      <c r="L58" s="418"/>
      <c r="M58" s="418"/>
      <c r="N58" s="418"/>
      <c r="O58" s="418"/>
      <c r="P58" s="418"/>
      <c r="Q58" s="418"/>
      <c r="R58" s="418"/>
    </row>
    <row r="59" spans="1:18" ht="30" customHeight="1" x14ac:dyDescent="0.2">
      <c r="A59" s="816"/>
      <c r="B59" s="817"/>
      <c r="C59" s="817"/>
      <c r="D59" s="418"/>
      <c r="E59" s="418"/>
      <c r="F59" s="418"/>
      <c r="G59" s="418"/>
      <c r="H59" s="418"/>
      <c r="I59" s="418"/>
      <c r="J59" s="418"/>
      <c r="K59" s="418"/>
      <c r="L59" s="418"/>
      <c r="M59" s="418"/>
      <c r="N59" s="418"/>
      <c r="O59" s="418"/>
      <c r="P59" s="418"/>
      <c r="Q59" s="418"/>
      <c r="R59" s="418"/>
    </row>
    <row r="60" spans="1:18" ht="30" customHeight="1" x14ac:dyDescent="0.2">
      <c r="A60" s="816"/>
      <c r="B60" s="817"/>
      <c r="C60" s="817"/>
      <c r="D60" s="418"/>
      <c r="E60" s="418"/>
      <c r="F60" s="418"/>
      <c r="G60" s="418"/>
      <c r="H60" s="418"/>
      <c r="I60" s="418"/>
      <c r="J60" s="418"/>
      <c r="K60" s="418"/>
      <c r="L60" s="418"/>
      <c r="M60" s="418"/>
      <c r="N60" s="418"/>
      <c r="O60" s="418"/>
      <c r="P60" s="418"/>
      <c r="Q60" s="418"/>
      <c r="R60" s="418"/>
    </row>
    <row r="61" spans="1:18" ht="30" customHeight="1" x14ac:dyDescent="0.2">
      <c r="A61" s="816"/>
      <c r="B61" s="817"/>
      <c r="C61" s="817"/>
      <c r="D61" s="418"/>
      <c r="E61" s="418"/>
      <c r="F61" s="418"/>
      <c r="G61" s="418"/>
      <c r="H61" s="418"/>
      <c r="I61" s="418"/>
      <c r="J61" s="418"/>
      <c r="K61" s="418"/>
      <c r="L61" s="418"/>
      <c r="M61" s="418"/>
      <c r="N61" s="418"/>
      <c r="O61" s="418"/>
      <c r="P61" s="418"/>
      <c r="Q61" s="418"/>
      <c r="R61" s="418"/>
    </row>
    <row r="62" spans="1:18" ht="30" customHeight="1" x14ac:dyDescent="0.2">
      <c r="A62" s="816"/>
      <c r="B62" s="817"/>
      <c r="C62" s="817"/>
      <c r="D62" s="418"/>
      <c r="E62" s="418"/>
      <c r="F62" s="418"/>
      <c r="G62" s="418"/>
      <c r="H62" s="418"/>
      <c r="I62" s="418"/>
      <c r="J62" s="418"/>
      <c r="K62" s="418"/>
      <c r="L62" s="418"/>
      <c r="M62" s="418"/>
      <c r="N62" s="418"/>
      <c r="O62" s="418"/>
      <c r="P62" s="418"/>
      <c r="Q62" s="418"/>
      <c r="R62" s="418"/>
    </row>
    <row r="63" spans="1:18" ht="30" customHeight="1" x14ac:dyDescent="0.2">
      <c r="A63" s="816"/>
      <c r="B63" s="817"/>
      <c r="C63" s="817"/>
      <c r="D63" s="418"/>
      <c r="E63" s="418"/>
      <c r="F63" s="418"/>
      <c r="G63" s="418"/>
      <c r="H63" s="418"/>
      <c r="I63" s="418"/>
      <c r="J63" s="418"/>
      <c r="K63" s="418"/>
      <c r="L63" s="418"/>
      <c r="M63" s="418"/>
      <c r="N63" s="418"/>
      <c r="O63" s="418"/>
      <c r="P63" s="418"/>
      <c r="Q63" s="418"/>
      <c r="R63" s="418"/>
    </row>
    <row r="64" spans="1:18" ht="30" customHeight="1" x14ac:dyDescent="0.2">
      <c r="A64" s="816"/>
      <c r="B64" s="817"/>
      <c r="C64" s="817"/>
      <c r="D64" s="418"/>
      <c r="E64" s="418"/>
      <c r="F64" s="418"/>
      <c r="G64" s="418"/>
      <c r="H64" s="418"/>
      <c r="I64" s="418"/>
      <c r="J64" s="418"/>
      <c r="K64" s="418"/>
      <c r="L64" s="418"/>
      <c r="M64" s="418"/>
      <c r="N64" s="418"/>
      <c r="O64" s="418"/>
      <c r="P64" s="418"/>
      <c r="Q64" s="418"/>
      <c r="R64" s="418"/>
    </row>
    <row r="65" spans="1:18" ht="30" customHeight="1" x14ac:dyDescent="0.2">
      <c r="A65" s="816"/>
      <c r="B65" s="817"/>
      <c r="C65" s="817"/>
      <c r="D65" s="418"/>
      <c r="E65" s="418"/>
      <c r="F65" s="418"/>
      <c r="G65" s="418"/>
      <c r="H65" s="418"/>
      <c r="I65" s="418"/>
      <c r="J65" s="418"/>
      <c r="K65" s="418"/>
      <c r="L65" s="418"/>
      <c r="M65" s="418"/>
      <c r="N65" s="418"/>
      <c r="O65" s="418"/>
      <c r="P65" s="418"/>
      <c r="Q65" s="418"/>
      <c r="R65" s="418"/>
    </row>
    <row r="66" spans="1:18" ht="30" customHeight="1" x14ac:dyDescent="0.2">
      <c r="A66" s="816"/>
      <c r="B66" s="817"/>
      <c r="C66" s="817"/>
      <c r="D66" s="418"/>
      <c r="E66" s="418"/>
      <c r="F66" s="418"/>
      <c r="G66" s="418"/>
      <c r="H66" s="418"/>
      <c r="I66" s="418"/>
      <c r="J66" s="418"/>
      <c r="K66" s="418"/>
      <c r="L66" s="418"/>
      <c r="M66" s="418"/>
      <c r="N66" s="418"/>
      <c r="O66" s="418"/>
      <c r="P66" s="418"/>
      <c r="Q66" s="418"/>
      <c r="R66" s="418"/>
    </row>
    <row r="67" spans="1:18" ht="30" customHeight="1" x14ac:dyDescent="0.2">
      <c r="A67" s="816"/>
      <c r="B67" s="817"/>
      <c r="C67" s="817"/>
      <c r="D67" s="418"/>
      <c r="E67" s="418"/>
      <c r="F67" s="418"/>
      <c r="G67" s="418"/>
      <c r="H67" s="418"/>
      <c r="I67" s="418"/>
      <c r="J67" s="418"/>
      <c r="K67" s="418"/>
      <c r="L67" s="418"/>
      <c r="M67" s="418"/>
      <c r="N67" s="418"/>
      <c r="O67" s="418"/>
      <c r="P67" s="418"/>
      <c r="Q67" s="418"/>
      <c r="R67" s="418"/>
    </row>
    <row r="68" spans="1:18" ht="30" customHeight="1" x14ac:dyDescent="0.2">
      <c r="A68" s="816"/>
      <c r="B68" s="817"/>
      <c r="C68" s="817"/>
      <c r="D68" s="418"/>
      <c r="E68" s="418"/>
      <c r="F68" s="418"/>
      <c r="G68" s="418"/>
      <c r="H68" s="418"/>
      <c r="I68" s="418"/>
      <c r="J68" s="418"/>
      <c r="K68" s="418"/>
      <c r="L68" s="418"/>
      <c r="M68" s="418"/>
      <c r="N68" s="418"/>
      <c r="O68" s="418"/>
      <c r="P68" s="418"/>
      <c r="Q68" s="418"/>
      <c r="R68" s="418"/>
    </row>
    <row r="69" spans="1:18" ht="15" customHeight="1" x14ac:dyDescent="0.2">
      <c r="A69" s="816"/>
      <c r="B69" s="817"/>
      <c r="C69" s="817"/>
      <c r="D69" s="418"/>
      <c r="E69" s="418"/>
      <c r="F69" s="418"/>
      <c r="G69" s="418"/>
      <c r="H69" s="418"/>
      <c r="I69" s="418"/>
      <c r="J69" s="418"/>
      <c r="K69" s="418"/>
      <c r="L69" s="418"/>
      <c r="M69" s="418"/>
      <c r="N69" s="418"/>
      <c r="O69" s="418"/>
      <c r="P69" s="418"/>
      <c r="Q69" s="418"/>
      <c r="R69" s="418"/>
    </row>
    <row r="70" spans="1:18" ht="45" customHeight="1" x14ac:dyDescent="0.2">
      <c r="A70" s="816"/>
      <c r="B70" s="817"/>
      <c r="C70" s="817"/>
      <c r="D70" s="418"/>
      <c r="E70" s="418"/>
      <c r="F70" s="418"/>
      <c r="G70" s="418"/>
      <c r="H70" s="418"/>
      <c r="I70" s="418"/>
      <c r="J70" s="418"/>
      <c r="K70" s="418"/>
      <c r="L70" s="418"/>
      <c r="M70" s="418"/>
      <c r="N70" s="418"/>
      <c r="O70" s="418"/>
      <c r="P70" s="418"/>
      <c r="Q70" s="418"/>
      <c r="R70" s="418"/>
    </row>
    <row r="71" spans="1:18" ht="30" customHeight="1" x14ac:dyDescent="0.2">
      <c r="A71" s="816"/>
      <c r="B71" s="817"/>
      <c r="C71" s="817"/>
      <c r="D71" s="418"/>
      <c r="E71" s="418"/>
      <c r="F71" s="418"/>
      <c r="G71" s="418"/>
      <c r="H71" s="418"/>
      <c r="I71" s="418"/>
      <c r="J71" s="418"/>
      <c r="K71" s="418"/>
      <c r="L71" s="418"/>
      <c r="M71" s="418"/>
      <c r="N71" s="418"/>
      <c r="O71" s="418"/>
      <c r="P71" s="418"/>
      <c r="Q71" s="418"/>
      <c r="R71" s="418"/>
    </row>
    <row r="72" spans="1:18" ht="30" customHeight="1" x14ac:dyDescent="0.2">
      <c r="A72" s="816"/>
      <c r="B72" s="817"/>
      <c r="C72" s="817"/>
      <c r="D72" s="418"/>
      <c r="E72" s="418"/>
      <c r="F72" s="418"/>
      <c r="G72" s="418"/>
      <c r="H72" s="418"/>
      <c r="I72" s="418"/>
      <c r="J72" s="418"/>
      <c r="K72" s="418"/>
      <c r="L72" s="418"/>
      <c r="M72" s="418"/>
      <c r="N72" s="418"/>
      <c r="O72" s="418"/>
      <c r="P72" s="418"/>
      <c r="Q72" s="418"/>
      <c r="R72" s="418"/>
    </row>
    <row r="73" spans="1:18" ht="30" customHeight="1" x14ac:dyDescent="0.2">
      <c r="A73" s="816"/>
      <c r="B73" s="817"/>
      <c r="C73" s="817"/>
      <c r="D73" s="418"/>
      <c r="E73" s="418"/>
      <c r="F73" s="418"/>
      <c r="G73" s="418"/>
      <c r="H73" s="418"/>
      <c r="I73" s="418"/>
      <c r="J73" s="418"/>
      <c r="K73" s="418"/>
      <c r="L73" s="418"/>
      <c r="M73" s="418"/>
      <c r="N73" s="418"/>
      <c r="O73" s="418"/>
      <c r="P73" s="418"/>
      <c r="Q73" s="418"/>
      <c r="R73" s="418"/>
    </row>
    <row r="74" spans="1:18" ht="30" customHeight="1" x14ac:dyDescent="0.2">
      <c r="A74" s="816"/>
      <c r="B74" s="817"/>
      <c r="C74" s="817"/>
      <c r="D74" s="418"/>
      <c r="E74" s="418"/>
      <c r="F74" s="418"/>
      <c r="G74" s="418"/>
      <c r="H74" s="418"/>
      <c r="I74" s="418"/>
      <c r="J74" s="418"/>
      <c r="K74" s="418"/>
      <c r="L74" s="418"/>
      <c r="M74" s="418"/>
      <c r="N74" s="418"/>
      <c r="O74" s="418"/>
      <c r="P74" s="418"/>
      <c r="Q74" s="418"/>
      <c r="R74" s="418"/>
    </row>
    <row r="75" spans="1:18" ht="30" customHeight="1" x14ac:dyDescent="0.2">
      <c r="A75" s="816"/>
      <c r="B75" s="817"/>
      <c r="C75" s="817"/>
      <c r="D75" s="418"/>
      <c r="E75" s="418"/>
      <c r="F75" s="418"/>
      <c r="G75" s="418"/>
      <c r="H75" s="418"/>
      <c r="I75" s="418"/>
      <c r="J75" s="418"/>
      <c r="K75" s="418"/>
      <c r="L75" s="418"/>
      <c r="M75" s="418"/>
      <c r="N75" s="418"/>
      <c r="O75" s="418"/>
      <c r="P75" s="418"/>
      <c r="Q75" s="418"/>
      <c r="R75" s="418"/>
    </row>
    <row r="76" spans="1:18" ht="30" customHeight="1" x14ac:dyDescent="0.2">
      <c r="A76" s="816"/>
      <c r="B76" s="817"/>
      <c r="C76" s="817"/>
      <c r="D76" s="418"/>
      <c r="E76" s="418"/>
      <c r="F76" s="418"/>
      <c r="G76" s="418"/>
      <c r="H76" s="418"/>
      <c r="I76" s="418"/>
      <c r="J76" s="418"/>
      <c r="K76" s="418"/>
      <c r="L76" s="418"/>
      <c r="M76" s="418"/>
      <c r="N76" s="418"/>
      <c r="O76" s="418"/>
      <c r="P76" s="418"/>
      <c r="Q76" s="418"/>
      <c r="R76" s="418"/>
    </row>
    <row r="77" spans="1:18" ht="15" customHeight="1" x14ac:dyDescent="0.2">
      <c r="A77" s="816"/>
      <c r="B77" s="817"/>
      <c r="C77" s="817"/>
      <c r="D77" s="418"/>
      <c r="E77" s="418"/>
      <c r="F77" s="418"/>
      <c r="G77" s="418"/>
      <c r="H77" s="418"/>
      <c r="I77" s="418"/>
      <c r="J77" s="418"/>
      <c r="K77" s="418"/>
      <c r="L77" s="418"/>
      <c r="M77" s="418"/>
      <c r="N77" s="418"/>
      <c r="O77" s="418"/>
      <c r="P77" s="418"/>
      <c r="Q77" s="418"/>
      <c r="R77" s="418"/>
    </row>
    <row r="78" spans="1:18" ht="45" customHeight="1" x14ac:dyDescent="0.2">
      <c r="A78" s="816"/>
      <c r="B78" s="817"/>
      <c r="C78" s="817"/>
      <c r="D78" s="418"/>
      <c r="E78" s="418"/>
      <c r="F78" s="418"/>
      <c r="G78" s="418"/>
      <c r="H78" s="418"/>
      <c r="I78" s="418"/>
      <c r="J78" s="418"/>
      <c r="K78" s="418"/>
      <c r="L78" s="418"/>
      <c r="M78" s="418"/>
      <c r="N78" s="418"/>
      <c r="O78" s="418"/>
      <c r="P78" s="418"/>
      <c r="Q78" s="418"/>
      <c r="R78" s="418"/>
    </row>
    <row r="79" spans="1:18" ht="30" customHeight="1" x14ac:dyDescent="0.2">
      <c r="A79" s="816"/>
      <c r="B79" s="817"/>
      <c r="C79" s="817"/>
      <c r="D79" s="418"/>
      <c r="E79" s="418"/>
      <c r="F79" s="418"/>
      <c r="G79" s="418"/>
      <c r="H79" s="418"/>
      <c r="I79" s="418"/>
      <c r="J79" s="418"/>
      <c r="K79" s="418"/>
      <c r="L79" s="418"/>
      <c r="M79" s="418"/>
      <c r="N79" s="418"/>
      <c r="O79" s="418"/>
      <c r="P79" s="418"/>
      <c r="Q79" s="418"/>
      <c r="R79" s="418"/>
    </row>
    <row r="80" spans="1:18" ht="30" customHeight="1" x14ac:dyDescent="0.2">
      <c r="A80" s="816"/>
      <c r="B80" s="817"/>
      <c r="C80" s="817"/>
      <c r="D80" s="418"/>
      <c r="E80" s="418"/>
      <c r="F80" s="418"/>
      <c r="G80" s="418"/>
      <c r="H80" s="418"/>
      <c r="I80" s="418"/>
      <c r="J80" s="418"/>
      <c r="K80" s="418"/>
      <c r="L80" s="418"/>
      <c r="M80" s="418"/>
      <c r="N80" s="418"/>
      <c r="O80" s="418"/>
      <c r="P80" s="418"/>
      <c r="Q80" s="418"/>
      <c r="R80" s="418"/>
    </row>
    <row r="81" spans="1:18" ht="30" customHeight="1" x14ac:dyDescent="0.2">
      <c r="A81" s="816"/>
      <c r="B81" s="817"/>
      <c r="C81" s="817"/>
      <c r="D81" s="418"/>
      <c r="E81" s="418"/>
      <c r="F81" s="418"/>
      <c r="G81" s="418"/>
      <c r="H81" s="418"/>
      <c r="I81" s="418"/>
      <c r="J81" s="418"/>
      <c r="K81" s="418"/>
      <c r="L81" s="418"/>
      <c r="M81" s="418"/>
      <c r="N81" s="418"/>
      <c r="O81" s="418"/>
      <c r="P81" s="418"/>
      <c r="Q81" s="418"/>
      <c r="R81" s="418"/>
    </row>
    <row r="82" spans="1:18" ht="30" customHeight="1" x14ac:dyDescent="0.2">
      <c r="A82" s="816"/>
      <c r="B82" s="817"/>
      <c r="C82" s="817"/>
      <c r="D82" s="418"/>
      <c r="E82" s="418"/>
      <c r="F82" s="418"/>
      <c r="G82" s="418"/>
      <c r="H82" s="418"/>
      <c r="I82" s="418"/>
      <c r="J82" s="418"/>
      <c r="K82" s="418"/>
      <c r="L82" s="418"/>
      <c r="M82" s="418"/>
      <c r="N82" s="418"/>
      <c r="O82" s="418"/>
      <c r="P82" s="418"/>
      <c r="Q82" s="418"/>
      <c r="R82" s="418"/>
    </row>
    <row r="83" spans="1:18" ht="30" customHeight="1" x14ac:dyDescent="0.2">
      <c r="A83" s="816"/>
      <c r="B83" s="817"/>
      <c r="C83" s="817"/>
      <c r="D83" s="418"/>
      <c r="E83" s="418"/>
      <c r="F83" s="418"/>
      <c r="G83" s="418"/>
      <c r="H83" s="418"/>
      <c r="I83" s="418"/>
      <c r="J83" s="418"/>
      <c r="K83" s="418"/>
      <c r="L83" s="418"/>
      <c r="M83" s="418"/>
      <c r="N83" s="418"/>
      <c r="O83" s="418"/>
      <c r="P83" s="418"/>
      <c r="Q83" s="418"/>
      <c r="R83" s="418"/>
    </row>
    <row r="84" spans="1:18" ht="30" customHeight="1" x14ac:dyDescent="0.2">
      <c r="A84" s="816"/>
      <c r="B84" s="817"/>
      <c r="C84" s="817"/>
      <c r="D84" s="418"/>
      <c r="E84" s="418"/>
      <c r="F84" s="418"/>
      <c r="G84" s="418"/>
      <c r="H84" s="418"/>
      <c r="I84" s="418"/>
      <c r="J84" s="418"/>
      <c r="K84" s="418"/>
      <c r="L84" s="418"/>
      <c r="M84" s="418"/>
      <c r="N84" s="418"/>
      <c r="O84" s="418"/>
      <c r="P84" s="418"/>
      <c r="Q84" s="418"/>
      <c r="R84" s="418"/>
    </row>
    <row r="85" spans="1:18" ht="15" customHeight="1" x14ac:dyDescent="0.2">
      <c r="A85" s="816"/>
      <c r="B85" s="817"/>
      <c r="C85" s="817"/>
      <c r="D85" s="418"/>
      <c r="E85" s="418"/>
      <c r="F85" s="418"/>
      <c r="G85" s="418"/>
      <c r="H85" s="418"/>
      <c r="I85" s="418"/>
      <c r="J85" s="418"/>
      <c r="K85" s="418"/>
      <c r="L85" s="418"/>
      <c r="M85" s="418"/>
      <c r="N85" s="418"/>
      <c r="O85" s="418"/>
      <c r="P85" s="418"/>
      <c r="Q85" s="418"/>
      <c r="R85" s="418"/>
    </row>
    <row r="86" spans="1:18" ht="45" customHeight="1" x14ac:dyDescent="0.2">
      <c r="A86" s="816"/>
      <c r="B86" s="817"/>
      <c r="C86" s="817"/>
      <c r="D86" s="418"/>
      <c r="E86" s="418"/>
      <c r="F86" s="418"/>
      <c r="G86" s="418"/>
      <c r="H86" s="418"/>
      <c r="I86" s="418"/>
      <c r="J86" s="418"/>
      <c r="K86" s="418"/>
      <c r="L86" s="418"/>
      <c r="M86" s="418"/>
      <c r="N86" s="418"/>
      <c r="O86" s="418"/>
      <c r="P86" s="418"/>
      <c r="Q86" s="418"/>
      <c r="R86" s="418"/>
    </row>
    <row r="87" spans="1:18" ht="30" customHeight="1" x14ac:dyDescent="0.2">
      <c r="A87" s="816"/>
      <c r="B87" s="817"/>
      <c r="C87" s="817"/>
      <c r="D87" s="418"/>
      <c r="E87" s="418"/>
      <c r="F87" s="418"/>
      <c r="G87" s="418"/>
      <c r="H87" s="418"/>
      <c r="I87" s="418"/>
      <c r="J87" s="418"/>
      <c r="K87" s="418"/>
      <c r="L87" s="418"/>
      <c r="M87" s="418"/>
      <c r="N87" s="418"/>
      <c r="O87" s="418"/>
      <c r="P87" s="418"/>
      <c r="Q87" s="418"/>
      <c r="R87" s="418"/>
    </row>
    <row r="88" spans="1:18" ht="30" customHeight="1" x14ac:dyDescent="0.2">
      <c r="A88" s="816"/>
      <c r="B88" s="817"/>
      <c r="C88" s="817"/>
      <c r="D88" s="418"/>
      <c r="E88" s="418"/>
      <c r="F88" s="418"/>
      <c r="G88" s="418"/>
      <c r="H88" s="418"/>
      <c r="I88" s="418"/>
      <c r="J88" s="418"/>
      <c r="K88" s="418"/>
      <c r="L88" s="418"/>
      <c r="M88" s="418"/>
      <c r="N88" s="418"/>
      <c r="O88" s="418"/>
      <c r="P88" s="418"/>
      <c r="Q88" s="418"/>
      <c r="R88" s="418"/>
    </row>
    <row r="89" spans="1:18" ht="30" customHeight="1" x14ac:dyDescent="0.2">
      <c r="A89" s="816"/>
      <c r="B89" s="817"/>
      <c r="C89" s="817"/>
      <c r="D89" s="418"/>
      <c r="E89" s="418"/>
      <c r="F89" s="418"/>
      <c r="G89" s="418"/>
      <c r="H89" s="418"/>
      <c r="I89" s="418"/>
      <c r="J89" s="418"/>
      <c r="K89" s="418"/>
      <c r="L89" s="418"/>
      <c r="M89" s="418"/>
      <c r="N89" s="418"/>
      <c r="O89" s="418"/>
      <c r="P89" s="418"/>
      <c r="Q89" s="418"/>
      <c r="R89" s="418"/>
    </row>
    <row r="90" spans="1:18" ht="30" customHeight="1" x14ac:dyDescent="0.2">
      <c r="A90" s="816"/>
      <c r="B90" s="817"/>
      <c r="C90" s="817"/>
      <c r="D90" s="418"/>
      <c r="E90" s="418"/>
      <c r="F90" s="418"/>
      <c r="G90" s="418"/>
      <c r="H90" s="418"/>
      <c r="I90" s="418"/>
      <c r="J90" s="418"/>
      <c r="K90" s="418"/>
      <c r="L90" s="418"/>
      <c r="M90" s="418"/>
      <c r="N90" s="418"/>
      <c r="O90" s="418"/>
      <c r="P90" s="418"/>
      <c r="Q90" s="418"/>
      <c r="R90" s="418"/>
    </row>
    <row r="91" spans="1:18" ht="30" customHeight="1" x14ac:dyDescent="0.2">
      <c r="A91" s="816"/>
      <c r="B91" s="817"/>
      <c r="C91" s="817"/>
      <c r="D91" s="418"/>
      <c r="E91" s="418"/>
      <c r="F91" s="418"/>
      <c r="G91" s="418"/>
      <c r="H91" s="418"/>
      <c r="I91" s="418"/>
      <c r="J91" s="418"/>
      <c r="K91" s="418"/>
      <c r="L91" s="418"/>
      <c r="M91" s="418"/>
      <c r="N91" s="418"/>
      <c r="O91" s="418"/>
      <c r="P91" s="418"/>
      <c r="Q91" s="418"/>
      <c r="R91" s="418"/>
    </row>
    <row r="92" spans="1:18" ht="30" customHeight="1" x14ac:dyDescent="0.2">
      <c r="A92" s="816"/>
      <c r="B92" s="817"/>
      <c r="C92" s="817"/>
      <c r="D92" s="418"/>
      <c r="E92" s="418"/>
      <c r="F92" s="418"/>
      <c r="G92" s="418"/>
      <c r="H92" s="418"/>
      <c r="I92" s="418"/>
      <c r="J92" s="418"/>
      <c r="K92" s="418"/>
      <c r="L92" s="418"/>
      <c r="M92" s="418"/>
      <c r="N92" s="418"/>
      <c r="O92" s="418"/>
      <c r="P92" s="418"/>
      <c r="Q92" s="418"/>
      <c r="R92" s="418"/>
    </row>
    <row r="93" spans="1:18" ht="15" customHeight="1" x14ac:dyDescent="0.2">
      <c r="A93" s="816"/>
      <c r="B93" s="817"/>
      <c r="C93" s="817"/>
      <c r="D93" s="418"/>
      <c r="E93" s="418"/>
      <c r="F93" s="418"/>
      <c r="G93" s="418"/>
      <c r="H93" s="418"/>
      <c r="I93" s="418"/>
      <c r="J93" s="418"/>
      <c r="K93" s="418"/>
      <c r="L93" s="418"/>
      <c r="M93" s="418"/>
      <c r="N93" s="418"/>
      <c r="O93" s="418"/>
      <c r="P93" s="418"/>
      <c r="Q93" s="418"/>
      <c r="R93" s="418"/>
    </row>
    <row r="94" spans="1:18" ht="45" customHeight="1" x14ac:dyDescent="0.2">
      <c r="A94" s="816"/>
      <c r="B94" s="817"/>
      <c r="C94" s="817"/>
      <c r="D94" s="418"/>
      <c r="E94" s="418"/>
      <c r="F94" s="418"/>
      <c r="G94" s="418"/>
      <c r="H94" s="418"/>
      <c r="I94" s="418"/>
      <c r="J94" s="418"/>
      <c r="K94" s="418"/>
      <c r="L94" s="418"/>
      <c r="M94" s="418"/>
      <c r="N94" s="418"/>
      <c r="O94" s="418"/>
      <c r="P94" s="418"/>
      <c r="Q94" s="418"/>
      <c r="R94" s="418"/>
    </row>
    <row r="95" spans="1:18" ht="30" customHeight="1" x14ac:dyDescent="0.2">
      <c r="A95" s="816"/>
      <c r="B95" s="817"/>
      <c r="C95" s="817"/>
      <c r="D95" s="418"/>
      <c r="E95" s="418"/>
      <c r="F95" s="418"/>
      <c r="G95" s="418"/>
      <c r="H95" s="418"/>
      <c r="I95" s="418"/>
      <c r="J95" s="418"/>
      <c r="K95" s="418"/>
      <c r="L95" s="418"/>
      <c r="M95" s="418"/>
      <c r="N95" s="418"/>
      <c r="O95" s="418"/>
      <c r="P95" s="418"/>
      <c r="Q95" s="418"/>
      <c r="R95" s="418"/>
    </row>
    <row r="96" spans="1:18" ht="30" customHeight="1" x14ac:dyDescent="0.2">
      <c r="A96" s="816"/>
      <c r="B96" s="817"/>
      <c r="C96" s="817"/>
      <c r="D96" s="418"/>
      <c r="E96" s="418"/>
      <c r="F96" s="418"/>
      <c r="G96" s="418"/>
      <c r="H96" s="418"/>
      <c r="I96" s="418"/>
      <c r="J96" s="418"/>
      <c r="K96" s="418"/>
      <c r="L96" s="418"/>
      <c r="M96" s="418"/>
      <c r="N96" s="418"/>
      <c r="O96" s="418"/>
      <c r="P96" s="418"/>
      <c r="Q96" s="418"/>
      <c r="R96" s="418"/>
    </row>
    <row r="97" spans="1:18" ht="30" customHeight="1" x14ac:dyDescent="0.2">
      <c r="A97" s="816"/>
      <c r="B97" s="817"/>
      <c r="C97" s="817"/>
      <c r="D97" s="418"/>
      <c r="E97" s="418"/>
      <c r="F97" s="418"/>
      <c r="G97" s="418"/>
      <c r="H97" s="418"/>
      <c r="I97" s="418"/>
      <c r="J97" s="418"/>
      <c r="K97" s="418"/>
      <c r="L97" s="418"/>
      <c r="M97" s="418"/>
      <c r="N97" s="418"/>
      <c r="O97" s="418"/>
      <c r="P97" s="418"/>
      <c r="Q97" s="418"/>
      <c r="R97" s="418"/>
    </row>
    <row r="98" spans="1:18" ht="30" customHeight="1" x14ac:dyDescent="0.2">
      <c r="A98" s="816"/>
      <c r="B98" s="817"/>
      <c r="C98" s="817"/>
      <c r="D98" s="418"/>
      <c r="E98" s="418"/>
      <c r="F98" s="418"/>
      <c r="G98" s="418"/>
      <c r="H98" s="418"/>
      <c r="I98" s="418"/>
      <c r="J98" s="418"/>
      <c r="K98" s="418"/>
      <c r="L98" s="418"/>
      <c r="M98" s="418"/>
      <c r="N98" s="418"/>
      <c r="O98" s="418"/>
      <c r="P98" s="418"/>
      <c r="Q98" s="418"/>
      <c r="R98" s="418"/>
    </row>
    <row r="99" spans="1:18" ht="30" customHeight="1" x14ac:dyDescent="0.2">
      <c r="A99" s="816"/>
      <c r="B99" s="817"/>
      <c r="C99" s="817"/>
      <c r="D99" s="418"/>
      <c r="E99" s="418"/>
      <c r="F99" s="418"/>
      <c r="G99" s="418"/>
      <c r="H99" s="418"/>
      <c r="I99" s="418"/>
      <c r="J99" s="418"/>
      <c r="K99" s="418"/>
      <c r="L99" s="418"/>
      <c r="M99" s="418"/>
      <c r="N99" s="418"/>
      <c r="O99" s="418"/>
      <c r="P99" s="418"/>
      <c r="Q99" s="418"/>
      <c r="R99" s="418"/>
    </row>
    <row r="100" spans="1:18" ht="30" customHeight="1" x14ac:dyDescent="0.2">
      <c r="A100" s="816"/>
      <c r="B100" s="817"/>
      <c r="C100" s="817"/>
      <c r="D100" s="418"/>
      <c r="E100" s="418"/>
      <c r="F100" s="418"/>
      <c r="G100" s="418"/>
      <c r="H100" s="418"/>
      <c r="I100" s="418"/>
      <c r="J100" s="418"/>
      <c r="K100" s="418"/>
      <c r="L100" s="418"/>
      <c r="M100" s="418"/>
      <c r="N100" s="418"/>
      <c r="O100" s="418"/>
      <c r="P100" s="418"/>
      <c r="Q100" s="418"/>
      <c r="R100" s="418"/>
    </row>
    <row r="101" spans="1:18" ht="15" customHeight="1" x14ac:dyDescent="0.2">
      <c r="A101" s="816"/>
      <c r="B101" s="817"/>
      <c r="C101" s="817"/>
      <c r="D101" s="418"/>
      <c r="E101" s="418"/>
      <c r="F101" s="418"/>
      <c r="G101" s="418"/>
      <c r="H101" s="418"/>
      <c r="I101" s="418"/>
      <c r="J101" s="418"/>
      <c r="K101" s="418"/>
      <c r="L101" s="418"/>
      <c r="M101" s="418"/>
      <c r="N101" s="418"/>
      <c r="O101" s="418"/>
      <c r="P101" s="418"/>
      <c r="Q101" s="418"/>
      <c r="R101" s="418"/>
    </row>
    <row r="102" spans="1:18" ht="45" customHeight="1" x14ac:dyDescent="0.2">
      <c r="A102" s="816"/>
      <c r="B102" s="817"/>
      <c r="C102" s="817"/>
      <c r="D102" s="418"/>
      <c r="E102" s="418"/>
      <c r="F102" s="418"/>
      <c r="G102" s="418"/>
      <c r="H102" s="418"/>
      <c r="I102" s="418"/>
      <c r="J102" s="418"/>
      <c r="K102" s="418"/>
      <c r="L102" s="418"/>
      <c r="M102" s="418"/>
      <c r="N102" s="418"/>
      <c r="O102" s="418"/>
      <c r="P102" s="418"/>
      <c r="Q102" s="418"/>
      <c r="R102" s="418"/>
    </row>
    <row r="103" spans="1:18" ht="30" customHeight="1" x14ac:dyDescent="0.2">
      <c r="A103" s="816"/>
      <c r="B103" s="817"/>
      <c r="C103" s="817"/>
      <c r="D103" s="418"/>
      <c r="E103" s="418"/>
      <c r="F103" s="418"/>
      <c r="G103" s="418"/>
      <c r="H103" s="418"/>
      <c r="I103" s="418"/>
      <c r="J103" s="418"/>
      <c r="K103" s="418"/>
      <c r="L103" s="418"/>
      <c r="M103" s="418"/>
      <c r="N103" s="418"/>
      <c r="O103" s="418"/>
      <c r="P103" s="418"/>
      <c r="Q103" s="418"/>
      <c r="R103" s="418"/>
    </row>
    <row r="104" spans="1:18" ht="30" customHeight="1" x14ac:dyDescent="0.2">
      <c r="A104" s="816"/>
      <c r="B104" s="817"/>
      <c r="C104" s="817"/>
      <c r="D104" s="418"/>
      <c r="E104" s="418"/>
      <c r="F104" s="418"/>
      <c r="G104" s="418"/>
      <c r="H104" s="418"/>
      <c r="I104" s="418"/>
      <c r="J104" s="418"/>
      <c r="K104" s="418"/>
      <c r="L104" s="418"/>
      <c r="M104" s="418"/>
      <c r="N104" s="418"/>
      <c r="O104" s="418"/>
      <c r="P104" s="418"/>
      <c r="Q104" s="418"/>
      <c r="R104" s="418"/>
    </row>
    <row r="105" spans="1:18" ht="30" customHeight="1" x14ac:dyDescent="0.2">
      <c r="A105" s="816"/>
      <c r="B105" s="817"/>
      <c r="C105" s="817"/>
      <c r="D105" s="418"/>
      <c r="E105" s="418"/>
      <c r="F105" s="418"/>
      <c r="G105" s="418"/>
      <c r="H105" s="418"/>
      <c r="I105" s="418"/>
      <c r="J105" s="418"/>
      <c r="K105" s="418"/>
      <c r="L105" s="418"/>
      <c r="M105" s="418"/>
      <c r="N105" s="418"/>
      <c r="O105" s="418"/>
      <c r="P105" s="418"/>
      <c r="Q105" s="418"/>
      <c r="R105" s="418"/>
    </row>
    <row r="106" spans="1:18" ht="30" customHeight="1" x14ac:dyDescent="0.2">
      <c r="A106" s="816"/>
      <c r="B106" s="817"/>
      <c r="C106" s="817"/>
      <c r="D106" s="418"/>
      <c r="E106" s="418"/>
      <c r="F106" s="418"/>
      <c r="G106" s="418"/>
      <c r="H106" s="418"/>
      <c r="I106" s="418"/>
      <c r="J106" s="418"/>
      <c r="K106" s="418"/>
      <c r="L106" s="418"/>
      <c r="M106" s="418"/>
      <c r="N106" s="418"/>
      <c r="O106" s="418"/>
      <c r="P106" s="418"/>
      <c r="Q106" s="418"/>
      <c r="R106" s="418"/>
    </row>
    <row r="107" spans="1:18" ht="30" customHeight="1" x14ac:dyDescent="0.2">
      <c r="A107" s="816"/>
      <c r="B107" s="817"/>
      <c r="C107" s="817"/>
      <c r="D107" s="418"/>
      <c r="E107" s="418"/>
      <c r="F107" s="418"/>
      <c r="G107" s="418"/>
      <c r="H107" s="418"/>
      <c r="I107" s="418"/>
      <c r="J107" s="418"/>
      <c r="K107" s="418"/>
      <c r="L107" s="418"/>
      <c r="M107" s="418"/>
      <c r="N107" s="418"/>
      <c r="O107" s="418"/>
      <c r="P107" s="418"/>
      <c r="Q107" s="418"/>
      <c r="R107" s="418"/>
    </row>
    <row r="108" spans="1:18" ht="30" customHeight="1" x14ac:dyDescent="0.2">
      <c r="A108" s="816"/>
      <c r="B108" s="817"/>
      <c r="C108" s="817"/>
      <c r="D108" s="418"/>
      <c r="E108" s="418"/>
      <c r="F108" s="418"/>
      <c r="G108" s="418"/>
      <c r="H108" s="418"/>
      <c r="I108" s="418"/>
      <c r="J108" s="418"/>
      <c r="K108" s="418"/>
      <c r="L108" s="418"/>
      <c r="M108" s="418"/>
      <c r="N108" s="418"/>
      <c r="O108" s="418"/>
      <c r="P108" s="418"/>
      <c r="Q108" s="418"/>
      <c r="R108" s="418"/>
    </row>
    <row r="109" spans="1:18" ht="15" customHeight="1" x14ac:dyDescent="0.2">
      <c r="A109" s="816"/>
      <c r="B109" s="817"/>
      <c r="C109" s="817"/>
      <c r="D109" s="418"/>
      <c r="E109" s="418"/>
      <c r="F109" s="418"/>
      <c r="G109" s="418"/>
      <c r="H109" s="418"/>
      <c r="I109" s="418"/>
      <c r="J109" s="418"/>
      <c r="K109" s="418"/>
      <c r="L109" s="418"/>
      <c r="M109" s="418"/>
      <c r="N109" s="418"/>
      <c r="O109" s="418"/>
      <c r="P109" s="418"/>
      <c r="Q109" s="418"/>
      <c r="R109" s="418"/>
    </row>
    <row r="110" spans="1:18" ht="45" customHeight="1" x14ac:dyDescent="0.2">
      <c r="A110" s="816"/>
      <c r="B110" s="817"/>
      <c r="C110" s="817"/>
      <c r="D110" s="418"/>
      <c r="E110" s="418"/>
      <c r="F110" s="418"/>
      <c r="G110" s="418"/>
      <c r="H110" s="418"/>
      <c r="I110" s="418"/>
      <c r="J110" s="418"/>
      <c r="K110" s="418"/>
      <c r="L110" s="418"/>
      <c r="M110" s="418"/>
      <c r="N110" s="418"/>
      <c r="O110" s="418"/>
      <c r="P110" s="418"/>
      <c r="Q110" s="418"/>
      <c r="R110" s="418"/>
    </row>
    <row r="111" spans="1:18" ht="30" customHeight="1" x14ac:dyDescent="0.2">
      <c r="A111" s="816"/>
      <c r="B111" s="817"/>
      <c r="C111" s="817"/>
      <c r="D111" s="418"/>
      <c r="E111" s="418"/>
      <c r="F111" s="418"/>
      <c r="G111" s="418"/>
      <c r="H111" s="418"/>
      <c r="I111" s="418"/>
      <c r="J111" s="418"/>
      <c r="K111" s="418"/>
      <c r="L111" s="418"/>
      <c r="M111" s="418"/>
      <c r="N111" s="418"/>
      <c r="O111" s="418"/>
      <c r="P111" s="418"/>
      <c r="Q111" s="418"/>
      <c r="R111" s="418"/>
    </row>
    <row r="112" spans="1:18" ht="30" customHeight="1" x14ac:dyDescent="0.2">
      <c r="A112" s="816"/>
      <c r="B112" s="817"/>
      <c r="C112" s="817"/>
      <c r="D112" s="418"/>
      <c r="E112" s="418"/>
      <c r="F112" s="418"/>
      <c r="G112" s="418"/>
      <c r="H112" s="418"/>
      <c r="I112" s="418"/>
      <c r="J112" s="418"/>
      <c r="K112" s="418"/>
      <c r="L112" s="418"/>
      <c r="M112" s="418"/>
      <c r="N112" s="418"/>
      <c r="O112" s="418"/>
      <c r="P112" s="418"/>
      <c r="Q112" s="418"/>
      <c r="R112" s="418"/>
    </row>
    <row r="113" spans="1:18" ht="30" customHeight="1" x14ac:dyDescent="0.2">
      <c r="A113" s="816"/>
      <c r="B113" s="817"/>
      <c r="C113" s="817"/>
      <c r="D113" s="418"/>
      <c r="E113" s="418"/>
      <c r="F113" s="418"/>
      <c r="G113" s="418"/>
      <c r="H113" s="418"/>
      <c r="I113" s="418"/>
      <c r="J113" s="418"/>
      <c r="K113" s="418"/>
      <c r="L113" s="418"/>
      <c r="M113" s="418"/>
      <c r="N113" s="418"/>
      <c r="O113" s="418"/>
      <c r="P113" s="418"/>
      <c r="Q113" s="418"/>
      <c r="R113" s="418"/>
    </row>
    <row r="114" spans="1:18" ht="30" customHeight="1" x14ac:dyDescent="0.2">
      <c r="A114" s="816"/>
      <c r="B114" s="817"/>
      <c r="C114" s="817"/>
      <c r="D114" s="418"/>
      <c r="E114" s="418"/>
      <c r="F114" s="418"/>
      <c r="G114" s="418"/>
      <c r="H114" s="418"/>
      <c r="I114" s="418"/>
      <c r="J114" s="418"/>
      <c r="K114" s="418"/>
      <c r="L114" s="418"/>
      <c r="M114" s="418"/>
      <c r="N114" s="418"/>
      <c r="O114" s="418"/>
      <c r="P114" s="418"/>
      <c r="Q114" s="418"/>
      <c r="R114" s="418"/>
    </row>
    <row r="115" spans="1:18" ht="30" customHeight="1" x14ac:dyDescent="0.2">
      <c r="A115" s="816"/>
      <c r="B115" s="817"/>
      <c r="C115" s="817"/>
      <c r="D115" s="418"/>
      <c r="E115" s="418"/>
      <c r="F115" s="418"/>
      <c r="G115" s="418"/>
      <c r="H115" s="418"/>
      <c r="I115" s="418"/>
      <c r="J115" s="418"/>
      <c r="K115" s="418"/>
      <c r="L115" s="418"/>
      <c r="M115" s="418"/>
      <c r="N115" s="418"/>
      <c r="O115" s="418"/>
      <c r="P115" s="418"/>
      <c r="Q115" s="418"/>
      <c r="R115" s="418"/>
    </row>
    <row r="116" spans="1:18" ht="30" customHeight="1" x14ac:dyDescent="0.2">
      <c r="A116" s="816"/>
      <c r="B116" s="817"/>
      <c r="C116" s="817"/>
      <c r="D116" s="418"/>
      <c r="E116" s="418"/>
      <c r="F116" s="418"/>
      <c r="G116" s="418"/>
      <c r="H116" s="418"/>
      <c r="I116" s="418"/>
      <c r="J116" s="418"/>
      <c r="K116" s="418"/>
      <c r="L116" s="418"/>
      <c r="M116" s="418"/>
      <c r="N116" s="418"/>
      <c r="O116" s="418"/>
      <c r="P116" s="418"/>
      <c r="Q116" s="418"/>
      <c r="R116" s="418"/>
    </row>
    <row r="117" spans="1:18" ht="15" customHeight="1" x14ac:dyDescent="0.2">
      <c r="A117" s="816"/>
      <c r="B117" s="817"/>
      <c r="C117" s="817"/>
      <c r="D117" s="418"/>
      <c r="E117" s="418"/>
      <c r="F117" s="418"/>
      <c r="G117" s="418"/>
      <c r="H117" s="418"/>
      <c r="I117" s="418"/>
      <c r="J117" s="418"/>
      <c r="K117" s="418"/>
      <c r="L117" s="418"/>
      <c r="M117" s="418"/>
      <c r="N117" s="418"/>
      <c r="O117" s="418"/>
      <c r="P117" s="418"/>
      <c r="Q117" s="418"/>
      <c r="R117" s="418"/>
    </row>
    <row r="118" spans="1:18" ht="45" customHeight="1" x14ac:dyDescent="0.2">
      <c r="A118" s="816"/>
      <c r="B118" s="817"/>
      <c r="C118" s="817"/>
      <c r="D118" s="418"/>
      <c r="E118" s="418"/>
      <c r="F118" s="418"/>
      <c r="G118" s="418"/>
      <c r="H118" s="418"/>
      <c r="I118" s="418"/>
      <c r="J118" s="418"/>
      <c r="K118" s="418"/>
      <c r="L118" s="418"/>
      <c r="M118" s="418"/>
      <c r="N118" s="418"/>
      <c r="O118" s="418"/>
      <c r="P118" s="418"/>
      <c r="Q118" s="418"/>
      <c r="R118" s="418"/>
    </row>
    <row r="119" spans="1:18" ht="30" customHeight="1" x14ac:dyDescent="0.2">
      <c r="A119" s="816"/>
      <c r="B119" s="817"/>
      <c r="C119" s="817"/>
      <c r="D119" s="418"/>
      <c r="E119" s="418"/>
      <c r="F119" s="418"/>
      <c r="G119" s="418"/>
      <c r="H119" s="418"/>
      <c r="I119" s="418"/>
      <c r="J119" s="418"/>
      <c r="K119" s="418"/>
      <c r="L119" s="418"/>
      <c r="M119" s="418"/>
      <c r="N119" s="418"/>
      <c r="O119" s="418"/>
      <c r="P119" s="418"/>
      <c r="Q119" s="418"/>
      <c r="R119" s="418"/>
    </row>
    <row r="120" spans="1:18" ht="30" customHeight="1" x14ac:dyDescent="0.2">
      <c r="A120" s="816"/>
      <c r="B120" s="817"/>
      <c r="C120" s="817"/>
      <c r="D120" s="418"/>
      <c r="E120" s="418"/>
      <c r="F120" s="418"/>
      <c r="G120" s="418"/>
      <c r="H120" s="418"/>
      <c r="I120" s="418"/>
      <c r="J120" s="418"/>
      <c r="K120" s="418"/>
      <c r="L120" s="418"/>
      <c r="M120" s="418"/>
      <c r="N120" s="418"/>
      <c r="O120" s="418"/>
      <c r="P120" s="418"/>
      <c r="Q120" s="418"/>
      <c r="R120" s="418"/>
    </row>
    <row r="121" spans="1:18" ht="30" customHeight="1" x14ac:dyDescent="0.2">
      <c r="A121" s="816"/>
      <c r="B121" s="817"/>
      <c r="C121" s="817"/>
      <c r="D121" s="418"/>
      <c r="E121" s="418"/>
      <c r="F121" s="418"/>
      <c r="G121" s="418"/>
      <c r="H121" s="418"/>
      <c r="I121" s="418"/>
      <c r="J121" s="418"/>
      <c r="K121" s="418"/>
      <c r="L121" s="418"/>
      <c r="M121" s="418"/>
      <c r="N121" s="418"/>
      <c r="O121" s="418"/>
      <c r="P121" s="418"/>
      <c r="Q121" s="418"/>
      <c r="R121" s="418"/>
    </row>
    <row r="122" spans="1:18" ht="30" customHeight="1" x14ac:dyDescent="0.2">
      <c r="A122" s="816"/>
      <c r="B122" s="817"/>
      <c r="C122" s="817"/>
      <c r="D122" s="418"/>
      <c r="E122" s="418"/>
      <c r="F122" s="418"/>
      <c r="G122" s="418"/>
      <c r="H122" s="418"/>
      <c r="I122" s="418"/>
      <c r="J122" s="418"/>
      <c r="K122" s="418"/>
      <c r="L122" s="418"/>
      <c r="M122" s="418"/>
      <c r="N122" s="418"/>
      <c r="O122" s="418"/>
      <c r="P122" s="418"/>
      <c r="Q122" s="418"/>
      <c r="R122" s="418"/>
    </row>
    <row r="123" spans="1:18" ht="30" customHeight="1" x14ac:dyDescent="0.2">
      <c r="A123" s="816"/>
      <c r="B123" s="817"/>
      <c r="C123" s="817"/>
      <c r="D123" s="418"/>
      <c r="E123" s="418"/>
      <c r="F123" s="418"/>
      <c r="G123" s="418"/>
      <c r="H123" s="418"/>
      <c r="I123" s="418"/>
      <c r="J123" s="418"/>
      <c r="K123" s="418"/>
      <c r="L123" s="418"/>
      <c r="M123" s="418"/>
      <c r="N123" s="418"/>
      <c r="O123" s="418"/>
      <c r="P123" s="418"/>
      <c r="Q123" s="418"/>
      <c r="R123" s="418"/>
    </row>
    <row r="124" spans="1:18" ht="30" customHeight="1" x14ac:dyDescent="0.2">
      <c r="A124" s="816"/>
      <c r="B124" s="817"/>
      <c r="C124" s="817"/>
      <c r="D124" s="418"/>
      <c r="E124" s="418"/>
      <c r="F124" s="418"/>
      <c r="G124" s="418"/>
      <c r="H124" s="418"/>
      <c r="I124" s="418"/>
      <c r="J124" s="418"/>
      <c r="K124" s="418"/>
      <c r="L124" s="418"/>
      <c r="M124" s="418"/>
      <c r="N124" s="418"/>
      <c r="O124" s="418"/>
      <c r="P124" s="418"/>
      <c r="Q124" s="418"/>
      <c r="R124" s="418"/>
    </row>
    <row r="125" spans="1:18" ht="15" customHeight="1" x14ac:dyDescent="0.2">
      <c r="A125" s="816"/>
      <c r="B125" s="817"/>
      <c r="C125" s="817"/>
      <c r="D125" s="418"/>
      <c r="E125" s="418"/>
      <c r="F125" s="418"/>
      <c r="G125" s="418"/>
      <c r="H125" s="418"/>
      <c r="I125" s="418"/>
      <c r="J125" s="418"/>
      <c r="K125" s="418"/>
      <c r="L125" s="418"/>
      <c r="M125" s="418"/>
      <c r="N125" s="418"/>
      <c r="O125" s="418"/>
      <c r="P125" s="418"/>
      <c r="Q125" s="418"/>
      <c r="R125" s="418"/>
    </row>
    <row r="126" spans="1:18" ht="45" customHeight="1" x14ac:dyDescent="0.2">
      <c r="A126" s="816"/>
      <c r="B126" s="817"/>
      <c r="C126" s="817"/>
      <c r="D126" s="418"/>
      <c r="E126" s="418"/>
      <c r="F126" s="418"/>
      <c r="G126" s="418"/>
      <c r="H126" s="418"/>
      <c r="I126" s="418"/>
      <c r="J126" s="418"/>
      <c r="K126" s="418"/>
      <c r="L126" s="418"/>
      <c r="M126" s="418"/>
      <c r="N126" s="418"/>
      <c r="O126" s="418"/>
      <c r="P126" s="418"/>
      <c r="Q126" s="418"/>
      <c r="R126" s="418"/>
    </row>
    <row r="127" spans="1:18" ht="30" customHeight="1" x14ac:dyDescent="0.2">
      <c r="A127" s="816"/>
      <c r="B127" s="817"/>
      <c r="C127" s="817"/>
      <c r="D127" s="418"/>
      <c r="E127" s="418"/>
      <c r="F127" s="418"/>
      <c r="G127" s="418"/>
      <c r="H127" s="418"/>
      <c r="I127" s="418"/>
      <c r="J127" s="418"/>
      <c r="K127" s="418"/>
      <c r="L127" s="418"/>
      <c r="M127" s="418"/>
      <c r="N127" s="418"/>
      <c r="O127" s="418"/>
      <c r="P127" s="418"/>
      <c r="Q127" s="418"/>
      <c r="R127" s="418"/>
    </row>
    <row r="128" spans="1:18" ht="30" customHeight="1" x14ac:dyDescent="0.2">
      <c r="A128" s="816"/>
      <c r="B128" s="817"/>
      <c r="C128" s="817"/>
      <c r="D128" s="418"/>
      <c r="E128" s="418"/>
      <c r="F128" s="418"/>
      <c r="G128" s="418"/>
      <c r="H128" s="418"/>
      <c r="I128" s="418"/>
      <c r="J128" s="418"/>
      <c r="K128" s="418"/>
      <c r="L128" s="418"/>
      <c r="M128" s="418"/>
      <c r="N128" s="418"/>
      <c r="O128" s="418"/>
      <c r="P128" s="418"/>
      <c r="Q128" s="418"/>
      <c r="R128" s="418"/>
    </row>
    <row r="129" spans="1:18" ht="30" customHeight="1" x14ac:dyDescent="0.2">
      <c r="A129" s="816"/>
      <c r="B129" s="817"/>
      <c r="C129" s="817"/>
      <c r="D129" s="418"/>
      <c r="E129" s="418"/>
      <c r="F129" s="418"/>
      <c r="G129" s="418"/>
      <c r="H129" s="418"/>
      <c r="I129" s="418"/>
      <c r="J129" s="418"/>
      <c r="K129" s="418"/>
      <c r="L129" s="418"/>
      <c r="M129" s="418"/>
      <c r="N129" s="418"/>
      <c r="O129" s="418"/>
      <c r="P129" s="418"/>
      <c r="Q129" s="418"/>
      <c r="R129" s="418"/>
    </row>
    <row r="130" spans="1:18" ht="30" customHeight="1" x14ac:dyDescent="0.2">
      <c r="A130" s="816"/>
      <c r="B130" s="817"/>
      <c r="C130" s="817"/>
      <c r="D130" s="418"/>
      <c r="E130" s="418"/>
      <c r="F130" s="418"/>
      <c r="G130" s="418"/>
      <c r="H130" s="418"/>
      <c r="I130" s="418"/>
      <c r="J130" s="418"/>
      <c r="K130" s="418"/>
      <c r="L130" s="418"/>
      <c r="M130" s="418"/>
      <c r="N130" s="418"/>
      <c r="O130" s="418"/>
      <c r="P130" s="418"/>
      <c r="Q130" s="418"/>
      <c r="R130" s="418"/>
    </row>
    <row r="131" spans="1:18" ht="30" customHeight="1" x14ac:dyDescent="0.2">
      <c r="A131" s="816"/>
      <c r="B131" s="817"/>
      <c r="C131" s="817"/>
      <c r="D131" s="418"/>
      <c r="E131" s="418"/>
      <c r="F131" s="418"/>
      <c r="G131" s="418"/>
      <c r="H131" s="418"/>
      <c r="I131" s="418"/>
      <c r="J131" s="418"/>
      <c r="K131" s="418"/>
      <c r="L131" s="418"/>
      <c r="M131" s="418"/>
      <c r="N131" s="418"/>
      <c r="O131" s="418"/>
      <c r="P131" s="418"/>
      <c r="Q131" s="418"/>
      <c r="R131" s="418"/>
    </row>
    <row r="132" spans="1:18" ht="30" customHeight="1" x14ac:dyDescent="0.2">
      <c r="A132" s="816"/>
      <c r="B132" s="817"/>
      <c r="C132" s="817"/>
      <c r="D132" s="418"/>
      <c r="E132" s="418"/>
      <c r="F132" s="418"/>
      <c r="G132" s="418"/>
      <c r="H132" s="418"/>
      <c r="I132" s="418"/>
      <c r="J132" s="418"/>
      <c r="K132" s="418"/>
      <c r="L132" s="418"/>
      <c r="M132" s="418"/>
      <c r="N132" s="418"/>
      <c r="O132" s="418"/>
      <c r="P132" s="418"/>
      <c r="Q132" s="418"/>
      <c r="R132" s="418"/>
    </row>
    <row r="133" spans="1:18" ht="15" customHeight="1" x14ac:dyDescent="0.2">
      <c r="A133" s="816"/>
      <c r="B133" s="817"/>
      <c r="C133" s="817"/>
      <c r="D133" s="418"/>
      <c r="E133" s="418"/>
      <c r="F133" s="418"/>
      <c r="G133" s="418"/>
      <c r="H133" s="418"/>
      <c r="I133" s="418"/>
      <c r="J133" s="418"/>
      <c r="K133" s="418"/>
      <c r="L133" s="418"/>
      <c r="M133" s="418"/>
      <c r="N133" s="418"/>
      <c r="O133" s="418"/>
      <c r="P133" s="418"/>
      <c r="Q133" s="418"/>
      <c r="R133" s="418"/>
    </row>
    <row r="134" spans="1:18" ht="45" customHeight="1" x14ac:dyDescent="0.2">
      <c r="A134" s="816"/>
      <c r="B134" s="817"/>
      <c r="C134" s="817"/>
      <c r="D134" s="418"/>
      <c r="E134" s="418"/>
      <c r="F134" s="418"/>
      <c r="G134" s="418"/>
      <c r="H134" s="418"/>
      <c r="I134" s="418"/>
      <c r="J134" s="418"/>
      <c r="K134" s="418"/>
      <c r="L134" s="418"/>
      <c r="M134" s="418"/>
      <c r="N134" s="418"/>
      <c r="O134" s="418"/>
      <c r="P134" s="418"/>
      <c r="Q134" s="418"/>
      <c r="R134" s="418"/>
    </row>
    <row r="135" spans="1:18" ht="30" customHeight="1" x14ac:dyDescent="0.2">
      <c r="A135" s="816"/>
      <c r="B135" s="817"/>
      <c r="C135" s="817"/>
      <c r="D135" s="418"/>
      <c r="E135" s="418"/>
      <c r="F135" s="418"/>
      <c r="G135" s="418"/>
      <c r="H135" s="418"/>
      <c r="I135" s="418"/>
      <c r="J135" s="418"/>
      <c r="K135" s="418"/>
      <c r="L135" s="418"/>
      <c r="M135" s="418"/>
      <c r="N135" s="418"/>
      <c r="O135" s="418"/>
      <c r="P135" s="418"/>
      <c r="Q135" s="418"/>
      <c r="R135" s="418"/>
    </row>
    <row r="136" spans="1:18" ht="30" customHeight="1" x14ac:dyDescent="0.2">
      <c r="A136" s="816"/>
      <c r="B136" s="817"/>
      <c r="C136" s="817"/>
      <c r="D136" s="418"/>
      <c r="E136" s="418"/>
      <c r="F136" s="418"/>
      <c r="G136" s="418"/>
      <c r="H136" s="418"/>
      <c r="I136" s="418"/>
      <c r="J136" s="418"/>
      <c r="K136" s="418"/>
      <c r="L136" s="418"/>
      <c r="M136" s="418"/>
      <c r="N136" s="418"/>
      <c r="O136" s="418"/>
      <c r="P136" s="418"/>
      <c r="Q136" s="418"/>
      <c r="R136" s="418"/>
    </row>
    <row r="137" spans="1:18" ht="30" customHeight="1" x14ac:dyDescent="0.2">
      <c r="A137" s="816"/>
      <c r="B137" s="817"/>
      <c r="C137" s="817"/>
      <c r="D137" s="418"/>
      <c r="E137" s="418"/>
      <c r="F137" s="418"/>
      <c r="G137" s="418"/>
      <c r="H137" s="418"/>
      <c r="I137" s="418"/>
      <c r="J137" s="418"/>
      <c r="K137" s="418"/>
      <c r="L137" s="418"/>
      <c r="M137" s="418"/>
      <c r="N137" s="418"/>
      <c r="O137" s="418"/>
      <c r="P137" s="418"/>
      <c r="Q137" s="418"/>
      <c r="R137" s="418"/>
    </row>
    <row r="138" spans="1:18" ht="30" customHeight="1" x14ac:dyDescent="0.2">
      <c r="A138" s="816"/>
      <c r="B138" s="817"/>
      <c r="C138" s="817"/>
      <c r="D138" s="418"/>
      <c r="E138" s="418"/>
      <c r="F138" s="418"/>
      <c r="G138" s="418"/>
      <c r="H138" s="418"/>
      <c r="I138" s="418"/>
      <c r="J138" s="418"/>
      <c r="K138" s="418"/>
      <c r="L138" s="418"/>
      <c r="M138" s="418"/>
      <c r="N138" s="418"/>
      <c r="O138" s="418"/>
      <c r="P138" s="418"/>
      <c r="Q138" s="418"/>
      <c r="R138" s="418"/>
    </row>
    <row r="139" spans="1:18" ht="30" customHeight="1" x14ac:dyDescent="0.2">
      <c r="A139" s="816"/>
      <c r="B139" s="817"/>
      <c r="C139" s="817"/>
      <c r="D139" s="418"/>
      <c r="E139" s="418"/>
      <c r="F139" s="418"/>
      <c r="G139" s="418"/>
      <c r="H139" s="418"/>
      <c r="I139" s="418"/>
      <c r="J139" s="418"/>
      <c r="K139" s="418"/>
      <c r="L139" s="418"/>
      <c r="M139" s="418"/>
      <c r="N139" s="418"/>
      <c r="O139" s="418"/>
      <c r="P139" s="418"/>
      <c r="Q139" s="418"/>
      <c r="R139" s="418"/>
    </row>
    <row r="140" spans="1:18" ht="30" customHeight="1" x14ac:dyDescent="0.2">
      <c r="A140" s="816"/>
      <c r="B140" s="817"/>
      <c r="C140" s="817"/>
      <c r="D140" s="418"/>
      <c r="E140" s="418"/>
      <c r="F140" s="418"/>
      <c r="G140" s="418"/>
      <c r="H140" s="418"/>
      <c r="I140" s="418"/>
      <c r="J140" s="418"/>
      <c r="K140" s="418"/>
      <c r="L140" s="418"/>
      <c r="M140" s="418"/>
      <c r="N140" s="418"/>
      <c r="O140" s="418"/>
      <c r="P140" s="418"/>
      <c r="Q140" s="418"/>
      <c r="R140" s="418"/>
    </row>
    <row r="141" spans="1:18" ht="15" customHeight="1" x14ac:dyDescent="0.2">
      <c r="A141" s="816"/>
      <c r="B141" s="817"/>
      <c r="C141" s="817"/>
      <c r="D141" s="418"/>
      <c r="E141" s="418"/>
      <c r="F141" s="418"/>
      <c r="G141" s="418"/>
      <c r="H141" s="418"/>
      <c r="I141" s="418"/>
      <c r="J141" s="418"/>
      <c r="K141" s="418"/>
      <c r="L141" s="418"/>
      <c r="M141" s="418"/>
      <c r="N141" s="418"/>
      <c r="O141" s="418"/>
      <c r="P141" s="418"/>
      <c r="Q141" s="418"/>
      <c r="R141" s="418"/>
    </row>
    <row r="142" spans="1:18" ht="20.100000000000001" customHeight="1" x14ac:dyDescent="0.2">
      <c r="A142" s="816"/>
      <c r="B142" s="817"/>
      <c r="C142" s="817"/>
      <c r="D142" s="418"/>
      <c r="E142" s="418"/>
      <c r="F142" s="418"/>
      <c r="G142" s="418"/>
      <c r="H142" s="418"/>
      <c r="I142" s="418"/>
      <c r="J142" s="418"/>
      <c r="K142" s="418"/>
      <c r="L142" s="418"/>
      <c r="M142" s="418"/>
      <c r="N142" s="418"/>
      <c r="O142" s="418"/>
      <c r="P142" s="418"/>
      <c r="Q142" s="418"/>
      <c r="R142" s="418"/>
    </row>
    <row r="143" spans="1:18" ht="107.1" customHeight="1" x14ac:dyDescent="0.2">
      <c r="A143" s="816"/>
      <c r="B143" s="817"/>
      <c r="C143" s="817"/>
      <c r="D143" s="418"/>
      <c r="E143" s="418"/>
      <c r="F143" s="418"/>
      <c r="G143" s="418"/>
      <c r="H143" s="418"/>
      <c r="I143" s="418"/>
      <c r="J143" s="418"/>
      <c r="K143" s="418"/>
      <c r="L143" s="418"/>
      <c r="M143" s="418"/>
      <c r="N143" s="418"/>
      <c r="O143" s="418"/>
      <c r="P143" s="418"/>
      <c r="Q143" s="418"/>
      <c r="R143" s="418"/>
    </row>
    <row r="144" spans="1:18" ht="15.75" x14ac:dyDescent="0.2">
      <c r="A144" s="816"/>
      <c r="B144" s="817"/>
      <c r="C144" s="817"/>
      <c r="D144" s="418"/>
      <c r="E144" s="418"/>
      <c r="F144" s="418"/>
      <c r="G144" s="418"/>
      <c r="H144" s="418"/>
      <c r="I144" s="418"/>
      <c r="J144" s="418"/>
      <c r="K144" s="418"/>
      <c r="L144" s="418"/>
      <c r="M144" s="418"/>
      <c r="N144" s="418"/>
      <c r="O144" s="418"/>
      <c r="P144" s="418"/>
      <c r="Q144" s="418"/>
      <c r="R144" s="418"/>
    </row>
    <row r="145" spans="1:18" ht="20.100000000000001" customHeight="1" x14ac:dyDescent="0.2">
      <c r="A145" s="816"/>
      <c r="B145" s="817"/>
      <c r="C145" s="817"/>
      <c r="D145" s="418"/>
      <c r="E145" s="418"/>
      <c r="F145" s="418"/>
      <c r="G145" s="418"/>
      <c r="H145" s="418"/>
      <c r="I145" s="418"/>
      <c r="J145" s="418"/>
      <c r="K145" s="418"/>
      <c r="L145" s="418"/>
      <c r="M145" s="418"/>
      <c r="N145" s="418"/>
      <c r="O145" s="418"/>
      <c r="P145" s="418"/>
      <c r="Q145" s="418"/>
      <c r="R145" s="418"/>
    </row>
    <row r="146" spans="1:18" ht="107.1" customHeight="1" x14ac:dyDescent="0.2">
      <c r="A146" s="816"/>
      <c r="B146" s="817"/>
      <c r="C146" s="817"/>
      <c r="D146" s="418"/>
      <c r="E146" s="418"/>
      <c r="F146" s="418"/>
      <c r="G146" s="418"/>
      <c r="H146" s="418"/>
      <c r="I146" s="418"/>
      <c r="J146" s="418"/>
      <c r="K146" s="418"/>
      <c r="L146" s="418"/>
      <c r="M146" s="418"/>
      <c r="N146" s="418"/>
      <c r="O146" s="418"/>
      <c r="P146" s="418"/>
      <c r="Q146" s="418"/>
      <c r="R146" s="418"/>
    </row>
    <row r="147" spans="1:18" ht="15.75" x14ac:dyDescent="0.2">
      <c r="D147" s="418"/>
      <c r="E147" s="418"/>
      <c r="F147" s="418"/>
      <c r="G147" s="418"/>
      <c r="H147" s="418"/>
      <c r="I147" s="418"/>
      <c r="J147" s="418"/>
      <c r="K147" s="418"/>
      <c r="L147" s="418"/>
      <c r="M147" s="418"/>
      <c r="N147" s="418"/>
      <c r="O147" s="418"/>
      <c r="P147" s="418"/>
      <c r="Q147" s="418"/>
      <c r="R147" s="418"/>
    </row>
    <row r="148" spans="1:18" ht="15.75" x14ac:dyDescent="0.2">
      <c r="D148" s="418"/>
      <c r="E148" s="418"/>
      <c r="F148" s="418"/>
      <c r="G148" s="418"/>
      <c r="H148" s="418"/>
      <c r="I148" s="418"/>
      <c r="J148" s="418"/>
      <c r="K148" s="418"/>
      <c r="L148" s="418"/>
      <c r="M148" s="418"/>
      <c r="N148" s="418"/>
      <c r="O148" s="418"/>
      <c r="P148" s="418"/>
      <c r="Q148" s="418"/>
      <c r="R148" s="418"/>
    </row>
    <row r="149" spans="1:18" ht="15.75" x14ac:dyDescent="0.2">
      <c r="D149" s="418"/>
      <c r="E149" s="418"/>
      <c r="F149" s="418"/>
      <c r="G149" s="418"/>
      <c r="H149" s="418"/>
      <c r="I149" s="418"/>
      <c r="J149" s="418"/>
      <c r="K149" s="418"/>
      <c r="L149" s="418"/>
      <c r="M149" s="418"/>
      <c r="N149" s="418"/>
      <c r="O149" s="418"/>
      <c r="P149" s="418"/>
      <c r="Q149" s="418"/>
      <c r="R149" s="418"/>
    </row>
    <row r="150" spans="1:18" ht="15.75" x14ac:dyDescent="0.2">
      <c r="D150" s="418"/>
      <c r="E150" s="418"/>
      <c r="F150" s="418"/>
      <c r="G150" s="418"/>
      <c r="H150" s="418"/>
      <c r="I150" s="418"/>
      <c r="J150" s="418"/>
      <c r="K150" s="418"/>
      <c r="L150" s="418"/>
      <c r="M150" s="418"/>
      <c r="N150" s="418"/>
      <c r="O150" s="418"/>
      <c r="P150" s="418"/>
      <c r="Q150" s="418"/>
      <c r="R150" s="418"/>
    </row>
    <row r="151" spans="1:18" ht="15.75" x14ac:dyDescent="0.2">
      <c r="D151" s="418"/>
      <c r="E151" s="418"/>
      <c r="F151" s="418"/>
      <c r="G151" s="418"/>
      <c r="H151" s="418"/>
      <c r="I151" s="418"/>
      <c r="J151" s="418"/>
      <c r="K151" s="418"/>
      <c r="L151" s="418"/>
      <c r="M151" s="418"/>
      <c r="N151" s="418"/>
      <c r="O151" s="418"/>
      <c r="P151" s="418"/>
      <c r="Q151" s="418"/>
      <c r="R151" s="418"/>
    </row>
    <row r="152" spans="1:18" ht="15.75" x14ac:dyDescent="0.2">
      <c r="D152" s="418"/>
      <c r="E152" s="418"/>
      <c r="F152" s="418"/>
      <c r="G152" s="418"/>
      <c r="H152" s="418"/>
      <c r="I152" s="418"/>
      <c r="J152" s="418"/>
      <c r="K152" s="418"/>
      <c r="L152" s="418"/>
      <c r="M152" s="418"/>
      <c r="N152" s="418"/>
      <c r="O152" s="418"/>
      <c r="P152" s="418"/>
      <c r="Q152" s="418"/>
      <c r="R152" s="418"/>
    </row>
    <row r="153" spans="1:18" ht="15.75" x14ac:dyDescent="0.2">
      <c r="D153" s="418"/>
      <c r="E153" s="418"/>
      <c r="F153" s="418"/>
      <c r="G153" s="418"/>
      <c r="H153" s="418"/>
      <c r="I153" s="418"/>
      <c r="J153" s="418"/>
      <c r="K153" s="418"/>
      <c r="L153" s="418"/>
      <c r="M153" s="418"/>
      <c r="N153" s="418"/>
      <c r="O153" s="418"/>
      <c r="P153" s="418"/>
      <c r="Q153" s="418"/>
      <c r="R153" s="418"/>
    </row>
    <row r="154" spans="1:18" ht="15.75" x14ac:dyDescent="0.2">
      <c r="D154" s="418"/>
      <c r="E154" s="418"/>
      <c r="F154" s="418"/>
      <c r="G154" s="418"/>
      <c r="H154" s="418"/>
      <c r="I154" s="418"/>
      <c r="J154" s="418"/>
      <c r="K154" s="418"/>
      <c r="L154" s="418"/>
      <c r="M154" s="418"/>
      <c r="N154" s="418"/>
      <c r="O154" s="418"/>
      <c r="P154" s="418"/>
      <c r="Q154" s="418"/>
      <c r="R154" s="418"/>
    </row>
    <row r="155" spans="1:18" ht="15.75" x14ac:dyDescent="0.2">
      <c r="D155" s="418"/>
      <c r="E155" s="418"/>
      <c r="F155" s="418"/>
      <c r="G155" s="418"/>
      <c r="H155" s="418"/>
      <c r="I155" s="418"/>
      <c r="J155" s="418"/>
      <c r="K155" s="418"/>
      <c r="L155" s="418"/>
      <c r="M155" s="418"/>
      <c r="N155" s="418"/>
      <c r="O155" s="418"/>
      <c r="P155" s="418"/>
      <c r="Q155" s="418"/>
      <c r="R155" s="418"/>
    </row>
    <row r="156" spans="1:18" ht="15.75" x14ac:dyDescent="0.2">
      <c r="D156" s="418"/>
      <c r="E156" s="418"/>
      <c r="F156" s="418"/>
      <c r="G156" s="418"/>
      <c r="H156" s="418"/>
      <c r="I156" s="418"/>
      <c r="J156" s="418"/>
      <c r="K156" s="418"/>
      <c r="L156" s="418"/>
      <c r="M156" s="418"/>
      <c r="N156" s="418"/>
      <c r="O156" s="418"/>
      <c r="P156" s="418"/>
      <c r="Q156" s="418"/>
      <c r="R156" s="418"/>
    </row>
  </sheetData>
  <sheetProtection password="CF5C" sheet="1" objects="1" scenarios="1"/>
  <mergeCells count="5">
    <mergeCell ref="A1:C3"/>
    <mergeCell ref="D1:X3"/>
    <mergeCell ref="A4:R4"/>
    <mergeCell ref="O6:Q6"/>
    <mergeCell ref="R6:T6"/>
  </mergeCells>
  <printOptions horizontalCentered="1"/>
  <pageMargins left="0.70866141732283472" right="0.70866141732283472" top="0.74803149606299213" bottom="0.74803149606299213" header="0.31496062992125984" footer="0.31496062992125984"/>
  <pageSetup scale="13" orientation="portrait" r:id="rId1"/>
  <headerFooter>
    <oddHeader xml:space="preserve">&amp;C
&amp;16   
</oddHeader>
    <oddFooter xml:space="preserve">&amp;RRT03-F13 Vr.14 (2021-05-21)
</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FF00"/>
  </sheetPr>
  <dimension ref="A1:XEZ105"/>
  <sheetViews>
    <sheetView showGridLines="0" view="pageBreakPreview" zoomScale="90" zoomScaleNormal="100" zoomScaleSheetLayoutView="90" workbookViewId="0">
      <selection activeCell="D14" sqref="D14:J14"/>
    </sheetView>
  </sheetViews>
  <sheetFormatPr baseColWidth="10" defaultColWidth="11.42578125" defaultRowHeight="15" x14ac:dyDescent="0.2"/>
  <cols>
    <col min="1" max="1" width="5" style="1173" customWidth="1"/>
    <col min="2" max="2" width="12.28515625" style="1173" customWidth="1"/>
    <col min="3" max="3" width="11.7109375" style="1173" customWidth="1"/>
    <col min="4" max="4" width="11.140625" style="1173" customWidth="1"/>
    <col min="5" max="5" width="16" style="1173" customWidth="1"/>
    <col min="6" max="6" width="12.28515625" style="1173" customWidth="1"/>
    <col min="7" max="12" width="8.7109375" style="1173" customWidth="1"/>
    <col min="13" max="13" width="8.85546875" style="1173" customWidth="1"/>
    <col min="14" max="16384" width="11.42578125" style="1173"/>
  </cols>
  <sheetData>
    <row r="1" spans="1:13" ht="125.1" customHeight="1" x14ac:dyDescent="0.2">
      <c r="A1" s="1458"/>
      <c r="B1" s="1458"/>
      <c r="C1" s="1458"/>
      <c r="D1" s="1458"/>
      <c r="E1" s="1458"/>
      <c r="F1" s="1458"/>
      <c r="G1" s="1458"/>
      <c r="H1" s="1458"/>
      <c r="I1" s="1458"/>
      <c r="J1" s="1458"/>
      <c r="K1" s="1458"/>
      <c r="L1" s="1458"/>
      <c r="M1" s="1458"/>
    </row>
    <row r="2" spans="1:13" ht="35.1" customHeight="1" x14ac:dyDescent="0.2">
      <c r="A2" s="1174"/>
      <c r="B2" s="1174"/>
      <c r="C2" s="1174"/>
      <c r="D2" s="1174"/>
      <c r="E2" s="1174"/>
      <c r="F2" s="1174"/>
    </row>
    <row r="3" spans="1:13" ht="35.1" customHeight="1" x14ac:dyDescent="0.2">
      <c r="A3" s="1174"/>
      <c r="B3" s="1174"/>
      <c r="C3" s="1174"/>
      <c r="D3" s="1174"/>
      <c r="E3" s="1174"/>
      <c r="F3" s="1174"/>
      <c r="J3" s="1446" t="s">
        <v>24</v>
      </c>
      <c r="K3" s="1446"/>
      <c r="L3" s="1447">
        <f>'DATOS %'!J8</f>
        <v>0</v>
      </c>
      <c r="M3" s="1447"/>
    </row>
    <row r="4" spans="1:13" ht="27.95" customHeight="1" x14ac:dyDescent="0.25">
      <c r="A4" s="1463" t="s">
        <v>6</v>
      </c>
      <c r="B4" s="1463"/>
      <c r="C4" s="1463"/>
      <c r="D4" s="1175"/>
      <c r="E4" s="1175"/>
      <c r="G4" s="1464"/>
      <c r="H4" s="1464"/>
    </row>
    <row r="5" spans="1:13" ht="20.100000000000001" customHeight="1" x14ac:dyDescent="0.2">
      <c r="A5" s="1176"/>
      <c r="B5" s="1175"/>
      <c r="C5" s="1175"/>
      <c r="D5" s="1175"/>
      <c r="E5" s="1175"/>
      <c r="F5" s="1175"/>
    </row>
    <row r="6" spans="1:13" ht="27.95" customHeight="1" x14ac:dyDescent="0.2">
      <c r="A6" s="1455" t="s">
        <v>286</v>
      </c>
      <c r="B6" s="1455"/>
      <c r="D6" s="1460">
        <f>('DATOS %'!E8)</f>
        <v>0</v>
      </c>
      <c r="E6" s="1460"/>
      <c r="F6" s="1460"/>
      <c r="G6" s="1460"/>
      <c r="H6" s="1460"/>
      <c r="I6" s="1460"/>
      <c r="J6" s="1460"/>
    </row>
    <row r="7" spans="1:13" ht="27.95" customHeight="1" x14ac:dyDescent="0.2">
      <c r="A7" s="1455" t="s">
        <v>287</v>
      </c>
      <c r="B7" s="1455"/>
      <c r="C7" s="1177"/>
      <c r="D7" s="1460">
        <f>'DATOS %'!F8</f>
        <v>0</v>
      </c>
      <c r="E7" s="1460"/>
      <c r="F7" s="1460"/>
      <c r="G7" s="1460"/>
      <c r="H7" s="1460"/>
      <c r="I7" s="1460"/>
      <c r="J7" s="1460"/>
    </row>
    <row r="8" spans="1:13" ht="27.95" customHeight="1" x14ac:dyDescent="0.2">
      <c r="A8" s="1455" t="s">
        <v>288</v>
      </c>
      <c r="B8" s="1455"/>
      <c r="D8" s="1460" t="str">
        <f>PROPER('DATOS %'!C8)</f>
        <v/>
      </c>
      <c r="E8" s="1460"/>
      <c r="F8" s="1460"/>
      <c r="G8" s="1460"/>
    </row>
    <row r="9" spans="1:13" ht="24.95" customHeight="1" x14ac:dyDescent="0.2">
      <c r="A9" s="1178"/>
      <c r="B9" s="1178"/>
      <c r="D9" s="1178"/>
      <c r="E9" s="1178"/>
      <c r="F9" s="1175"/>
    </row>
    <row r="10" spans="1:13" ht="27.95" customHeight="1" x14ac:dyDescent="0.2">
      <c r="A10" s="1455" t="s">
        <v>289</v>
      </c>
      <c r="B10" s="1455"/>
      <c r="C10" s="1455"/>
      <c r="D10" s="1462">
        <f>'DATOS %'!D8</f>
        <v>0</v>
      </c>
      <c r="E10" s="1462"/>
      <c r="F10" s="1466" t="s">
        <v>290</v>
      </c>
      <c r="G10" s="1466"/>
      <c r="H10" s="1466"/>
      <c r="I10" s="1462" t="e">
        <f>'500 mg % '!E4</f>
        <v>#N/A</v>
      </c>
      <c r="J10" s="1462"/>
    </row>
    <row r="11" spans="1:13" ht="24.95" customHeight="1" x14ac:dyDescent="0.2">
      <c r="A11" s="1175"/>
      <c r="B11" s="1175"/>
      <c r="C11" s="1175"/>
      <c r="D11" s="1175"/>
      <c r="E11" s="1175"/>
      <c r="F11" s="1175"/>
    </row>
    <row r="12" spans="1:13" ht="27.95" customHeight="1" x14ac:dyDescent="0.2">
      <c r="A12" s="1467" t="s">
        <v>245</v>
      </c>
      <c r="B12" s="1467"/>
      <c r="C12" s="1467"/>
      <c r="D12" s="1467"/>
      <c r="E12" s="1467"/>
      <c r="F12" s="1467"/>
      <c r="G12" s="1467"/>
      <c r="H12" s="1467"/>
      <c r="I12" s="1467"/>
      <c r="J12" s="1467"/>
    </row>
    <row r="13" spans="1:13" ht="20.100000000000001" customHeight="1" x14ac:dyDescent="0.2">
      <c r="A13" s="1139"/>
      <c r="B13" s="1139"/>
      <c r="C13" s="1139"/>
      <c r="D13" s="1139"/>
      <c r="E13" s="1139"/>
      <c r="F13" s="1175"/>
    </row>
    <row r="14" spans="1:13" ht="27.95" customHeight="1" x14ac:dyDescent="0.2">
      <c r="A14" s="1455" t="s">
        <v>291</v>
      </c>
      <c r="B14" s="1455"/>
      <c r="C14" s="1455"/>
      <c r="D14" s="1454" t="s">
        <v>538</v>
      </c>
      <c r="E14" s="1454"/>
      <c r="F14" s="1454"/>
      <c r="G14" s="1454"/>
      <c r="H14" s="1454"/>
      <c r="I14" s="1454"/>
      <c r="J14" s="1454"/>
    </row>
    <row r="15" spans="1:13" ht="27.95" customHeight="1" x14ac:dyDescent="0.2">
      <c r="A15" s="1455" t="s">
        <v>292</v>
      </c>
      <c r="B15" s="1455"/>
      <c r="C15" s="1455"/>
      <c r="D15" s="1456" t="str">
        <f>PROPER('DATOS %'!D48)</f>
        <v/>
      </c>
      <c r="E15" s="1457"/>
      <c r="F15" s="1457"/>
      <c r="G15" s="1457"/>
      <c r="H15" s="1176"/>
      <c r="I15" s="1176"/>
      <c r="J15" s="1176"/>
    </row>
    <row r="16" spans="1:13" ht="27.95" customHeight="1" x14ac:dyDescent="0.2">
      <c r="A16" s="1455" t="s">
        <v>293</v>
      </c>
      <c r="B16" s="1455"/>
      <c r="C16" s="1455"/>
      <c r="D16" s="1465">
        <f>'DATOS %'!E48</f>
        <v>0</v>
      </c>
      <c r="E16" s="1465"/>
      <c r="F16" s="1465"/>
      <c r="G16" s="1465"/>
      <c r="H16" s="1176"/>
      <c r="I16" s="1176"/>
      <c r="J16" s="1176"/>
    </row>
    <row r="17" spans="1:13" ht="27.95" customHeight="1" x14ac:dyDescent="0.2">
      <c r="A17" s="1455" t="s">
        <v>11</v>
      </c>
      <c r="B17" s="1455"/>
      <c r="C17" s="1455"/>
      <c r="D17" s="1461">
        <f>'DATOS %'!C48</f>
        <v>0</v>
      </c>
      <c r="E17" s="1461"/>
      <c r="F17" s="1462"/>
      <c r="G17" s="1462"/>
    </row>
    <row r="18" spans="1:13" ht="24.95" customHeight="1" x14ac:dyDescent="0.2">
      <c r="A18" s="1178"/>
      <c r="B18" s="1178"/>
      <c r="C18" s="1178"/>
      <c r="D18" s="1179"/>
      <c r="E18" s="1176"/>
      <c r="F18" s="1176"/>
      <c r="G18" s="1176"/>
    </row>
    <row r="19" spans="1:13" ht="27.95" customHeight="1" x14ac:dyDescent="0.2">
      <c r="A19" s="1455" t="s">
        <v>12</v>
      </c>
      <c r="B19" s="1455"/>
      <c r="C19" s="1455"/>
      <c r="D19" s="1455"/>
      <c r="E19" s="1455"/>
      <c r="F19" s="1455">
        <f>'DATOS %'!C80</f>
        <v>0</v>
      </c>
      <c r="G19" s="1455"/>
      <c r="H19" s="1455"/>
      <c r="I19" s="1455"/>
      <c r="J19" s="1455"/>
    </row>
    <row r="20" spans="1:13" ht="24.95" customHeight="1" x14ac:dyDescent="0.2">
      <c r="A20" s="1178"/>
      <c r="B20" s="1178"/>
      <c r="C20" s="1178"/>
      <c r="D20" s="1178"/>
      <c r="E20" s="1178"/>
      <c r="F20" s="1178"/>
      <c r="G20" s="1175"/>
    </row>
    <row r="21" spans="1:13" ht="27.95" customHeight="1" x14ac:dyDescent="0.2">
      <c r="A21" s="1463" t="s">
        <v>205</v>
      </c>
      <c r="B21" s="1463"/>
      <c r="C21" s="1463"/>
      <c r="D21" s="1463"/>
      <c r="E21" s="1463"/>
      <c r="F21" s="1463"/>
    </row>
    <row r="22" spans="1:13" ht="27.95" customHeight="1" x14ac:dyDescent="0.2">
      <c r="A22" s="1459" t="str">
        <f>'DATOS %'!G8</f>
        <v>Laboratorio de calibración de masa y volumen, avenida carrera  50 # 26-55 Int 2,  piso 5.</v>
      </c>
      <c r="B22" s="1459"/>
      <c r="C22" s="1459"/>
      <c r="D22" s="1459"/>
      <c r="E22" s="1459"/>
      <c r="F22" s="1459"/>
      <c r="G22" s="1459"/>
      <c r="H22" s="1459"/>
      <c r="I22" s="1459"/>
      <c r="J22" s="1459"/>
      <c r="K22" s="1459"/>
      <c r="L22" s="1459"/>
      <c r="M22" s="1459"/>
    </row>
    <row r="23" spans="1:13" ht="24.95" customHeight="1" x14ac:dyDescent="0.2">
      <c r="B23" s="1463"/>
      <c r="C23" s="1463"/>
      <c r="D23" s="1463"/>
      <c r="E23" s="1463"/>
      <c r="F23" s="1139"/>
      <c r="G23" s="1176"/>
    </row>
    <row r="24" spans="1:13" ht="27.95" customHeight="1" x14ac:dyDescent="0.2">
      <c r="A24" s="1463" t="s">
        <v>206</v>
      </c>
      <c r="B24" s="1463"/>
      <c r="C24" s="1463"/>
      <c r="D24" s="1463"/>
      <c r="E24" s="1445">
        <f>'DATOS %'!I8</f>
        <v>0</v>
      </c>
      <c r="F24" s="1445"/>
      <c r="G24" s="1180"/>
      <c r="H24" s="1180"/>
    </row>
    <row r="25" spans="1:13" ht="24.95" customHeight="1" x14ac:dyDescent="0.25">
      <c r="A25" s="1176"/>
      <c r="B25" s="1176"/>
      <c r="C25" s="1176"/>
      <c r="D25" s="1176"/>
      <c r="E25" s="1176"/>
      <c r="F25" s="1176"/>
      <c r="G25" s="1140"/>
      <c r="H25" s="1140"/>
      <c r="I25" s="1175"/>
      <c r="J25" s="1175"/>
    </row>
    <row r="26" spans="1:13" ht="27.95" customHeight="1" x14ac:dyDescent="0.2">
      <c r="A26" s="1413" t="s">
        <v>248</v>
      </c>
      <c r="B26" s="1413"/>
      <c r="C26" s="1413"/>
      <c r="D26" s="1413"/>
      <c r="E26" s="1413"/>
      <c r="F26" s="1413"/>
      <c r="G26" s="1413"/>
      <c r="H26" s="1413"/>
      <c r="I26" s="1413"/>
      <c r="J26" s="1413"/>
    </row>
    <row r="27" spans="1:13" ht="18.75" customHeight="1" x14ac:dyDescent="0.2">
      <c r="A27" s="1134"/>
      <c r="B27" s="1134"/>
      <c r="C27" s="1134"/>
      <c r="D27" s="1134"/>
      <c r="G27" s="1175"/>
    </row>
    <row r="28" spans="1:13" s="1190" customFormat="1" ht="33" customHeight="1" x14ac:dyDescent="0.25">
      <c r="A28" s="1452" t="s">
        <v>455</v>
      </c>
      <c r="B28" s="1452"/>
      <c r="C28" s="1452"/>
      <c r="D28" s="1452"/>
      <c r="E28" s="1452"/>
      <c r="F28" s="1452"/>
      <c r="G28" s="1452"/>
      <c r="H28" s="1452"/>
      <c r="I28" s="1452"/>
      <c r="J28" s="1452"/>
      <c r="K28" s="1452"/>
      <c r="L28" s="1452"/>
      <c r="M28" s="1452"/>
    </row>
    <row r="29" spans="1:13" ht="20.100000000000001" customHeight="1" x14ac:dyDescent="0.25">
      <c r="G29" s="1140"/>
      <c r="H29" s="1140"/>
      <c r="I29" s="1181"/>
      <c r="J29" s="1181"/>
    </row>
    <row r="30" spans="1:13" ht="125.1" customHeight="1" x14ac:dyDescent="0.25">
      <c r="G30" s="1140"/>
      <c r="H30" s="1140"/>
      <c r="I30" s="1181"/>
      <c r="J30" s="1181"/>
    </row>
    <row r="31" spans="1:13" ht="35.1" customHeight="1" x14ac:dyDescent="0.25">
      <c r="G31" s="1140"/>
      <c r="H31" s="1140"/>
      <c r="I31" s="1181"/>
      <c r="J31" s="1181"/>
    </row>
    <row r="32" spans="1:13" ht="35.1" customHeight="1" x14ac:dyDescent="0.2">
      <c r="J32" s="1446" t="s">
        <v>24</v>
      </c>
      <c r="K32" s="1446"/>
      <c r="L32" s="1447">
        <f>L3</f>
        <v>0</v>
      </c>
      <c r="M32" s="1447"/>
    </row>
    <row r="33" spans="1:13" ht="27.95" customHeight="1" x14ac:dyDescent="0.2">
      <c r="A33" s="1413" t="s">
        <v>268</v>
      </c>
      <c r="B33" s="1413"/>
      <c r="C33" s="1413"/>
      <c r="D33" s="1413"/>
      <c r="E33" s="1413"/>
      <c r="F33" s="1413"/>
      <c r="G33" s="1413"/>
      <c r="H33" s="1413"/>
      <c r="I33" s="1413"/>
      <c r="J33" s="1413"/>
    </row>
    <row r="34" spans="1:13" ht="15" customHeight="1" thickBot="1" x14ac:dyDescent="0.25">
      <c r="A34" s="1182"/>
      <c r="B34" s="1182"/>
      <c r="C34" s="1182"/>
      <c r="D34" s="1182"/>
      <c r="E34" s="1182"/>
      <c r="F34" s="1182"/>
      <c r="G34" s="1182"/>
      <c r="K34" s="388"/>
    </row>
    <row r="35" spans="1:13" ht="45" customHeight="1" thickBot="1" x14ac:dyDescent="0.25">
      <c r="B35" s="1419" t="s">
        <v>256</v>
      </c>
      <c r="C35" s="1420"/>
      <c r="D35" s="1419" t="s">
        <v>218</v>
      </c>
      <c r="E35" s="1420"/>
      <c r="F35" s="1419" t="s">
        <v>219</v>
      </c>
      <c r="G35" s="1420"/>
      <c r="H35" s="1423" t="s">
        <v>220</v>
      </c>
      <c r="I35" s="1424"/>
      <c r="J35" s="1424"/>
      <c r="K35" s="1425"/>
    </row>
    <row r="36" spans="1:13" ht="45.95" customHeight="1" thickBot="1" x14ac:dyDescent="0.25">
      <c r="B36" s="1421"/>
      <c r="C36" s="1422"/>
      <c r="D36" s="1421"/>
      <c r="E36" s="1422"/>
      <c r="F36" s="1421"/>
      <c r="G36" s="1422"/>
      <c r="H36" s="1426" t="s">
        <v>221</v>
      </c>
      <c r="I36" s="1427"/>
      <c r="J36" s="1428" t="s">
        <v>325</v>
      </c>
      <c r="K36" s="1429"/>
    </row>
    <row r="37" spans="1:13" ht="50.1" customHeight="1" thickBot="1" x14ac:dyDescent="0.25">
      <c r="B37" s="1430" t="str">
        <f>D14</f>
        <v>Juego de pesas de 1 mg a 500 mg</v>
      </c>
      <c r="C37" s="1431"/>
      <c r="D37" s="1432" t="s">
        <v>539</v>
      </c>
      <c r="E37" s="1433"/>
      <c r="F37" s="1434" t="e">
        <f>VLOOKUP($K$34,'DATOS %'!B175:G185,1,FALSE)</f>
        <v>#N/A</v>
      </c>
      <c r="G37" s="1435"/>
      <c r="H37" s="1183" t="e">
        <f>VLOOKUP($K$34,'DATOS %'!B175:G186,3,FALSE)</f>
        <v>#N/A</v>
      </c>
      <c r="I37" s="1184" t="s">
        <v>213</v>
      </c>
      <c r="J37" s="1185" t="e">
        <f>VLOOKUP($K$34,'DATOS %'!B175:G185,5,FALSE)</f>
        <v>#N/A</v>
      </c>
      <c r="K37" s="1186" t="s">
        <v>128</v>
      </c>
    </row>
    <row r="38" spans="1:13" ht="39.950000000000003" hidden="1" customHeight="1" thickBot="1" x14ac:dyDescent="0.25">
      <c r="A38" s="1414"/>
      <c r="B38" s="1415"/>
      <c r="C38" s="1414"/>
      <c r="D38" s="1416"/>
      <c r="E38" s="1417"/>
      <c r="F38" s="1415"/>
      <c r="G38" s="1187"/>
      <c r="H38" s="1188"/>
      <c r="I38" s="1187"/>
      <c r="J38" s="1189"/>
    </row>
    <row r="39" spans="1:13" ht="35.1" customHeight="1" x14ac:dyDescent="0.2"/>
    <row r="40" spans="1:13" ht="27.95" customHeight="1" x14ac:dyDescent="0.2">
      <c r="A40" s="1413" t="s">
        <v>257</v>
      </c>
      <c r="B40" s="1413"/>
      <c r="C40" s="1413"/>
      <c r="D40" s="1413"/>
      <c r="E40" s="1413"/>
      <c r="F40" s="1413"/>
      <c r="G40" s="1413"/>
      <c r="H40" s="1413"/>
      <c r="I40" s="1413"/>
      <c r="J40" s="1413"/>
    </row>
    <row r="41" spans="1:13" ht="24.95" customHeight="1" x14ac:dyDescent="0.2">
      <c r="A41" s="1452" t="s">
        <v>246</v>
      </c>
      <c r="B41" s="1452"/>
      <c r="C41" s="1452"/>
      <c r="D41" s="1452"/>
      <c r="E41" s="1452"/>
      <c r="F41" s="1452"/>
      <c r="G41" s="1452"/>
      <c r="H41" s="1452"/>
      <c r="I41" s="1452"/>
      <c r="J41" s="1452"/>
      <c r="K41" s="1452"/>
      <c r="L41" s="1452"/>
      <c r="M41" s="1452"/>
    </row>
    <row r="42" spans="1:13" ht="24.95" customHeight="1" x14ac:dyDescent="0.2">
      <c r="A42" s="1452"/>
      <c r="B42" s="1452"/>
      <c r="C42" s="1452"/>
      <c r="D42" s="1452"/>
      <c r="E42" s="1452"/>
      <c r="F42" s="1452"/>
      <c r="G42" s="1452"/>
      <c r="H42" s="1452"/>
      <c r="I42" s="1452"/>
      <c r="J42" s="1452"/>
      <c r="K42" s="1452"/>
      <c r="L42" s="1452"/>
      <c r="M42" s="1452"/>
    </row>
    <row r="43" spans="1:13" ht="20.100000000000001" customHeight="1" thickBot="1" x14ac:dyDescent="0.25">
      <c r="A43" s="1191"/>
      <c r="B43" s="1191"/>
      <c r="C43" s="1191"/>
      <c r="D43" s="1191"/>
      <c r="E43" s="1191"/>
      <c r="F43" s="1191"/>
      <c r="G43" s="1191"/>
      <c r="H43" s="1191"/>
      <c r="I43" s="1191"/>
      <c r="J43" s="1191"/>
    </row>
    <row r="44" spans="1:13" ht="45.95" customHeight="1" thickBot="1" x14ac:dyDescent="0.25">
      <c r="B44" s="1448" t="s">
        <v>13</v>
      </c>
      <c r="C44" s="1448"/>
      <c r="D44" s="1448"/>
      <c r="E44" s="1138" t="s">
        <v>21</v>
      </c>
      <c r="F44" s="1138" t="s">
        <v>10</v>
      </c>
      <c r="G44" s="390" t="s">
        <v>209</v>
      </c>
      <c r="H44" s="1448" t="s">
        <v>14</v>
      </c>
      <c r="I44" s="1448"/>
      <c r="J44" s="1448" t="s">
        <v>8</v>
      </c>
      <c r="K44" s="1448"/>
    </row>
    <row r="45" spans="1:13" ht="50.1" customHeight="1" thickBot="1" x14ac:dyDescent="0.25">
      <c r="B45" s="1449" t="s">
        <v>540</v>
      </c>
      <c r="C45" s="1449"/>
      <c r="D45" s="1449"/>
      <c r="E45" s="391" t="e">
        <f>VLOOKUP('1 mg % '!$E$6,'DATOS %'!N11:AA110,2,FALSE)</f>
        <v>#N/A</v>
      </c>
      <c r="F45" s="1141" t="e">
        <f>VLOOKUP('1 mg % '!$E$6,'DATOS %'!N11:AA110,3,FALSE)</f>
        <v>#N/A</v>
      </c>
      <c r="G45" s="392" t="e">
        <f>VLOOKUP('1 mg % '!$E$6,'DATOS %'!N11:AA110,14,FALSE)</f>
        <v>#N/A</v>
      </c>
      <c r="H45" s="1450" t="e">
        <f>VLOOKUP('1 mg % '!$E$6,'DATOS %'!N11:AA110,6,FALSE)</f>
        <v>#N/A</v>
      </c>
      <c r="I45" s="1450"/>
      <c r="J45" s="1451" t="e">
        <f>VLOOKUP('1 mg % '!$E$6,'DATOS %'!N11:AA110,7,FALSE)</f>
        <v>#N/A</v>
      </c>
      <c r="K45" s="1451"/>
    </row>
    <row r="46" spans="1:13" ht="35.1" customHeight="1" x14ac:dyDescent="0.2">
      <c r="A46" s="1135"/>
      <c r="B46" s="1135"/>
      <c r="C46" s="1135"/>
      <c r="D46" s="393"/>
      <c r="E46" s="1135"/>
      <c r="F46" s="1135"/>
      <c r="G46" s="1135"/>
      <c r="H46" s="1135"/>
      <c r="I46" s="394"/>
      <c r="J46" s="394"/>
    </row>
    <row r="47" spans="1:13" ht="27.95" customHeight="1" x14ac:dyDescent="0.2">
      <c r="A47" s="1418" t="s">
        <v>249</v>
      </c>
      <c r="B47" s="1418"/>
      <c r="C47" s="1418"/>
      <c r="D47" s="1418"/>
      <c r="E47" s="1418"/>
      <c r="F47" s="1418"/>
      <c r="G47" s="1418"/>
      <c r="H47" s="1418"/>
      <c r="I47" s="1418"/>
      <c r="J47" s="1418"/>
    </row>
    <row r="48" spans="1:13" ht="9.75" customHeight="1" x14ac:dyDescent="0.2">
      <c r="A48" s="389"/>
      <c r="B48" s="389"/>
    </row>
    <row r="49" spans="1:1020 1029:2040 2049:3070 3079:4090 4099:5120 5129:6140 6149:7160 7169:8190 8199:9210 9219:10240 10249:11260 11269:12280 12289:13310 13319:14330 14339:15360 15369:16380" ht="26.1" customHeight="1" x14ac:dyDescent="0.2">
      <c r="A49" s="1453" t="s">
        <v>269</v>
      </c>
      <c r="B49" s="1453"/>
      <c r="C49" s="1453"/>
      <c r="D49" s="1453"/>
      <c r="E49" s="1453"/>
      <c r="F49" s="1453"/>
      <c r="G49" s="1453"/>
      <c r="H49" s="1453"/>
      <c r="I49" s="1453"/>
      <c r="J49" s="1453"/>
      <c r="K49" s="1453"/>
      <c r="L49" s="1453"/>
      <c r="M49" s="1453"/>
    </row>
    <row r="50" spans="1:1020 1029:2040 2049:3070 3079:4090 4099:5120 5129:6140 6149:7160 7169:8190 8199:9210 9219:10240 10249:11260 11269:12280 12289:13310 13319:14330 14339:15360 15369:16380" ht="26.1" customHeight="1" x14ac:dyDescent="0.2">
      <c r="A50" s="1453"/>
      <c r="B50" s="1453"/>
      <c r="C50" s="1453"/>
      <c r="D50" s="1453"/>
      <c r="E50" s="1453"/>
      <c r="F50" s="1453"/>
      <c r="G50" s="1453"/>
      <c r="H50" s="1453"/>
      <c r="I50" s="1453"/>
      <c r="J50" s="1453"/>
      <c r="K50" s="1453"/>
      <c r="L50" s="1453"/>
      <c r="M50" s="1453"/>
    </row>
    <row r="51" spans="1:1020 1029:2040 2049:3070 3079:4090 4099:5120 5129:6140 6149:7160 7169:8190 8199:9210 9219:10240 10249:11260 11269:12280 12289:13310 13319:14330 14339:15360 15369:16380" ht="18" customHeight="1" x14ac:dyDescent="0.2">
      <c r="A51" s="1192"/>
      <c r="B51" s="1192"/>
      <c r="C51" s="1192"/>
      <c r="D51" s="1192"/>
      <c r="E51" s="1192"/>
      <c r="F51" s="1192"/>
      <c r="G51" s="1192"/>
      <c r="H51" s="1192"/>
      <c r="I51" s="1192"/>
      <c r="J51" s="1192"/>
    </row>
    <row r="52" spans="1:1020 1029:2040 2049:3070 3079:4090 4099:5120 5129:6140 6149:7160 7169:8190 8199:9210 9219:10240 10249:11260 11269:12280 12289:13310 13319:14330 14339:15360 15369:16380" ht="125.1" customHeight="1" x14ac:dyDescent="0.2">
      <c r="A52" s="1412"/>
      <c r="B52" s="1412"/>
      <c r="C52" s="1412"/>
      <c r="D52" s="1412"/>
      <c r="E52" s="1412"/>
      <c r="F52" s="1412"/>
      <c r="G52" s="1412"/>
      <c r="H52" s="1412"/>
      <c r="I52" s="1412"/>
      <c r="J52" s="1412"/>
    </row>
    <row r="53" spans="1:1020 1029:2040 2049:3070 3079:4090 4099:5120 5129:6140 6149:7160 7169:8190 8199:9210 9219:10240 10249:11260 11269:12280 12289:13310 13319:14330 14339:15360 15369:16380" ht="35.1" customHeight="1" x14ac:dyDescent="0.2">
      <c r="A53" s="1192"/>
      <c r="B53" s="1192"/>
      <c r="C53" s="1192"/>
      <c r="D53" s="1192"/>
      <c r="E53" s="1192"/>
      <c r="F53" s="1192"/>
    </row>
    <row r="54" spans="1:1020 1029:2040 2049:3070 3079:4090 4099:5120 5129:6140 6149:7160 7169:8190 8199:9210 9219:10240 10249:11260 11269:12280 12289:13310 13319:14330 14339:15360 15369:16380" ht="35.1" customHeight="1" x14ac:dyDescent="0.2">
      <c r="A54" s="1192"/>
      <c r="B54" s="1192"/>
      <c r="C54" s="1192"/>
      <c r="D54" s="1192"/>
      <c r="E54" s="1192"/>
      <c r="F54" s="1192"/>
      <c r="J54" s="1446" t="s">
        <v>24</v>
      </c>
      <c r="K54" s="1446"/>
      <c r="L54" s="1469">
        <f>L3</f>
        <v>0</v>
      </c>
      <c r="M54" s="1469"/>
    </row>
    <row r="55" spans="1:1020 1029:2040 2049:3070 3079:4090 4099:5120 5129:6140 6149:7160 7169:8190 8199:9210 9219:10240 10249:11260 11269:12280 12289:13310 13319:14330 14339:15360 15369:16380" ht="23.1" customHeight="1" x14ac:dyDescent="0.2">
      <c r="A55" s="1418" t="s">
        <v>250</v>
      </c>
      <c r="B55" s="1418"/>
      <c r="C55" s="1418"/>
      <c r="D55" s="1418"/>
      <c r="E55" s="1418"/>
      <c r="F55" s="1418"/>
      <c r="G55" s="1418"/>
      <c r="H55" s="1418"/>
      <c r="I55" s="1418"/>
      <c r="J55" s="1418"/>
    </row>
    <row r="56" spans="1:1020 1029:2040 2049:3070 3079:4090 4099:5120 5129:6140 6149:7160 7169:8190 8199:9210 9219:10240 10249:11260 11269:12280 12289:13310 13319:14330 14339:15360 15369:16380" ht="20.100000000000001" customHeight="1" thickBot="1" x14ac:dyDescent="0.25">
      <c r="A56" s="389"/>
      <c r="B56" s="389"/>
      <c r="S56" s="389"/>
      <c r="T56" s="389"/>
      <c r="AC56" s="389"/>
      <c r="AD56" s="389"/>
      <c r="AM56" s="389"/>
      <c r="AN56" s="389"/>
      <c r="AW56" s="389"/>
      <c r="AX56" s="389"/>
      <c r="BG56" s="389"/>
      <c r="BH56" s="389"/>
      <c r="BQ56" s="389"/>
      <c r="BR56" s="389"/>
      <c r="CA56" s="389"/>
      <c r="CB56" s="389"/>
      <c r="CK56" s="389"/>
      <c r="CL56" s="389"/>
      <c r="CU56" s="389"/>
      <c r="CV56" s="389"/>
      <c r="DE56" s="389"/>
      <c r="DF56" s="389"/>
      <c r="DO56" s="389"/>
      <c r="DP56" s="389"/>
      <c r="DY56" s="389"/>
      <c r="DZ56" s="389"/>
      <c r="EI56" s="389"/>
      <c r="EJ56" s="389"/>
      <c r="ES56" s="389"/>
      <c r="ET56" s="389"/>
      <c r="FC56" s="389"/>
      <c r="FD56" s="389"/>
      <c r="FM56" s="389"/>
      <c r="FN56" s="389"/>
      <c r="FW56" s="389"/>
      <c r="FX56" s="389"/>
      <c r="GG56" s="389"/>
      <c r="GH56" s="389"/>
      <c r="GQ56" s="389"/>
      <c r="GR56" s="389"/>
      <c r="HA56" s="389"/>
      <c r="HB56" s="389"/>
      <c r="HK56" s="389"/>
      <c r="HL56" s="389"/>
      <c r="HU56" s="389"/>
      <c r="HV56" s="389"/>
      <c r="IE56" s="389"/>
      <c r="IF56" s="389"/>
      <c r="IO56" s="389"/>
      <c r="IP56" s="389"/>
      <c r="IY56" s="389"/>
      <c r="IZ56" s="389"/>
      <c r="JI56" s="389"/>
      <c r="JJ56" s="389"/>
      <c r="JS56" s="389"/>
      <c r="JT56" s="389"/>
      <c r="KC56" s="389"/>
      <c r="KD56" s="389"/>
      <c r="KM56" s="389"/>
      <c r="KN56" s="389"/>
      <c r="KW56" s="389"/>
      <c r="KX56" s="389"/>
      <c r="LG56" s="389"/>
      <c r="LH56" s="389"/>
      <c r="LQ56" s="389"/>
      <c r="LR56" s="389"/>
      <c r="MA56" s="389"/>
      <c r="MB56" s="389"/>
      <c r="MK56" s="389"/>
      <c r="ML56" s="389"/>
      <c r="MU56" s="389"/>
      <c r="MV56" s="389"/>
      <c r="NE56" s="389"/>
      <c r="NF56" s="389"/>
      <c r="NO56" s="389"/>
      <c r="NP56" s="389"/>
      <c r="NY56" s="389"/>
      <c r="NZ56" s="389"/>
      <c r="OI56" s="389"/>
      <c r="OJ56" s="389"/>
      <c r="OS56" s="389"/>
      <c r="OT56" s="389"/>
      <c r="PC56" s="389"/>
      <c r="PD56" s="389"/>
      <c r="PM56" s="389"/>
      <c r="PN56" s="389"/>
      <c r="PW56" s="389"/>
      <c r="PX56" s="389"/>
      <c r="QG56" s="389"/>
      <c r="QH56" s="389"/>
      <c r="QQ56" s="389"/>
      <c r="QR56" s="389"/>
      <c r="RA56" s="389"/>
      <c r="RB56" s="389"/>
      <c r="RK56" s="389"/>
      <c r="RL56" s="389"/>
      <c r="RU56" s="389"/>
      <c r="RV56" s="389"/>
      <c r="SE56" s="389"/>
      <c r="SF56" s="389"/>
      <c r="SO56" s="389"/>
      <c r="SP56" s="389"/>
      <c r="SY56" s="389"/>
      <c r="SZ56" s="389"/>
      <c r="TI56" s="389"/>
      <c r="TJ56" s="389"/>
      <c r="TS56" s="389"/>
      <c r="TT56" s="389"/>
      <c r="UC56" s="389"/>
      <c r="UD56" s="389"/>
      <c r="UM56" s="389"/>
      <c r="UN56" s="389"/>
      <c r="UW56" s="389"/>
      <c r="UX56" s="389"/>
      <c r="VG56" s="389"/>
      <c r="VH56" s="389"/>
      <c r="VQ56" s="389"/>
      <c r="VR56" s="389"/>
      <c r="WA56" s="389"/>
      <c r="WB56" s="389"/>
      <c r="WK56" s="389"/>
      <c r="WL56" s="389"/>
      <c r="WU56" s="389"/>
      <c r="WV56" s="389"/>
      <c r="XE56" s="389"/>
      <c r="XF56" s="389"/>
      <c r="XO56" s="389"/>
      <c r="XP56" s="389"/>
      <c r="XY56" s="389"/>
      <c r="XZ56" s="389"/>
      <c r="YI56" s="389"/>
      <c r="YJ56" s="389"/>
      <c r="YS56" s="389"/>
      <c r="YT56" s="389"/>
      <c r="ZC56" s="389"/>
      <c r="ZD56" s="389"/>
      <c r="ZM56" s="389"/>
      <c r="ZN56" s="389"/>
      <c r="ZW56" s="389"/>
      <c r="ZX56" s="389"/>
      <c r="AAG56" s="389"/>
      <c r="AAH56" s="389"/>
      <c r="AAQ56" s="389"/>
      <c r="AAR56" s="389"/>
      <c r="ABA56" s="389"/>
      <c r="ABB56" s="389"/>
      <c r="ABK56" s="389"/>
      <c r="ABL56" s="389"/>
      <c r="ABU56" s="389"/>
      <c r="ABV56" s="389"/>
      <c r="ACE56" s="389"/>
      <c r="ACF56" s="389"/>
      <c r="ACO56" s="389"/>
      <c r="ACP56" s="389"/>
      <c r="ACY56" s="389"/>
      <c r="ACZ56" s="389"/>
      <c r="ADI56" s="389"/>
      <c r="ADJ56" s="389"/>
      <c r="ADS56" s="389"/>
      <c r="ADT56" s="389"/>
      <c r="AEC56" s="389"/>
      <c r="AED56" s="389"/>
      <c r="AEM56" s="389"/>
      <c r="AEN56" s="389"/>
      <c r="AEW56" s="389"/>
      <c r="AEX56" s="389"/>
      <c r="AFG56" s="389"/>
      <c r="AFH56" s="389"/>
      <c r="AFQ56" s="389"/>
      <c r="AFR56" s="389"/>
      <c r="AGA56" s="389"/>
      <c r="AGB56" s="389"/>
      <c r="AGK56" s="389"/>
      <c r="AGL56" s="389"/>
      <c r="AGU56" s="389"/>
      <c r="AGV56" s="389"/>
      <c r="AHE56" s="389"/>
      <c r="AHF56" s="389"/>
      <c r="AHO56" s="389"/>
      <c r="AHP56" s="389"/>
      <c r="AHY56" s="389"/>
      <c r="AHZ56" s="389"/>
      <c r="AII56" s="389"/>
      <c r="AIJ56" s="389"/>
      <c r="AIS56" s="389"/>
      <c r="AIT56" s="389"/>
      <c r="AJC56" s="389"/>
      <c r="AJD56" s="389"/>
      <c r="AJM56" s="389"/>
      <c r="AJN56" s="389"/>
      <c r="AJW56" s="389"/>
      <c r="AJX56" s="389"/>
      <c r="AKG56" s="389"/>
      <c r="AKH56" s="389"/>
      <c r="AKQ56" s="389"/>
      <c r="AKR56" s="389"/>
      <c r="ALA56" s="389"/>
      <c r="ALB56" s="389"/>
      <c r="ALK56" s="389"/>
      <c r="ALL56" s="389"/>
      <c r="ALU56" s="389"/>
      <c r="ALV56" s="389"/>
      <c r="AME56" s="389"/>
      <c r="AMF56" s="389"/>
      <c r="AMO56" s="389"/>
      <c r="AMP56" s="389"/>
      <c r="AMY56" s="389"/>
      <c r="AMZ56" s="389"/>
      <c r="ANI56" s="389"/>
      <c r="ANJ56" s="389"/>
      <c r="ANS56" s="389"/>
      <c r="ANT56" s="389"/>
      <c r="AOC56" s="389"/>
      <c r="AOD56" s="389"/>
      <c r="AOM56" s="389"/>
      <c r="AON56" s="389"/>
      <c r="AOW56" s="389"/>
      <c r="AOX56" s="389"/>
      <c r="APG56" s="389"/>
      <c r="APH56" s="389"/>
      <c r="APQ56" s="389"/>
      <c r="APR56" s="389"/>
      <c r="AQA56" s="389"/>
      <c r="AQB56" s="389"/>
      <c r="AQK56" s="389"/>
      <c r="AQL56" s="389"/>
      <c r="AQU56" s="389"/>
      <c r="AQV56" s="389"/>
      <c r="ARE56" s="389"/>
      <c r="ARF56" s="389"/>
      <c r="ARO56" s="389"/>
      <c r="ARP56" s="389"/>
      <c r="ARY56" s="389"/>
      <c r="ARZ56" s="389"/>
      <c r="ASI56" s="389"/>
      <c r="ASJ56" s="389"/>
      <c r="ASS56" s="389"/>
      <c r="AST56" s="389"/>
      <c r="ATC56" s="389"/>
      <c r="ATD56" s="389"/>
      <c r="ATM56" s="389"/>
      <c r="ATN56" s="389"/>
      <c r="ATW56" s="389"/>
      <c r="ATX56" s="389"/>
      <c r="AUG56" s="389"/>
      <c r="AUH56" s="389"/>
      <c r="AUQ56" s="389"/>
      <c r="AUR56" s="389"/>
      <c r="AVA56" s="389"/>
      <c r="AVB56" s="389"/>
      <c r="AVK56" s="389"/>
      <c r="AVL56" s="389"/>
      <c r="AVU56" s="389"/>
      <c r="AVV56" s="389"/>
      <c r="AWE56" s="389"/>
      <c r="AWF56" s="389"/>
      <c r="AWO56" s="389"/>
      <c r="AWP56" s="389"/>
      <c r="AWY56" s="389"/>
      <c r="AWZ56" s="389"/>
      <c r="AXI56" s="389"/>
      <c r="AXJ56" s="389"/>
      <c r="AXS56" s="389"/>
      <c r="AXT56" s="389"/>
      <c r="AYC56" s="389"/>
      <c r="AYD56" s="389"/>
      <c r="AYM56" s="389"/>
      <c r="AYN56" s="389"/>
      <c r="AYW56" s="389"/>
      <c r="AYX56" s="389"/>
      <c r="AZG56" s="389"/>
      <c r="AZH56" s="389"/>
      <c r="AZQ56" s="389"/>
      <c r="AZR56" s="389"/>
      <c r="BAA56" s="389"/>
      <c r="BAB56" s="389"/>
      <c r="BAK56" s="389"/>
      <c r="BAL56" s="389"/>
      <c r="BAU56" s="389"/>
      <c r="BAV56" s="389"/>
      <c r="BBE56" s="389"/>
      <c r="BBF56" s="389"/>
      <c r="BBO56" s="389"/>
      <c r="BBP56" s="389"/>
      <c r="BBY56" s="389"/>
      <c r="BBZ56" s="389"/>
      <c r="BCI56" s="389"/>
      <c r="BCJ56" s="389"/>
      <c r="BCS56" s="389"/>
      <c r="BCT56" s="389"/>
      <c r="BDC56" s="389"/>
      <c r="BDD56" s="389"/>
      <c r="BDM56" s="389"/>
      <c r="BDN56" s="389"/>
      <c r="BDW56" s="389"/>
      <c r="BDX56" s="389"/>
      <c r="BEG56" s="389"/>
      <c r="BEH56" s="389"/>
      <c r="BEQ56" s="389"/>
      <c r="BER56" s="389"/>
      <c r="BFA56" s="389"/>
      <c r="BFB56" s="389"/>
      <c r="BFK56" s="389"/>
      <c r="BFL56" s="389"/>
      <c r="BFU56" s="389"/>
      <c r="BFV56" s="389"/>
      <c r="BGE56" s="389"/>
      <c r="BGF56" s="389"/>
      <c r="BGO56" s="389"/>
      <c r="BGP56" s="389"/>
      <c r="BGY56" s="389"/>
      <c r="BGZ56" s="389"/>
      <c r="BHI56" s="389"/>
      <c r="BHJ56" s="389"/>
      <c r="BHS56" s="389"/>
      <c r="BHT56" s="389"/>
      <c r="BIC56" s="389"/>
      <c r="BID56" s="389"/>
      <c r="BIM56" s="389"/>
      <c r="BIN56" s="389"/>
      <c r="BIW56" s="389"/>
      <c r="BIX56" s="389"/>
      <c r="BJG56" s="389"/>
      <c r="BJH56" s="389"/>
      <c r="BJQ56" s="389"/>
      <c r="BJR56" s="389"/>
      <c r="BKA56" s="389"/>
      <c r="BKB56" s="389"/>
      <c r="BKK56" s="389"/>
      <c r="BKL56" s="389"/>
      <c r="BKU56" s="389"/>
      <c r="BKV56" s="389"/>
      <c r="BLE56" s="389"/>
      <c r="BLF56" s="389"/>
      <c r="BLO56" s="389"/>
      <c r="BLP56" s="389"/>
      <c r="BLY56" s="389"/>
      <c r="BLZ56" s="389"/>
      <c r="BMI56" s="389"/>
      <c r="BMJ56" s="389"/>
      <c r="BMS56" s="389"/>
      <c r="BMT56" s="389"/>
      <c r="BNC56" s="389"/>
      <c r="BND56" s="389"/>
      <c r="BNM56" s="389"/>
      <c r="BNN56" s="389"/>
      <c r="BNW56" s="389"/>
      <c r="BNX56" s="389"/>
      <c r="BOG56" s="389"/>
      <c r="BOH56" s="389"/>
      <c r="BOQ56" s="389"/>
      <c r="BOR56" s="389"/>
      <c r="BPA56" s="389"/>
      <c r="BPB56" s="389"/>
      <c r="BPK56" s="389"/>
      <c r="BPL56" s="389"/>
      <c r="BPU56" s="389"/>
      <c r="BPV56" s="389"/>
      <c r="BQE56" s="389"/>
      <c r="BQF56" s="389"/>
      <c r="BQO56" s="389"/>
      <c r="BQP56" s="389"/>
      <c r="BQY56" s="389"/>
      <c r="BQZ56" s="389"/>
      <c r="BRI56" s="389"/>
      <c r="BRJ56" s="389"/>
      <c r="BRS56" s="389"/>
      <c r="BRT56" s="389"/>
      <c r="BSC56" s="389"/>
      <c r="BSD56" s="389"/>
      <c r="BSM56" s="389"/>
      <c r="BSN56" s="389"/>
      <c r="BSW56" s="389"/>
      <c r="BSX56" s="389"/>
      <c r="BTG56" s="389"/>
      <c r="BTH56" s="389"/>
      <c r="BTQ56" s="389"/>
      <c r="BTR56" s="389"/>
      <c r="BUA56" s="389"/>
      <c r="BUB56" s="389"/>
      <c r="BUK56" s="389"/>
      <c r="BUL56" s="389"/>
      <c r="BUU56" s="389"/>
      <c r="BUV56" s="389"/>
      <c r="BVE56" s="389"/>
      <c r="BVF56" s="389"/>
      <c r="BVO56" s="389"/>
      <c r="BVP56" s="389"/>
      <c r="BVY56" s="389"/>
      <c r="BVZ56" s="389"/>
      <c r="BWI56" s="389"/>
      <c r="BWJ56" s="389"/>
      <c r="BWS56" s="389"/>
      <c r="BWT56" s="389"/>
      <c r="BXC56" s="389"/>
      <c r="BXD56" s="389"/>
      <c r="BXM56" s="389"/>
      <c r="BXN56" s="389"/>
      <c r="BXW56" s="389"/>
      <c r="BXX56" s="389"/>
      <c r="BYG56" s="389"/>
      <c r="BYH56" s="389"/>
      <c r="BYQ56" s="389"/>
      <c r="BYR56" s="389"/>
      <c r="BZA56" s="389"/>
      <c r="BZB56" s="389"/>
      <c r="BZK56" s="389"/>
      <c r="BZL56" s="389"/>
      <c r="BZU56" s="389"/>
      <c r="BZV56" s="389"/>
      <c r="CAE56" s="389"/>
      <c r="CAF56" s="389"/>
      <c r="CAO56" s="389"/>
      <c r="CAP56" s="389"/>
      <c r="CAY56" s="389"/>
      <c r="CAZ56" s="389"/>
      <c r="CBI56" s="389"/>
      <c r="CBJ56" s="389"/>
      <c r="CBS56" s="389"/>
      <c r="CBT56" s="389"/>
      <c r="CCC56" s="389"/>
      <c r="CCD56" s="389"/>
      <c r="CCM56" s="389"/>
      <c r="CCN56" s="389"/>
      <c r="CCW56" s="389"/>
      <c r="CCX56" s="389"/>
      <c r="CDG56" s="389"/>
      <c r="CDH56" s="389"/>
      <c r="CDQ56" s="389"/>
      <c r="CDR56" s="389"/>
      <c r="CEA56" s="389"/>
      <c r="CEB56" s="389"/>
      <c r="CEK56" s="389"/>
      <c r="CEL56" s="389"/>
      <c r="CEU56" s="389"/>
      <c r="CEV56" s="389"/>
      <c r="CFE56" s="389"/>
      <c r="CFF56" s="389"/>
      <c r="CFO56" s="389"/>
      <c r="CFP56" s="389"/>
      <c r="CFY56" s="389"/>
      <c r="CFZ56" s="389"/>
      <c r="CGI56" s="389"/>
      <c r="CGJ56" s="389"/>
      <c r="CGS56" s="389"/>
      <c r="CGT56" s="389"/>
      <c r="CHC56" s="389"/>
      <c r="CHD56" s="389"/>
      <c r="CHM56" s="389"/>
      <c r="CHN56" s="389"/>
      <c r="CHW56" s="389"/>
      <c r="CHX56" s="389"/>
      <c r="CIG56" s="389"/>
      <c r="CIH56" s="389"/>
      <c r="CIQ56" s="389"/>
      <c r="CIR56" s="389"/>
      <c r="CJA56" s="389"/>
      <c r="CJB56" s="389"/>
      <c r="CJK56" s="389"/>
      <c r="CJL56" s="389"/>
      <c r="CJU56" s="389"/>
      <c r="CJV56" s="389"/>
      <c r="CKE56" s="389"/>
      <c r="CKF56" s="389"/>
      <c r="CKO56" s="389"/>
      <c r="CKP56" s="389"/>
      <c r="CKY56" s="389"/>
      <c r="CKZ56" s="389"/>
      <c r="CLI56" s="389"/>
      <c r="CLJ56" s="389"/>
      <c r="CLS56" s="389"/>
      <c r="CLT56" s="389"/>
      <c r="CMC56" s="389"/>
      <c r="CMD56" s="389"/>
      <c r="CMM56" s="389"/>
      <c r="CMN56" s="389"/>
      <c r="CMW56" s="389"/>
      <c r="CMX56" s="389"/>
      <c r="CNG56" s="389"/>
      <c r="CNH56" s="389"/>
      <c r="CNQ56" s="389"/>
      <c r="CNR56" s="389"/>
      <c r="COA56" s="389"/>
      <c r="COB56" s="389"/>
      <c r="COK56" s="389"/>
      <c r="COL56" s="389"/>
      <c r="COU56" s="389"/>
      <c r="COV56" s="389"/>
      <c r="CPE56" s="389"/>
      <c r="CPF56" s="389"/>
      <c r="CPO56" s="389"/>
      <c r="CPP56" s="389"/>
      <c r="CPY56" s="389"/>
      <c r="CPZ56" s="389"/>
      <c r="CQI56" s="389"/>
      <c r="CQJ56" s="389"/>
      <c r="CQS56" s="389"/>
      <c r="CQT56" s="389"/>
      <c r="CRC56" s="389"/>
      <c r="CRD56" s="389"/>
      <c r="CRM56" s="389"/>
      <c r="CRN56" s="389"/>
      <c r="CRW56" s="389"/>
      <c r="CRX56" s="389"/>
      <c r="CSG56" s="389"/>
      <c r="CSH56" s="389"/>
      <c r="CSQ56" s="389"/>
      <c r="CSR56" s="389"/>
      <c r="CTA56" s="389"/>
      <c r="CTB56" s="389"/>
      <c r="CTK56" s="389"/>
      <c r="CTL56" s="389"/>
      <c r="CTU56" s="389"/>
      <c r="CTV56" s="389"/>
      <c r="CUE56" s="389"/>
      <c r="CUF56" s="389"/>
      <c r="CUO56" s="389"/>
      <c r="CUP56" s="389"/>
      <c r="CUY56" s="389"/>
      <c r="CUZ56" s="389"/>
      <c r="CVI56" s="389"/>
      <c r="CVJ56" s="389"/>
      <c r="CVS56" s="389"/>
      <c r="CVT56" s="389"/>
      <c r="CWC56" s="389"/>
      <c r="CWD56" s="389"/>
      <c r="CWM56" s="389"/>
      <c r="CWN56" s="389"/>
      <c r="CWW56" s="389"/>
      <c r="CWX56" s="389"/>
      <c r="CXG56" s="389"/>
      <c r="CXH56" s="389"/>
      <c r="CXQ56" s="389"/>
      <c r="CXR56" s="389"/>
      <c r="CYA56" s="389"/>
      <c r="CYB56" s="389"/>
      <c r="CYK56" s="389"/>
      <c r="CYL56" s="389"/>
      <c r="CYU56" s="389"/>
      <c r="CYV56" s="389"/>
      <c r="CZE56" s="389"/>
      <c r="CZF56" s="389"/>
      <c r="CZO56" s="389"/>
      <c r="CZP56" s="389"/>
      <c r="CZY56" s="389"/>
      <c r="CZZ56" s="389"/>
      <c r="DAI56" s="389"/>
      <c r="DAJ56" s="389"/>
      <c r="DAS56" s="389"/>
      <c r="DAT56" s="389"/>
      <c r="DBC56" s="389"/>
      <c r="DBD56" s="389"/>
      <c r="DBM56" s="389"/>
      <c r="DBN56" s="389"/>
      <c r="DBW56" s="389"/>
      <c r="DBX56" s="389"/>
      <c r="DCG56" s="389"/>
      <c r="DCH56" s="389"/>
      <c r="DCQ56" s="389"/>
      <c r="DCR56" s="389"/>
      <c r="DDA56" s="389"/>
      <c r="DDB56" s="389"/>
      <c r="DDK56" s="389"/>
      <c r="DDL56" s="389"/>
      <c r="DDU56" s="389"/>
      <c r="DDV56" s="389"/>
      <c r="DEE56" s="389"/>
      <c r="DEF56" s="389"/>
      <c r="DEO56" s="389"/>
      <c r="DEP56" s="389"/>
      <c r="DEY56" s="389"/>
      <c r="DEZ56" s="389"/>
      <c r="DFI56" s="389"/>
      <c r="DFJ56" s="389"/>
      <c r="DFS56" s="389"/>
      <c r="DFT56" s="389"/>
      <c r="DGC56" s="389"/>
      <c r="DGD56" s="389"/>
      <c r="DGM56" s="389"/>
      <c r="DGN56" s="389"/>
      <c r="DGW56" s="389"/>
      <c r="DGX56" s="389"/>
      <c r="DHG56" s="389"/>
      <c r="DHH56" s="389"/>
      <c r="DHQ56" s="389"/>
      <c r="DHR56" s="389"/>
      <c r="DIA56" s="389"/>
      <c r="DIB56" s="389"/>
      <c r="DIK56" s="389"/>
      <c r="DIL56" s="389"/>
      <c r="DIU56" s="389"/>
      <c r="DIV56" s="389"/>
      <c r="DJE56" s="389"/>
      <c r="DJF56" s="389"/>
      <c r="DJO56" s="389"/>
      <c r="DJP56" s="389"/>
      <c r="DJY56" s="389"/>
      <c r="DJZ56" s="389"/>
      <c r="DKI56" s="389"/>
      <c r="DKJ56" s="389"/>
      <c r="DKS56" s="389"/>
      <c r="DKT56" s="389"/>
      <c r="DLC56" s="389"/>
      <c r="DLD56" s="389"/>
      <c r="DLM56" s="389"/>
      <c r="DLN56" s="389"/>
      <c r="DLW56" s="389"/>
      <c r="DLX56" s="389"/>
      <c r="DMG56" s="389"/>
      <c r="DMH56" s="389"/>
      <c r="DMQ56" s="389"/>
      <c r="DMR56" s="389"/>
      <c r="DNA56" s="389"/>
      <c r="DNB56" s="389"/>
      <c r="DNK56" s="389"/>
      <c r="DNL56" s="389"/>
      <c r="DNU56" s="389"/>
      <c r="DNV56" s="389"/>
      <c r="DOE56" s="389"/>
      <c r="DOF56" s="389"/>
      <c r="DOO56" s="389"/>
      <c r="DOP56" s="389"/>
      <c r="DOY56" s="389"/>
      <c r="DOZ56" s="389"/>
      <c r="DPI56" s="389"/>
      <c r="DPJ56" s="389"/>
      <c r="DPS56" s="389"/>
      <c r="DPT56" s="389"/>
      <c r="DQC56" s="389"/>
      <c r="DQD56" s="389"/>
      <c r="DQM56" s="389"/>
      <c r="DQN56" s="389"/>
      <c r="DQW56" s="389"/>
      <c r="DQX56" s="389"/>
      <c r="DRG56" s="389"/>
      <c r="DRH56" s="389"/>
      <c r="DRQ56" s="389"/>
      <c r="DRR56" s="389"/>
      <c r="DSA56" s="389"/>
      <c r="DSB56" s="389"/>
      <c r="DSK56" s="389"/>
      <c r="DSL56" s="389"/>
      <c r="DSU56" s="389"/>
      <c r="DSV56" s="389"/>
      <c r="DTE56" s="389"/>
      <c r="DTF56" s="389"/>
      <c r="DTO56" s="389"/>
      <c r="DTP56" s="389"/>
      <c r="DTY56" s="389"/>
      <c r="DTZ56" s="389"/>
      <c r="DUI56" s="389"/>
      <c r="DUJ56" s="389"/>
      <c r="DUS56" s="389"/>
      <c r="DUT56" s="389"/>
      <c r="DVC56" s="389"/>
      <c r="DVD56" s="389"/>
      <c r="DVM56" s="389"/>
      <c r="DVN56" s="389"/>
      <c r="DVW56" s="389"/>
      <c r="DVX56" s="389"/>
      <c r="DWG56" s="389"/>
      <c r="DWH56" s="389"/>
      <c r="DWQ56" s="389"/>
      <c r="DWR56" s="389"/>
      <c r="DXA56" s="389"/>
      <c r="DXB56" s="389"/>
      <c r="DXK56" s="389"/>
      <c r="DXL56" s="389"/>
      <c r="DXU56" s="389"/>
      <c r="DXV56" s="389"/>
      <c r="DYE56" s="389"/>
      <c r="DYF56" s="389"/>
      <c r="DYO56" s="389"/>
      <c r="DYP56" s="389"/>
      <c r="DYY56" s="389"/>
      <c r="DYZ56" s="389"/>
      <c r="DZI56" s="389"/>
      <c r="DZJ56" s="389"/>
      <c r="DZS56" s="389"/>
      <c r="DZT56" s="389"/>
      <c r="EAC56" s="389"/>
      <c r="EAD56" s="389"/>
      <c r="EAM56" s="389"/>
      <c r="EAN56" s="389"/>
      <c r="EAW56" s="389"/>
      <c r="EAX56" s="389"/>
      <c r="EBG56" s="389"/>
      <c r="EBH56" s="389"/>
      <c r="EBQ56" s="389"/>
      <c r="EBR56" s="389"/>
      <c r="ECA56" s="389"/>
      <c r="ECB56" s="389"/>
      <c r="ECK56" s="389"/>
      <c r="ECL56" s="389"/>
      <c r="ECU56" s="389"/>
      <c r="ECV56" s="389"/>
      <c r="EDE56" s="389"/>
      <c r="EDF56" s="389"/>
      <c r="EDO56" s="389"/>
      <c r="EDP56" s="389"/>
      <c r="EDY56" s="389"/>
      <c r="EDZ56" s="389"/>
      <c r="EEI56" s="389"/>
      <c r="EEJ56" s="389"/>
      <c r="EES56" s="389"/>
      <c r="EET56" s="389"/>
      <c r="EFC56" s="389"/>
      <c r="EFD56" s="389"/>
      <c r="EFM56" s="389"/>
      <c r="EFN56" s="389"/>
      <c r="EFW56" s="389"/>
      <c r="EFX56" s="389"/>
      <c r="EGG56" s="389"/>
      <c r="EGH56" s="389"/>
      <c r="EGQ56" s="389"/>
      <c r="EGR56" s="389"/>
      <c r="EHA56" s="389"/>
      <c r="EHB56" s="389"/>
      <c r="EHK56" s="389"/>
      <c r="EHL56" s="389"/>
      <c r="EHU56" s="389"/>
      <c r="EHV56" s="389"/>
      <c r="EIE56" s="389"/>
      <c r="EIF56" s="389"/>
      <c r="EIO56" s="389"/>
      <c r="EIP56" s="389"/>
      <c r="EIY56" s="389"/>
      <c r="EIZ56" s="389"/>
      <c r="EJI56" s="389"/>
      <c r="EJJ56" s="389"/>
      <c r="EJS56" s="389"/>
      <c r="EJT56" s="389"/>
      <c r="EKC56" s="389"/>
      <c r="EKD56" s="389"/>
      <c r="EKM56" s="389"/>
      <c r="EKN56" s="389"/>
      <c r="EKW56" s="389"/>
      <c r="EKX56" s="389"/>
      <c r="ELG56" s="389"/>
      <c r="ELH56" s="389"/>
      <c r="ELQ56" s="389"/>
      <c r="ELR56" s="389"/>
      <c r="EMA56" s="389"/>
      <c r="EMB56" s="389"/>
      <c r="EMK56" s="389"/>
      <c r="EML56" s="389"/>
      <c r="EMU56" s="389"/>
      <c r="EMV56" s="389"/>
      <c r="ENE56" s="389"/>
      <c r="ENF56" s="389"/>
      <c r="ENO56" s="389"/>
      <c r="ENP56" s="389"/>
      <c r="ENY56" s="389"/>
      <c r="ENZ56" s="389"/>
      <c r="EOI56" s="389"/>
      <c r="EOJ56" s="389"/>
      <c r="EOS56" s="389"/>
      <c r="EOT56" s="389"/>
      <c r="EPC56" s="389"/>
      <c r="EPD56" s="389"/>
      <c r="EPM56" s="389"/>
      <c r="EPN56" s="389"/>
      <c r="EPW56" s="389"/>
      <c r="EPX56" s="389"/>
      <c r="EQG56" s="389"/>
      <c r="EQH56" s="389"/>
      <c r="EQQ56" s="389"/>
      <c r="EQR56" s="389"/>
      <c r="ERA56" s="389"/>
      <c r="ERB56" s="389"/>
      <c r="ERK56" s="389"/>
      <c r="ERL56" s="389"/>
      <c r="ERU56" s="389"/>
      <c r="ERV56" s="389"/>
      <c r="ESE56" s="389"/>
      <c r="ESF56" s="389"/>
      <c r="ESO56" s="389"/>
      <c r="ESP56" s="389"/>
      <c r="ESY56" s="389"/>
      <c r="ESZ56" s="389"/>
      <c r="ETI56" s="389"/>
      <c r="ETJ56" s="389"/>
      <c r="ETS56" s="389"/>
      <c r="ETT56" s="389"/>
      <c r="EUC56" s="389"/>
      <c r="EUD56" s="389"/>
      <c r="EUM56" s="389"/>
      <c r="EUN56" s="389"/>
      <c r="EUW56" s="389"/>
      <c r="EUX56" s="389"/>
      <c r="EVG56" s="389"/>
      <c r="EVH56" s="389"/>
      <c r="EVQ56" s="389"/>
      <c r="EVR56" s="389"/>
      <c r="EWA56" s="389"/>
      <c r="EWB56" s="389"/>
      <c r="EWK56" s="389"/>
      <c r="EWL56" s="389"/>
      <c r="EWU56" s="389"/>
      <c r="EWV56" s="389"/>
      <c r="EXE56" s="389"/>
      <c r="EXF56" s="389"/>
      <c r="EXO56" s="389"/>
      <c r="EXP56" s="389"/>
      <c r="EXY56" s="389"/>
      <c r="EXZ56" s="389"/>
      <c r="EYI56" s="389"/>
      <c r="EYJ56" s="389"/>
      <c r="EYS56" s="389"/>
      <c r="EYT56" s="389"/>
      <c r="EZC56" s="389"/>
      <c r="EZD56" s="389"/>
      <c r="EZM56" s="389"/>
      <c r="EZN56" s="389"/>
      <c r="EZW56" s="389"/>
      <c r="EZX56" s="389"/>
      <c r="FAG56" s="389"/>
      <c r="FAH56" s="389"/>
      <c r="FAQ56" s="389"/>
      <c r="FAR56" s="389"/>
      <c r="FBA56" s="389"/>
      <c r="FBB56" s="389"/>
      <c r="FBK56" s="389"/>
      <c r="FBL56" s="389"/>
      <c r="FBU56" s="389"/>
      <c r="FBV56" s="389"/>
      <c r="FCE56" s="389"/>
      <c r="FCF56" s="389"/>
      <c r="FCO56" s="389"/>
      <c r="FCP56" s="389"/>
      <c r="FCY56" s="389"/>
      <c r="FCZ56" s="389"/>
      <c r="FDI56" s="389"/>
      <c r="FDJ56" s="389"/>
      <c r="FDS56" s="389"/>
      <c r="FDT56" s="389"/>
      <c r="FEC56" s="389"/>
      <c r="FED56" s="389"/>
      <c r="FEM56" s="389"/>
      <c r="FEN56" s="389"/>
      <c r="FEW56" s="389"/>
      <c r="FEX56" s="389"/>
      <c r="FFG56" s="389"/>
      <c r="FFH56" s="389"/>
      <c r="FFQ56" s="389"/>
      <c r="FFR56" s="389"/>
      <c r="FGA56" s="389"/>
      <c r="FGB56" s="389"/>
      <c r="FGK56" s="389"/>
      <c r="FGL56" s="389"/>
      <c r="FGU56" s="389"/>
      <c r="FGV56" s="389"/>
      <c r="FHE56" s="389"/>
      <c r="FHF56" s="389"/>
      <c r="FHO56" s="389"/>
      <c r="FHP56" s="389"/>
      <c r="FHY56" s="389"/>
      <c r="FHZ56" s="389"/>
      <c r="FII56" s="389"/>
      <c r="FIJ56" s="389"/>
      <c r="FIS56" s="389"/>
      <c r="FIT56" s="389"/>
      <c r="FJC56" s="389"/>
      <c r="FJD56" s="389"/>
      <c r="FJM56" s="389"/>
      <c r="FJN56" s="389"/>
      <c r="FJW56" s="389"/>
      <c r="FJX56" s="389"/>
      <c r="FKG56" s="389"/>
      <c r="FKH56" s="389"/>
      <c r="FKQ56" s="389"/>
      <c r="FKR56" s="389"/>
      <c r="FLA56" s="389"/>
      <c r="FLB56" s="389"/>
      <c r="FLK56" s="389"/>
      <c r="FLL56" s="389"/>
      <c r="FLU56" s="389"/>
      <c r="FLV56" s="389"/>
      <c r="FME56" s="389"/>
      <c r="FMF56" s="389"/>
      <c r="FMO56" s="389"/>
      <c r="FMP56" s="389"/>
      <c r="FMY56" s="389"/>
      <c r="FMZ56" s="389"/>
      <c r="FNI56" s="389"/>
      <c r="FNJ56" s="389"/>
      <c r="FNS56" s="389"/>
      <c r="FNT56" s="389"/>
      <c r="FOC56" s="389"/>
      <c r="FOD56" s="389"/>
      <c r="FOM56" s="389"/>
      <c r="FON56" s="389"/>
      <c r="FOW56" s="389"/>
      <c r="FOX56" s="389"/>
      <c r="FPG56" s="389"/>
      <c r="FPH56" s="389"/>
      <c r="FPQ56" s="389"/>
      <c r="FPR56" s="389"/>
      <c r="FQA56" s="389"/>
      <c r="FQB56" s="389"/>
      <c r="FQK56" s="389"/>
      <c r="FQL56" s="389"/>
      <c r="FQU56" s="389"/>
      <c r="FQV56" s="389"/>
      <c r="FRE56" s="389"/>
      <c r="FRF56" s="389"/>
      <c r="FRO56" s="389"/>
      <c r="FRP56" s="389"/>
      <c r="FRY56" s="389"/>
      <c r="FRZ56" s="389"/>
      <c r="FSI56" s="389"/>
      <c r="FSJ56" s="389"/>
      <c r="FSS56" s="389"/>
      <c r="FST56" s="389"/>
      <c r="FTC56" s="389"/>
      <c r="FTD56" s="389"/>
      <c r="FTM56" s="389"/>
      <c r="FTN56" s="389"/>
      <c r="FTW56" s="389"/>
      <c r="FTX56" s="389"/>
      <c r="FUG56" s="389"/>
      <c r="FUH56" s="389"/>
      <c r="FUQ56" s="389"/>
      <c r="FUR56" s="389"/>
      <c r="FVA56" s="389"/>
      <c r="FVB56" s="389"/>
      <c r="FVK56" s="389"/>
      <c r="FVL56" s="389"/>
      <c r="FVU56" s="389"/>
      <c r="FVV56" s="389"/>
      <c r="FWE56" s="389"/>
      <c r="FWF56" s="389"/>
      <c r="FWO56" s="389"/>
      <c r="FWP56" s="389"/>
      <c r="FWY56" s="389"/>
      <c r="FWZ56" s="389"/>
      <c r="FXI56" s="389"/>
      <c r="FXJ56" s="389"/>
      <c r="FXS56" s="389"/>
      <c r="FXT56" s="389"/>
      <c r="FYC56" s="389"/>
      <c r="FYD56" s="389"/>
      <c r="FYM56" s="389"/>
      <c r="FYN56" s="389"/>
      <c r="FYW56" s="389"/>
      <c r="FYX56" s="389"/>
      <c r="FZG56" s="389"/>
      <c r="FZH56" s="389"/>
      <c r="FZQ56" s="389"/>
      <c r="FZR56" s="389"/>
      <c r="GAA56" s="389"/>
      <c r="GAB56" s="389"/>
      <c r="GAK56" s="389"/>
      <c r="GAL56" s="389"/>
      <c r="GAU56" s="389"/>
      <c r="GAV56" s="389"/>
      <c r="GBE56" s="389"/>
      <c r="GBF56" s="389"/>
      <c r="GBO56" s="389"/>
      <c r="GBP56" s="389"/>
      <c r="GBY56" s="389"/>
      <c r="GBZ56" s="389"/>
      <c r="GCI56" s="389"/>
      <c r="GCJ56" s="389"/>
      <c r="GCS56" s="389"/>
      <c r="GCT56" s="389"/>
      <c r="GDC56" s="389"/>
      <c r="GDD56" s="389"/>
      <c r="GDM56" s="389"/>
      <c r="GDN56" s="389"/>
      <c r="GDW56" s="389"/>
      <c r="GDX56" s="389"/>
      <c r="GEG56" s="389"/>
      <c r="GEH56" s="389"/>
      <c r="GEQ56" s="389"/>
      <c r="GER56" s="389"/>
      <c r="GFA56" s="389"/>
      <c r="GFB56" s="389"/>
      <c r="GFK56" s="389"/>
      <c r="GFL56" s="389"/>
      <c r="GFU56" s="389"/>
      <c r="GFV56" s="389"/>
      <c r="GGE56" s="389"/>
      <c r="GGF56" s="389"/>
      <c r="GGO56" s="389"/>
      <c r="GGP56" s="389"/>
      <c r="GGY56" s="389"/>
      <c r="GGZ56" s="389"/>
      <c r="GHI56" s="389"/>
      <c r="GHJ56" s="389"/>
      <c r="GHS56" s="389"/>
      <c r="GHT56" s="389"/>
      <c r="GIC56" s="389"/>
      <c r="GID56" s="389"/>
      <c r="GIM56" s="389"/>
      <c r="GIN56" s="389"/>
      <c r="GIW56" s="389"/>
      <c r="GIX56" s="389"/>
      <c r="GJG56" s="389"/>
      <c r="GJH56" s="389"/>
      <c r="GJQ56" s="389"/>
      <c r="GJR56" s="389"/>
      <c r="GKA56" s="389"/>
      <c r="GKB56" s="389"/>
      <c r="GKK56" s="389"/>
      <c r="GKL56" s="389"/>
      <c r="GKU56" s="389"/>
      <c r="GKV56" s="389"/>
      <c r="GLE56" s="389"/>
      <c r="GLF56" s="389"/>
      <c r="GLO56" s="389"/>
      <c r="GLP56" s="389"/>
      <c r="GLY56" s="389"/>
      <c r="GLZ56" s="389"/>
      <c r="GMI56" s="389"/>
      <c r="GMJ56" s="389"/>
      <c r="GMS56" s="389"/>
      <c r="GMT56" s="389"/>
      <c r="GNC56" s="389"/>
      <c r="GND56" s="389"/>
      <c r="GNM56" s="389"/>
      <c r="GNN56" s="389"/>
      <c r="GNW56" s="389"/>
      <c r="GNX56" s="389"/>
      <c r="GOG56" s="389"/>
      <c r="GOH56" s="389"/>
      <c r="GOQ56" s="389"/>
      <c r="GOR56" s="389"/>
      <c r="GPA56" s="389"/>
      <c r="GPB56" s="389"/>
      <c r="GPK56" s="389"/>
      <c r="GPL56" s="389"/>
      <c r="GPU56" s="389"/>
      <c r="GPV56" s="389"/>
      <c r="GQE56" s="389"/>
      <c r="GQF56" s="389"/>
      <c r="GQO56" s="389"/>
      <c r="GQP56" s="389"/>
      <c r="GQY56" s="389"/>
      <c r="GQZ56" s="389"/>
      <c r="GRI56" s="389"/>
      <c r="GRJ56" s="389"/>
      <c r="GRS56" s="389"/>
      <c r="GRT56" s="389"/>
      <c r="GSC56" s="389"/>
      <c r="GSD56" s="389"/>
      <c r="GSM56" s="389"/>
      <c r="GSN56" s="389"/>
      <c r="GSW56" s="389"/>
      <c r="GSX56" s="389"/>
      <c r="GTG56" s="389"/>
      <c r="GTH56" s="389"/>
      <c r="GTQ56" s="389"/>
      <c r="GTR56" s="389"/>
      <c r="GUA56" s="389"/>
      <c r="GUB56" s="389"/>
      <c r="GUK56" s="389"/>
      <c r="GUL56" s="389"/>
      <c r="GUU56" s="389"/>
      <c r="GUV56" s="389"/>
      <c r="GVE56" s="389"/>
      <c r="GVF56" s="389"/>
      <c r="GVO56" s="389"/>
      <c r="GVP56" s="389"/>
      <c r="GVY56" s="389"/>
      <c r="GVZ56" s="389"/>
      <c r="GWI56" s="389"/>
      <c r="GWJ56" s="389"/>
      <c r="GWS56" s="389"/>
      <c r="GWT56" s="389"/>
      <c r="GXC56" s="389"/>
      <c r="GXD56" s="389"/>
      <c r="GXM56" s="389"/>
      <c r="GXN56" s="389"/>
      <c r="GXW56" s="389"/>
      <c r="GXX56" s="389"/>
      <c r="GYG56" s="389"/>
      <c r="GYH56" s="389"/>
      <c r="GYQ56" s="389"/>
      <c r="GYR56" s="389"/>
      <c r="GZA56" s="389"/>
      <c r="GZB56" s="389"/>
      <c r="GZK56" s="389"/>
      <c r="GZL56" s="389"/>
      <c r="GZU56" s="389"/>
      <c r="GZV56" s="389"/>
      <c r="HAE56" s="389"/>
      <c r="HAF56" s="389"/>
      <c r="HAO56" s="389"/>
      <c r="HAP56" s="389"/>
      <c r="HAY56" s="389"/>
      <c r="HAZ56" s="389"/>
      <c r="HBI56" s="389"/>
      <c r="HBJ56" s="389"/>
      <c r="HBS56" s="389"/>
      <c r="HBT56" s="389"/>
      <c r="HCC56" s="389"/>
      <c r="HCD56" s="389"/>
      <c r="HCM56" s="389"/>
      <c r="HCN56" s="389"/>
      <c r="HCW56" s="389"/>
      <c r="HCX56" s="389"/>
      <c r="HDG56" s="389"/>
      <c r="HDH56" s="389"/>
      <c r="HDQ56" s="389"/>
      <c r="HDR56" s="389"/>
      <c r="HEA56" s="389"/>
      <c r="HEB56" s="389"/>
      <c r="HEK56" s="389"/>
      <c r="HEL56" s="389"/>
      <c r="HEU56" s="389"/>
      <c r="HEV56" s="389"/>
      <c r="HFE56" s="389"/>
      <c r="HFF56" s="389"/>
      <c r="HFO56" s="389"/>
      <c r="HFP56" s="389"/>
      <c r="HFY56" s="389"/>
      <c r="HFZ56" s="389"/>
      <c r="HGI56" s="389"/>
      <c r="HGJ56" s="389"/>
      <c r="HGS56" s="389"/>
      <c r="HGT56" s="389"/>
      <c r="HHC56" s="389"/>
      <c r="HHD56" s="389"/>
      <c r="HHM56" s="389"/>
      <c r="HHN56" s="389"/>
      <c r="HHW56" s="389"/>
      <c r="HHX56" s="389"/>
      <c r="HIG56" s="389"/>
      <c r="HIH56" s="389"/>
      <c r="HIQ56" s="389"/>
      <c r="HIR56" s="389"/>
      <c r="HJA56" s="389"/>
      <c r="HJB56" s="389"/>
      <c r="HJK56" s="389"/>
      <c r="HJL56" s="389"/>
      <c r="HJU56" s="389"/>
      <c r="HJV56" s="389"/>
      <c r="HKE56" s="389"/>
      <c r="HKF56" s="389"/>
      <c r="HKO56" s="389"/>
      <c r="HKP56" s="389"/>
      <c r="HKY56" s="389"/>
      <c r="HKZ56" s="389"/>
      <c r="HLI56" s="389"/>
      <c r="HLJ56" s="389"/>
      <c r="HLS56" s="389"/>
      <c r="HLT56" s="389"/>
      <c r="HMC56" s="389"/>
      <c r="HMD56" s="389"/>
      <c r="HMM56" s="389"/>
      <c r="HMN56" s="389"/>
      <c r="HMW56" s="389"/>
      <c r="HMX56" s="389"/>
      <c r="HNG56" s="389"/>
      <c r="HNH56" s="389"/>
      <c r="HNQ56" s="389"/>
      <c r="HNR56" s="389"/>
      <c r="HOA56" s="389"/>
      <c r="HOB56" s="389"/>
      <c r="HOK56" s="389"/>
      <c r="HOL56" s="389"/>
      <c r="HOU56" s="389"/>
      <c r="HOV56" s="389"/>
      <c r="HPE56" s="389"/>
      <c r="HPF56" s="389"/>
      <c r="HPO56" s="389"/>
      <c r="HPP56" s="389"/>
      <c r="HPY56" s="389"/>
      <c r="HPZ56" s="389"/>
      <c r="HQI56" s="389"/>
      <c r="HQJ56" s="389"/>
      <c r="HQS56" s="389"/>
      <c r="HQT56" s="389"/>
      <c r="HRC56" s="389"/>
      <c r="HRD56" s="389"/>
      <c r="HRM56" s="389"/>
      <c r="HRN56" s="389"/>
      <c r="HRW56" s="389"/>
      <c r="HRX56" s="389"/>
      <c r="HSG56" s="389"/>
      <c r="HSH56" s="389"/>
      <c r="HSQ56" s="389"/>
      <c r="HSR56" s="389"/>
      <c r="HTA56" s="389"/>
      <c r="HTB56" s="389"/>
      <c r="HTK56" s="389"/>
      <c r="HTL56" s="389"/>
      <c r="HTU56" s="389"/>
      <c r="HTV56" s="389"/>
      <c r="HUE56" s="389"/>
      <c r="HUF56" s="389"/>
      <c r="HUO56" s="389"/>
      <c r="HUP56" s="389"/>
      <c r="HUY56" s="389"/>
      <c r="HUZ56" s="389"/>
      <c r="HVI56" s="389"/>
      <c r="HVJ56" s="389"/>
      <c r="HVS56" s="389"/>
      <c r="HVT56" s="389"/>
      <c r="HWC56" s="389"/>
      <c r="HWD56" s="389"/>
      <c r="HWM56" s="389"/>
      <c r="HWN56" s="389"/>
      <c r="HWW56" s="389"/>
      <c r="HWX56" s="389"/>
      <c r="HXG56" s="389"/>
      <c r="HXH56" s="389"/>
      <c r="HXQ56" s="389"/>
      <c r="HXR56" s="389"/>
      <c r="HYA56" s="389"/>
      <c r="HYB56" s="389"/>
      <c r="HYK56" s="389"/>
      <c r="HYL56" s="389"/>
      <c r="HYU56" s="389"/>
      <c r="HYV56" s="389"/>
      <c r="HZE56" s="389"/>
      <c r="HZF56" s="389"/>
      <c r="HZO56" s="389"/>
      <c r="HZP56" s="389"/>
      <c r="HZY56" s="389"/>
      <c r="HZZ56" s="389"/>
      <c r="IAI56" s="389"/>
      <c r="IAJ56" s="389"/>
      <c r="IAS56" s="389"/>
      <c r="IAT56" s="389"/>
      <c r="IBC56" s="389"/>
      <c r="IBD56" s="389"/>
      <c r="IBM56" s="389"/>
      <c r="IBN56" s="389"/>
      <c r="IBW56" s="389"/>
      <c r="IBX56" s="389"/>
      <c r="ICG56" s="389"/>
      <c r="ICH56" s="389"/>
      <c r="ICQ56" s="389"/>
      <c r="ICR56" s="389"/>
      <c r="IDA56" s="389"/>
      <c r="IDB56" s="389"/>
      <c r="IDK56" s="389"/>
      <c r="IDL56" s="389"/>
      <c r="IDU56" s="389"/>
      <c r="IDV56" s="389"/>
      <c r="IEE56" s="389"/>
      <c r="IEF56" s="389"/>
      <c r="IEO56" s="389"/>
      <c r="IEP56" s="389"/>
      <c r="IEY56" s="389"/>
      <c r="IEZ56" s="389"/>
      <c r="IFI56" s="389"/>
      <c r="IFJ56" s="389"/>
      <c r="IFS56" s="389"/>
      <c r="IFT56" s="389"/>
      <c r="IGC56" s="389"/>
      <c r="IGD56" s="389"/>
      <c r="IGM56" s="389"/>
      <c r="IGN56" s="389"/>
      <c r="IGW56" s="389"/>
      <c r="IGX56" s="389"/>
      <c r="IHG56" s="389"/>
      <c r="IHH56" s="389"/>
      <c r="IHQ56" s="389"/>
      <c r="IHR56" s="389"/>
      <c r="IIA56" s="389"/>
      <c r="IIB56" s="389"/>
      <c r="IIK56" s="389"/>
      <c r="IIL56" s="389"/>
      <c r="IIU56" s="389"/>
      <c r="IIV56" s="389"/>
      <c r="IJE56" s="389"/>
      <c r="IJF56" s="389"/>
      <c r="IJO56" s="389"/>
      <c r="IJP56" s="389"/>
      <c r="IJY56" s="389"/>
      <c r="IJZ56" s="389"/>
      <c r="IKI56" s="389"/>
      <c r="IKJ56" s="389"/>
      <c r="IKS56" s="389"/>
      <c r="IKT56" s="389"/>
      <c r="ILC56" s="389"/>
      <c r="ILD56" s="389"/>
      <c r="ILM56" s="389"/>
      <c r="ILN56" s="389"/>
      <c r="ILW56" s="389"/>
      <c r="ILX56" s="389"/>
      <c r="IMG56" s="389"/>
      <c r="IMH56" s="389"/>
      <c r="IMQ56" s="389"/>
      <c r="IMR56" s="389"/>
      <c r="INA56" s="389"/>
      <c r="INB56" s="389"/>
      <c r="INK56" s="389"/>
      <c r="INL56" s="389"/>
      <c r="INU56" s="389"/>
      <c r="INV56" s="389"/>
      <c r="IOE56" s="389"/>
      <c r="IOF56" s="389"/>
      <c r="IOO56" s="389"/>
      <c r="IOP56" s="389"/>
      <c r="IOY56" s="389"/>
      <c r="IOZ56" s="389"/>
      <c r="IPI56" s="389"/>
      <c r="IPJ56" s="389"/>
      <c r="IPS56" s="389"/>
      <c r="IPT56" s="389"/>
      <c r="IQC56" s="389"/>
      <c r="IQD56" s="389"/>
      <c r="IQM56" s="389"/>
      <c r="IQN56" s="389"/>
      <c r="IQW56" s="389"/>
      <c r="IQX56" s="389"/>
      <c r="IRG56" s="389"/>
      <c r="IRH56" s="389"/>
      <c r="IRQ56" s="389"/>
      <c r="IRR56" s="389"/>
      <c r="ISA56" s="389"/>
      <c r="ISB56" s="389"/>
      <c r="ISK56" s="389"/>
      <c r="ISL56" s="389"/>
      <c r="ISU56" s="389"/>
      <c r="ISV56" s="389"/>
      <c r="ITE56" s="389"/>
      <c r="ITF56" s="389"/>
      <c r="ITO56" s="389"/>
      <c r="ITP56" s="389"/>
      <c r="ITY56" s="389"/>
      <c r="ITZ56" s="389"/>
      <c r="IUI56" s="389"/>
      <c r="IUJ56" s="389"/>
      <c r="IUS56" s="389"/>
      <c r="IUT56" s="389"/>
      <c r="IVC56" s="389"/>
      <c r="IVD56" s="389"/>
      <c r="IVM56" s="389"/>
      <c r="IVN56" s="389"/>
      <c r="IVW56" s="389"/>
      <c r="IVX56" s="389"/>
      <c r="IWG56" s="389"/>
      <c r="IWH56" s="389"/>
      <c r="IWQ56" s="389"/>
      <c r="IWR56" s="389"/>
      <c r="IXA56" s="389"/>
      <c r="IXB56" s="389"/>
      <c r="IXK56" s="389"/>
      <c r="IXL56" s="389"/>
      <c r="IXU56" s="389"/>
      <c r="IXV56" s="389"/>
      <c r="IYE56" s="389"/>
      <c r="IYF56" s="389"/>
      <c r="IYO56" s="389"/>
      <c r="IYP56" s="389"/>
      <c r="IYY56" s="389"/>
      <c r="IYZ56" s="389"/>
      <c r="IZI56" s="389"/>
      <c r="IZJ56" s="389"/>
      <c r="IZS56" s="389"/>
      <c r="IZT56" s="389"/>
      <c r="JAC56" s="389"/>
      <c r="JAD56" s="389"/>
      <c r="JAM56" s="389"/>
      <c r="JAN56" s="389"/>
      <c r="JAW56" s="389"/>
      <c r="JAX56" s="389"/>
      <c r="JBG56" s="389"/>
      <c r="JBH56" s="389"/>
      <c r="JBQ56" s="389"/>
      <c r="JBR56" s="389"/>
      <c r="JCA56" s="389"/>
      <c r="JCB56" s="389"/>
      <c r="JCK56" s="389"/>
      <c r="JCL56" s="389"/>
      <c r="JCU56" s="389"/>
      <c r="JCV56" s="389"/>
      <c r="JDE56" s="389"/>
      <c r="JDF56" s="389"/>
      <c r="JDO56" s="389"/>
      <c r="JDP56" s="389"/>
      <c r="JDY56" s="389"/>
      <c r="JDZ56" s="389"/>
      <c r="JEI56" s="389"/>
      <c r="JEJ56" s="389"/>
      <c r="JES56" s="389"/>
      <c r="JET56" s="389"/>
      <c r="JFC56" s="389"/>
      <c r="JFD56" s="389"/>
      <c r="JFM56" s="389"/>
      <c r="JFN56" s="389"/>
      <c r="JFW56" s="389"/>
      <c r="JFX56" s="389"/>
      <c r="JGG56" s="389"/>
      <c r="JGH56" s="389"/>
      <c r="JGQ56" s="389"/>
      <c r="JGR56" s="389"/>
      <c r="JHA56" s="389"/>
      <c r="JHB56" s="389"/>
      <c r="JHK56" s="389"/>
      <c r="JHL56" s="389"/>
      <c r="JHU56" s="389"/>
      <c r="JHV56" s="389"/>
      <c r="JIE56" s="389"/>
      <c r="JIF56" s="389"/>
      <c r="JIO56" s="389"/>
      <c r="JIP56" s="389"/>
      <c r="JIY56" s="389"/>
      <c r="JIZ56" s="389"/>
      <c r="JJI56" s="389"/>
      <c r="JJJ56" s="389"/>
      <c r="JJS56" s="389"/>
      <c r="JJT56" s="389"/>
      <c r="JKC56" s="389"/>
      <c r="JKD56" s="389"/>
      <c r="JKM56" s="389"/>
      <c r="JKN56" s="389"/>
      <c r="JKW56" s="389"/>
      <c r="JKX56" s="389"/>
      <c r="JLG56" s="389"/>
      <c r="JLH56" s="389"/>
      <c r="JLQ56" s="389"/>
      <c r="JLR56" s="389"/>
      <c r="JMA56" s="389"/>
      <c r="JMB56" s="389"/>
      <c r="JMK56" s="389"/>
      <c r="JML56" s="389"/>
      <c r="JMU56" s="389"/>
      <c r="JMV56" s="389"/>
      <c r="JNE56" s="389"/>
      <c r="JNF56" s="389"/>
      <c r="JNO56" s="389"/>
      <c r="JNP56" s="389"/>
      <c r="JNY56" s="389"/>
      <c r="JNZ56" s="389"/>
      <c r="JOI56" s="389"/>
      <c r="JOJ56" s="389"/>
      <c r="JOS56" s="389"/>
      <c r="JOT56" s="389"/>
      <c r="JPC56" s="389"/>
      <c r="JPD56" s="389"/>
      <c r="JPM56" s="389"/>
      <c r="JPN56" s="389"/>
      <c r="JPW56" s="389"/>
      <c r="JPX56" s="389"/>
      <c r="JQG56" s="389"/>
      <c r="JQH56" s="389"/>
      <c r="JQQ56" s="389"/>
      <c r="JQR56" s="389"/>
      <c r="JRA56" s="389"/>
      <c r="JRB56" s="389"/>
      <c r="JRK56" s="389"/>
      <c r="JRL56" s="389"/>
      <c r="JRU56" s="389"/>
      <c r="JRV56" s="389"/>
      <c r="JSE56" s="389"/>
      <c r="JSF56" s="389"/>
      <c r="JSO56" s="389"/>
      <c r="JSP56" s="389"/>
      <c r="JSY56" s="389"/>
      <c r="JSZ56" s="389"/>
      <c r="JTI56" s="389"/>
      <c r="JTJ56" s="389"/>
      <c r="JTS56" s="389"/>
      <c r="JTT56" s="389"/>
      <c r="JUC56" s="389"/>
      <c r="JUD56" s="389"/>
      <c r="JUM56" s="389"/>
      <c r="JUN56" s="389"/>
      <c r="JUW56" s="389"/>
      <c r="JUX56" s="389"/>
      <c r="JVG56" s="389"/>
      <c r="JVH56" s="389"/>
      <c r="JVQ56" s="389"/>
      <c r="JVR56" s="389"/>
      <c r="JWA56" s="389"/>
      <c r="JWB56" s="389"/>
      <c r="JWK56" s="389"/>
      <c r="JWL56" s="389"/>
      <c r="JWU56" s="389"/>
      <c r="JWV56" s="389"/>
      <c r="JXE56" s="389"/>
      <c r="JXF56" s="389"/>
      <c r="JXO56" s="389"/>
      <c r="JXP56" s="389"/>
      <c r="JXY56" s="389"/>
      <c r="JXZ56" s="389"/>
      <c r="JYI56" s="389"/>
      <c r="JYJ56" s="389"/>
      <c r="JYS56" s="389"/>
      <c r="JYT56" s="389"/>
      <c r="JZC56" s="389"/>
      <c r="JZD56" s="389"/>
      <c r="JZM56" s="389"/>
      <c r="JZN56" s="389"/>
      <c r="JZW56" s="389"/>
      <c r="JZX56" s="389"/>
      <c r="KAG56" s="389"/>
      <c r="KAH56" s="389"/>
      <c r="KAQ56" s="389"/>
      <c r="KAR56" s="389"/>
      <c r="KBA56" s="389"/>
      <c r="KBB56" s="389"/>
      <c r="KBK56" s="389"/>
      <c r="KBL56" s="389"/>
      <c r="KBU56" s="389"/>
      <c r="KBV56" s="389"/>
      <c r="KCE56" s="389"/>
      <c r="KCF56" s="389"/>
      <c r="KCO56" s="389"/>
      <c r="KCP56" s="389"/>
      <c r="KCY56" s="389"/>
      <c r="KCZ56" s="389"/>
      <c r="KDI56" s="389"/>
      <c r="KDJ56" s="389"/>
      <c r="KDS56" s="389"/>
      <c r="KDT56" s="389"/>
      <c r="KEC56" s="389"/>
      <c r="KED56" s="389"/>
      <c r="KEM56" s="389"/>
      <c r="KEN56" s="389"/>
      <c r="KEW56" s="389"/>
      <c r="KEX56" s="389"/>
      <c r="KFG56" s="389"/>
      <c r="KFH56" s="389"/>
      <c r="KFQ56" s="389"/>
      <c r="KFR56" s="389"/>
      <c r="KGA56" s="389"/>
      <c r="KGB56" s="389"/>
      <c r="KGK56" s="389"/>
      <c r="KGL56" s="389"/>
      <c r="KGU56" s="389"/>
      <c r="KGV56" s="389"/>
      <c r="KHE56" s="389"/>
      <c r="KHF56" s="389"/>
      <c r="KHO56" s="389"/>
      <c r="KHP56" s="389"/>
      <c r="KHY56" s="389"/>
      <c r="KHZ56" s="389"/>
      <c r="KII56" s="389"/>
      <c r="KIJ56" s="389"/>
      <c r="KIS56" s="389"/>
      <c r="KIT56" s="389"/>
      <c r="KJC56" s="389"/>
      <c r="KJD56" s="389"/>
      <c r="KJM56" s="389"/>
      <c r="KJN56" s="389"/>
      <c r="KJW56" s="389"/>
      <c r="KJX56" s="389"/>
      <c r="KKG56" s="389"/>
      <c r="KKH56" s="389"/>
      <c r="KKQ56" s="389"/>
      <c r="KKR56" s="389"/>
      <c r="KLA56" s="389"/>
      <c r="KLB56" s="389"/>
      <c r="KLK56" s="389"/>
      <c r="KLL56" s="389"/>
      <c r="KLU56" s="389"/>
      <c r="KLV56" s="389"/>
      <c r="KME56" s="389"/>
      <c r="KMF56" s="389"/>
      <c r="KMO56" s="389"/>
      <c r="KMP56" s="389"/>
      <c r="KMY56" s="389"/>
      <c r="KMZ56" s="389"/>
      <c r="KNI56" s="389"/>
      <c r="KNJ56" s="389"/>
      <c r="KNS56" s="389"/>
      <c r="KNT56" s="389"/>
      <c r="KOC56" s="389"/>
      <c r="KOD56" s="389"/>
      <c r="KOM56" s="389"/>
      <c r="KON56" s="389"/>
      <c r="KOW56" s="389"/>
      <c r="KOX56" s="389"/>
      <c r="KPG56" s="389"/>
      <c r="KPH56" s="389"/>
      <c r="KPQ56" s="389"/>
      <c r="KPR56" s="389"/>
      <c r="KQA56" s="389"/>
      <c r="KQB56" s="389"/>
      <c r="KQK56" s="389"/>
      <c r="KQL56" s="389"/>
      <c r="KQU56" s="389"/>
      <c r="KQV56" s="389"/>
      <c r="KRE56" s="389"/>
      <c r="KRF56" s="389"/>
      <c r="KRO56" s="389"/>
      <c r="KRP56" s="389"/>
      <c r="KRY56" s="389"/>
      <c r="KRZ56" s="389"/>
      <c r="KSI56" s="389"/>
      <c r="KSJ56" s="389"/>
      <c r="KSS56" s="389"/>
      <c r="KST56" s="389"/>
      <c r="KTC56" s="389"/>
      <c r="KTD56" s="389"/>
      <c r="KTM56" s="389"/>
      <c r="KTN56" s="389"/>
      <c r="KTW56" s="389"/>
      <c r="KTX56" s="389"/>
      <c r="KUG56" s="389"/>
      <c r="KUH56" s="389"/>
      <c r="KUQ56" s="389"/>
      <c r="KUR56" s="389"/>
      <c r="KVA56" s="389"/>
      <c r="KVB56" s="389"/>
      <c r="KVK56" s="389"/>
      <c r="KVL56" s="389"/>
      <c r="KVU56" s="389"/>
      <c r="KVV56" s="389"/>
      <c r="KWE56" s="389"/>
      <c r="KWF56" s="389"/>
      <c r="KWO56" s="389"/>
      <c r="KWP56" s="389"/>
      <c r="KWY56" s="389"/>
      <c r="KWZ56" s="389"/>
      <c r="KXI56" s="389"/>
      <c r="KXJ56" s="389"/>
      <c r="KXS56" s="389"/>
      <c r="KXT56" s="389"/>
      <c r="KYC56" s="389"/>
      <c r="KYD56" s="389"/>
      <c r="KYM56" s="389"/>
      <c r="KYN56" s="389"/>
      <c r="KYW56" s="389"/>
      <c r="KYX56" s="389"/>
      <c r="KZG56" s="389"/>
      <c r="KZH56" s="389"/>
      <c r="KZQ56" s="389"/>
      <c r="KZR56" s="389"/>
      <c r="LAA56" s="389"/>
      <c r="LAB56" s="389"/>
      <c r="LAK56" s="389"/>
      <c r="LAL56" s="389"/>
      <c r="LAU56" s="389"/>
      <c r="LAV56" s="389"/>
      <c r="LBE56" s="389"/>
      <c r="LBF56" s="389"/>
      <c r="LBO56" s="389"/>
      <c r="LBP56" s="389"/>
      <c r="LBY56" s="389"/>
      <c r="LBZ56" s="389"/>
      <c r="LCI56" s="389"/>
      <c r="LCJ56" s="389"/>
      <c r="LCS56" s="389"/>
      <c r="LCT56" s="389"/>
      <c r="LDC56" s="389"/>
      <c r="LDD56" s="389"/>
      <c r="LDM56" s="389"/>
      <c r="LDN56" s="389"/>
      <c r="LDW56" s="389"/>
      <c r="LDX56" s="389"/>
      <c r="LEG56" s="389"/>
      <c r="LEH56" s="389"/>
      <c r="LEQ56" s="389"/>
      <c r="LER56" s="389"/>
      <c r="LFA56" s="389"/>
      <c r="LFB56" s="389"/>
      <c r="LFK56" s="389"/>
      <c r="LFL56" s="389"/>
      <c r="LFU56" s="389"/>
      <c r="LFV56" s="389"/>
      <c r="LGE56" s="389"/>
      <c r="LGF56" s="389"/>
      <c r="LGO56" s="389"/>
      <c r="LGP56" s="389"/>
      <c r="LGY56" s="389"/>
      <c r="LGZ56" s="389"/>
      <c r="LHI56" s="389"/>
      <c r="LHJ56" s="389"/>
      <c r="LHS56" s="389"/>
      <c r="LHT56" s="389"/>
      <c r="LIC56" s="389"/>
      <c r="LID56" s="389"/>
      <c r="LIM56" s="389"/>
      <c r="LIN56" s="389"/>
      <c r="LIW56" s="389"/>
      <c r="LIX56" s="389"/>
      <c r="LJG56" s="389"/>
      <c r="LJH56" s="389"/>
      <c r="LJQ56" s="389"/>
      <c r="LJR56" s="389"/>
      <c r="LKA56" s="389"/>
      <c r="LKB56" s="389"/>
      <c r="LKK56" s="389"/>
      <c r="LKL56" s="389"/>
      <c r="LKU56" s="389"/>
      <c r="LKV56" s="389"/>
      <c r="LLE56" s="389"/>
      <c r="LLF56" s="389"/>
      <c r="LLO56" s="389"/>
      <c r="LLP56" s="389"/>
      <c r="LLY56" s="389"/>
      <c r="LLZ56" s="389"/>
      <c r="LMI56" s="389"/>
      <c r="LMJ56" s="389"/>
      <c r="LMS56" s="389"/>
      <c r="LMT56" s="389"/>
      <c r="LNC56" s="389"/>
      <c r="LND56" s="389"/>
      <c r="LNM56" s="389"/>
      <c r="LNN56" s="389"/>
      <c r="LNW56" s="389"/>
      <c r="LNX56" s="389"/>
      <c r="LOG56" s="389"/>
      <c r="LOH56" s="389"/>
      <c r="LOQ56" s="389"/>
      <c r="LOR56" s="389"/>
      <c r="LPA56" s="389"/>
      <c r="LPB56" s="389"/>
      <c r="LPK56" s="389"/>
      <c r="LPL56" s="389"/>
      <c r="LPU56" s="389"/>
      <c r="LPV56" s="389"/>
      <c r="LQE56" s="389"/>
      <c r="LQF56" s="389"/>
      <c r="LQO56" s="389"/>
      <c r="LQP56" s="389"/>
      <c r="LQY56" s="389"/>
      <c r="LQZ56" s="389"/>
      <c r="LRI56" s="389"/>
      <c r="LRJ56" s="389"/>
      <c r="LRS56" s="389"/>
      <c r="LRT56" s="389"/>
      <c r="LSC56" s="389"/>
      <c r="LSD56" s="389"/>
      <c r="LSM56" s="389"/>
      <c r="LSN56" s="389"/>
      <c r="LSW56" s="389"/>
      <c r="LSX56" s="389"/>
      <c r="LTG56" s="389"/>
      <c r="LTH56" s="389"/>
      <c r="LTQ56" s="389"/>
      <c r="LTR56" s="389"/>
      <c r="LUA56" s="389"/>
      <c r="LUB56" s="389"/>
      <c r="LUK56" s="389"/>
      <c r="LUL56" s="389"/>
      <c r="LUU56" s="389"/>
      <c r="LUV56" s="389"/>
      <c r="LVE56" s="389"/>
      <c r="LVF56" s="389"/>
      <c r="LVO56" s="389"/>
      <c r="LVP56" s="389"/>
      <c r="LVY56" s="389"/>
      <c r="LVZ56" s="389"/>
      <c r="LWI56" s="389"/>
      <c r="LWJ56" s="389"/>
      <c r="LWS56" s="389"/>
      <c r="LWT56" s="389"/>
      <c r="LXC56" s="389"/>
      <c r="LXD56" s="389"/>
      <c r="LXM56" s="389"/>
      <c r="LXN56" s="389"/>
      <c r="LXW56" s="389"/>
      <c r="LXX56" s="389"/>
      <c r="LYG56" s="389"/>
      <c r="LYH56" s="389"/>
      <c r="LYQ56" s="389"/>
      <c r="LYR56" s="389"/>
      <c r="LZA56" s="389"/>
      <c r="LZB56" s="389"/>
      <c r="LZK56" s="389"/>
      <c r="LZL56" s="389"/>
      <c r="LZU56" s="389"/>
      <c r="LZV56" s="389"/>
      <c r="MAE56" s="389"/>
      <c r="MAF56" s="389"/>
      <c r="MAO56" s="389"/>
      <c r="MAP56" s="389"/>
      <c r="MAY56" s="389"/>
      <c r="MAZ56" s="389"/>
      <c r="MBI56" s="389"/>
      <c r="MBJ56" s="389"/>
      <c r="MBS56" s="389"/>
      <c r="MBT56" s="389"/>
      <c r="MCC56" s="389"/>
      <c r="MCD56" s="389"/>
      <c r="MCM56" s="389"/>
      <c r="MCN56" s="389"/>
      <c r="MCW56" s="389"/>
      <c r="MCX56" s="389"/>
      <c r="MDG56" s="389"/>
      <c r="MDH56" s="389"/>
      <c r="MDQ56" s="389"/>
      <c r="MDR56" s="389"/>
      <c r="MEA56" s="389"/>
      <c r="MEB56" s="389"/>
      <c r="MEK56" s="389"/>
      <c r="MEL56" s="389"/>
      <c r="MEU56" s="389"/>
      <c r="MEV56" s="389"/>
      <c r="MFE56" s="389"/>
      <c r="MFF56" s="389"/>
      <c r="MFO56" s="389"/>
      <c r="MFP56" s="389"/>
      <c r="MFY56" s="389"/>
      <c r="MFZ56" s="389"/>
      <c r="MGI56" s="389"/>
      <c r="MGJ56" s="389"/>
      <c r="MGS56" s="389"/>
      <c r="MGT56" s="389"/>
      <c r="MHC56" s="389"/>
      <c r="MHD56" s="389"/>
      <c r="MHM56" s="389"/>
      <c r="MHN56" s="389"/>
      <c r="MHW56" s="389"/>
      <c r="MHX56" s="389"/>
      <c r="MIG56" s="389"/>
      <c r="MIH56" s="389"/>
      <c r="MIQ56" s="389"/>
      <c r="MIR56" s="389"/>
      <c r="MJA56" s="389"/>
      <c r="MJB56" s="389"/>
      <c r="MJK56" s="389"/>
      <c r="MJL56" s="389"/>
      <c r="MJU56" s="389"/>
      <c r="MJV56" s="389"/>
      <c r="MKE56" s="389"/>
      <c r="MKF56" s="389"/>
      <c r="MKO56" s="389"/>
      <c r="MKP56" s="389"/>
      <c r="MKY56" s="389"/>
      <c r="MKZ56" s="389"/>
      <c r="MLI56" s="389"/>
      <c r="MLJ56" s="389"/>
      <c r="MLS56" s="389"/>
      <c r="MLT56" s="389"/>
      <c r="MMC56" s="389"/>
      <c r="MMD56" s="389"/>
      <c r="MMM56" s="389"/>
      <c r="MMN56" s="389"/>
      <c r="MMW56" s="389"/>
      <c r="MMX56" s="389"/>
      <c r="MNG56" s="389"/>
      <c r="MNH56" s="389"/>
      <c r="MNQ56" s="389"/>
      <c r="MNR56" s="389"/>
      <c r="MOA56" s="389"/>
      <c r="MOB56" s="389"/>
      <c r="MOK56" s="389"/>
      <c r="MOL56" s="389"/>
      <c r="MOU56" s="389"/>
      <c r="MOV56" s="389"/>
      <c r="MPE56" s="389"/>
      <c r="MPF56" s="389"/>
      <c r="MPO56" s="389"/>
      <c r="MPP56" s="389"/>
      <c r="MPY56" s="389"/>
      <c r="MPZ56" s="389"/>
      <c r="MQI56" s="389"/>
      <c r="MQJ56" s="389"/>
      <c r="MQS56" s="389"/>
      <c r="MQT56" s="389"/>
      <c r="MRC56" s="389"/>
      <c r="MRD56" s="389"/>
      <c r="MRM56" s="389"/>
      <c r="MRN56" s="389"/>
      <c r="MRW56" s="389"/>
      <c r="MRX56" s="389"/>
      <c r="MSG56" s="389"/>
      <c r="MSH56" s="389"/>
      <c r="MSQ56" s="389"/>
      <c r="MSR56" s="389"/>
      <c r="MTA56" s="389"/>
      <c r="MTB56" s="389"/>
      <c r="MTK56" s="389"/>
      <c r="MTL56" s="389"/>
      <c r="MTU56" s="389"/>
      <c r="MTV56" s="389"/>
      <c r="MUE56" s="389"/>
      <c r="MUF56" s="389"/>
      <c r="MUO56" s="389"/>
      <c r="MUP56" s="389"/>
      <c r="MUY56" s="389"/>
      <c r="MUZ56" s="389"/>
      <c r="MVI56" s="389"/>
      <c r="MVJ56" s="389"/>
      <c r="MVS56" s="389"/>
      <c r="MVT56" s="389"/>
      <c r="MWC56" s="389"/>
      <c r="MWD56" s="389"/>
      <c r="MWM56" s="389"/>
      <c r="MWN56" s="389"/>
      <c r="MWW56" s="389"/>
      <c r="MWX56" s="389"/>
      <c r="MXG56" s="389"/>
      <c r="MXH56" s="389"/>
      <c r="MXQ56" s="389"/>
      <c r="MXR56" s="389"/>
      <c r="MYA56" s="389"/>
      <c r="MYB56" s="389"/>
      <c r="MYK56" s="389"/>
      <c r="MYL56" s="389"/>
      <c r="MYU56" s="389"/>
      <c r="MYV56" s="389"/>
      <c r="MZE56" s="389"/>
      <c r="MZF56" s="389"/>
      <c r="MZO56" s="389"/>
      <c r="MZP56" s="389"/>
      <c r="MZY56" s="389"/>
      <c r="MZZ56" s="389"/>
      <c r="NAI56" s="389"/>
      <c r="NAJ56" s="389"/>
      <c r="NAS56" s="389"/>
      <c r="NAT56" s="389"/>
      <c r="NBC56" s="389"/>
      <c r="NBD56" s="389"/>
      <c r="NBM56" s="389"/>
      <c r="NBN56" s="389"/>
      <c r="NBW56" s="389"/>
      <c r="NBX56" s="389"/>
      <c r="NCG56" s="389"/>
      <c r="NCH56" s="389"/>
      <c r="NCQ56" s="389"/>
      <c r="NCR56" s="389"/>
      <c r="NDA56" s="389"/>
      <c r="NDB56" s="389"/>
      <c r="NDK56" s="389"/>
      <c r="NDL56" s="389"/>
      <c r="NDU56" s="389"/>
      <c r="NDV56" s="389"/>
      <c r="NEE56" s="389"/>
      <c r="NEF56" s="389"/>
      <c r="NEO56" s="389"/>
      <c r="NEP56" s="389"/>
      <c r="NEY56" s="389"/>
      <c r="NEZ56" s="389"/>
      <c r="NFI56" s="389"/>
      <c r="NFJ56" s="389"/>
      <c r="NFS56" s="389"/>
      <c r="NFT56" s="389"/>
      <c r="NGC56" s="389"/>
      <c r="NGD56" s="389"/>
      <c r="NGM56" s="389"/>
      <c r="NGN56" s="389"/>
      <c r="NGW56" s="389"/>
      <c r="NGX56" s="389"/>
      <c r="NHG56" s="389"/>
      <c r="NHH56" s="389"/>
      <c r="NHQ56" s="389"/>
      <c r="NHR56" s="389"/>
      <c r="NIA56" s="389"/>
      <c r="NIB56" s="389"/>
      <c r="NIK56" s="389"/>
      <c r="NIL56" s="389"/>
      <c r="NIU56" s="389"/>
      <c r="NIV56" s="389"/>
      <c r="NJE56" s="389"/>
      <c r="NJF56" s="389"/>
      <c r="NJO56" s="389"/>
      <c r="NJP56" s="389"/>
      <c r="NJY56" s="389"/>
      <c r="NJZ56" s="389"/>
      <c r="NKI56" s="389"/>
      <c r="NKJ56" s="389"/>
      <c r="NKS56" s="389"/>
      <c r="NKT56" s="389"/>
      <c r="NLC56" s="389"/>
      <c r="NLD56" s="389"/>
      <c r="NLM56" s="389"/>
      <c r="NLN56" s="389"/>
      <c r="NLW56" s="389"/>
      <c r="NLX56" s="389"/>
      <c r="NMG56" s="389"/>
      <c r="NMH56" s="389"/>
      <c r="NMQ56" s="389"/>
      <c r="NMR56" s="389"/>
      <c r="NNA56" s="389"/>
      <c r="NNB56" s="389"/>
      <c r="NNK56" s="389"/>
      <c r="NNL56" s="389"/>
      <c r="NNU56" s="389"/>
      <c r="NNV56" s="389"/>
      <c r="NOE56" s="389"/>
      <c r="NOF56" s="389"/>
      <c r="NOO56" s="389"/>
      <c r="NOP56" s="389"/>
      <c r="NOY56" s="389"/>
      <c r="NOZ56" s="389"/>
      <c r="NPI56" s="389"/>
      <c r="NPJ56" s="389"/>
      <c r="NPS56" s="389"/>
      <c r="NPT56" s="389"/>
      <c r="NQC56" s="389"/>
      <c r="NQD56" s="389"/>
      <c r="NQM56" s="389"/>
      <c r="NQN56" s="389"/>
      <c r="NQW56" s="389"/>
      <c r="NQX56" s="389"/>
      <c r="NRG56" s="389"/>
      <c r="NRH56" s="389"/>
      <c r="NRQ56" s="389"/>
      <c r="NRR56" s="389"/>
      <c r="NSA56" s="389"/>
      <c r="NSB56" s="389"/>
      <c r="NSK56" s="389"/>
      <c r="NSL56" s="389"/>
      <c r="NSU56" s="389"/>
      <c r="NSV56" s="389"/>
      <c r="NTE56" s="389"/>
      <c r="NTF56" s="389"/>
      <c r="NTO56" s="389"/>
      <c r="NTP56" s="389"/>
      <c r="NTY56" s="389"/>
      <c r="NTZ56" s="389"/>
      <c r="NUI56" s="389"/>
      <c r="NUJ56" s="389"/>
      <c r="NUS56" s="389"/>
      <c r="NUT56" s="389"/>
      <c r="NVC56" s="389"/>
      <c r="NVD56" s="389"/>
      <c r="NVM56" s="389"/>
      <c r="NVN56" s="389"/>
      <c r="NVW56" s="389"/>
      <c r="NVX56" s="389"/>
      <c r="NWG56" s="389"/>
      <c r="NWH56" s="389"/>
      <c r="NWQ56" s="389"/>
      <c r="NWR56" s="389"/>
      <c r="NXA56" s="389"/>
      <c r="NXB56" s="389"/>
      <c r="NXK56" s="389"/>
      <c r="NXL56" s="389"/>
      <c r="NXU56" s="389"/>
      <c r="NXV56" s="389"/>
      <c r="NYE56" s="389"/>
      <c r="NYF56" s="389"/>
      <c r="NYO56" s="389"/>
      <c r="NYP56" s="389"/>
      <c r="NYY56" s="389"/>
      <c r="NYZ56" s="389"/>
      <c r="NZI56" s="389"/>
      <c r="NZJ56" s="389"/>
      <c r="NZS56" s="389"/>
      <c r="NZT56" s="389"/>
      <c r="OAC56" s="389"/>
      <c r="OAD56" s="389"/>
      <c r="OAM56" s="389"/>
      <c r="OAN56" s="389"/>
      <c r="OAW56" s="389"/>
      <c r="OAX56" s="389"/>
      <c r="OBG56" s="389"/>
      <c r="OBH56" s="389"/>
      <c r="OBQ56" s="389"/>
      <c r="OBR56" s="389"/>
      <c r="OCA56" s="389"/>
      <c r="OCB56" s="389"/>
      <c r="OCK56" s="389"/>
      <c r="OCL56" s="389"/>
      <c r="OCU56" s="389"/>
      <c r="OCV56" s="389"/>
      <c r="ODE56" s="389"/>
      <c r="ODF56" s="389"/>
      <c r="ODO56" s="389"/>
      <c r="ODP56" s="389"/>
      <c r="ODY56" s="389"/>
      <c r="ODZ56" s="389"/>
      <c r="OEI56" s="389"/>
      <c r="OEJ56" s="389"/>
      <c r="OES56" s="389"/>
      <c r="OET56" s="389"/>
      <c r="OFC56" s="389"/>
      <c r="OFD56" s="389"/>
      <c r="OFM56" s="389"/>
      <c r="OFN56" s="389"/>
      <c r="OFW56" s="389"/>
      <c r="OFX56" s="389"/>
      <c r="OGG56" s="389"/>
      <c r="OGH56" s="389"/>
      <c r="OGQ56" s="389"/>
      <c r="OGR56" s="389"/>
      <c r="OHA56" s="389"/>
      <c r="OHB56" s="389"/>
      <c r="OHK56" s="389"/>
      <c r="OHL56" s="389"/>
      <c r="OHU56" s="389"/>
      <c r="OHV56" s="389"/>
      <c r="OIE56" s="389"/>
      <c r="OIF56" s="389"/>
      <c r="OIO56" s="389"/>
      <c r="OIP56" s="389"/>
      <c r="OIY56" s="389"/>
      <c r="OIZ56" s="389"/>
      <c r="OJI56" s="389"/>
      <c r="OJJ56" s="389"/>
      <c r="OJS56" s="389"/>
      <c r="OJT56" s="389"/>
      <c r="OKC56" s="389"/>
      <c r="OKD56" s="389"/>
      <c r="OKM56" s="389"/>
      <c r="OKN56" s="389"/>
      <c r="OKW56" s="389"/>
      <c r="OKX56" s="389"/>
      <c r="OLG56" s="389"/>
      <c r="OLH56" s="389"/>
      <c r="OLQ56" s="389"/>
      <c r="OLR56" s="389"/>
      <c r="OMA56" s="389"/>
      <c r="OMB56" s="389"/>
      <c r="OMK56" s="389"/>
      <c r="OML56" s="389"/>
      <c r="OMU56" s="389"/>
      <c r="OMV56" s="389"/>
      <c r="ONE56" s="389"/>
      <c r="ONF56" s="389"/>
      <c r="ONO56" s="389"/>
      <c r="ONP56" s="389"/>
      <c r="ONY56" s="389"/>
      <c r="ONZ56" s="389"/>
      <c r="OOI56" s="389"/>
      <c r="OOJ56" s="389"/>
      <c r="OOS56" s="389"/>
      <c r="OOT56" s="389"/>
      <c r="OPC56" s="389"/>
      <c r="OPD56" s="389"/>
      <c r="OPM56" s="389"/>
      <c r="OPN56" s="389"/>
      <c r="OPW56" s="389"/>
      <c r="OPX56" s="389"/>
      <c r="OQG56" s="389"/>
      <c r="OQH56" s="389"/>
      <c r="OQQ56" s="389"/>
      <c r="OQR56" s="389"/>
      <c r="ORA56" s="389"/>
      <c r="ORB56" s="389"/>
      <c r="ORK56" s="389"/>
      <c r="ORL56" s="389"/>
      <c r="ORU56" s="389"/>
      <c r="ORV56" s="389"/>
      <c r="OSE56" s="389"/>
      <c r="OSF56" s="389"/>
      <c r="OSO56" s="389"/>
      <c r="OSP56" s="389"/>
      <c r="OSY56" s="389"/>
      <c r="OSZ56" s="389"/>
      <c r="OTI56" s="389"/>
      <c r="OTJ56" s="389"/>
      <c r="OTS56" s="389"/>
      <c r="OTT56" s="389"/>
      <c r="OUC56" s="389"/>
      <c r="OUD56" s="389"/>
      <c r="OUM56" s="389"/>
      <c r="OUN56" s="389"/>
      <c r="OUW56" s="389"/>
      <c r="OUX56" s="389"/>
      <c r="OVG56" s="389"/>
      <c r="OVH56" s="389"/>
      <c r="OVQ56" s="389"/>
      <c r="OVR56" s="389"/>
      <c r="OWA56" s="389"/>
      <c r="OWB56" s="389"/>
      <c r="OWK56" s="389"/>
      <c r="OWL56" s="389"/>
      <c r="OWU56" s="389"/>
      <c r="OWV56" s="389"/>
      <c r="OXE56" s="389"/>
      <c r="OXF56" s="389"/>
      <c r="OXO56" s="389"/>
      <c r="OXP56" s="389"/>
      <c r="OXY56" s="389"/>
      <c r="OXZ56" s="389"/>
      <c r="OYI56" s="389"/>
      <c r="OYJ56" s="389"/>
      <c r="OYS56" s="389"/>
      <c r="OYT56" s="389"/>
      <c r="OZC56" s="389"/>
      <c r="OZD56" s="389"/>
      <c r="OZM56" s="389"/>
      <c r="OZN56" s="389"/>
      <c r="OZW56" s="389"/>
      <c r="OZX56" s="389"/>
      <c r="PAG56" s="389"/>
      <c r="PAH56" s="389"/>
      <c r="PAQ56" s="389"/>
      <c r="PAR56" s="389"/>
      <c r="PBA56" s="389"/>
      <c r="PBB56" s="389"/>
      <c r="PBK56" s="389"/>
      <c r="PBL56" s="389"/>
      <c r="PBU56" s="389"/>
      <c r="PBV56" s="389"/>
      <c r="PCE56" s="389"/>
      <c r="PCF56" s="389"/>
      <c r="PCO56" s="389"/>
      <c r="PCP56" s="389"/>
      <c r="PCY56" s="389"/>
      <c r="PCZ56" s="389"/>
      <c r="PDI56" s="389"/>
      <c r="PDJ56" s="389"/>
      <c r="PDS56" s="389"/>
      <c r="PDT56" s="389"/>
      <c r="PEC56" s="389"/>
      <c r="PED56" s="389"/>
      <c r="PEM56" s="389"/>
      <c r="PEN56" s="389"/>
      <c r="PEW56" s="389"/>
      <c r="PEX56" s="389"/>
      <c r="PFG56" s="389"/>
      <c r="PFH56" s="389"/>
      <c r="PFQ56" s="389"/>
      <c r="PFR56" s="389"/>
      <c r="PGA56" s="389"/>
      <c r="PGB56" s="389"/>
      <c r="PGK56" s="389"/>
      <c r="PGL56" s="389"/>
      <c r="PGU56" s="389"/>
      <c r="PGV56" s="389"/>
      <c r="PHE56" s="389"/>
      <c r="PHF56" s="389"/>
      <c r="PHO56" s="389"/>
      <c r="PHP56" s="389"/>
      <c r="PHY56" s="389"/>
      <c r="PHZ56" s="389"/>
      <c r="PII56" s="389"/>
      <c r="PIJ56" s="389"/>
      <c r="PIS56" s="389"/>
      <c r="PIT56" s="389"/>
      <c r="PJC56" s="389"/>
      <c r="PJD56" s="389"/>
      <c r="PJM56" s="389"/>
      <c r="PJN56" s="389"/>
      <c r="PJW56" s="389"/>
      <c r="PJX56" s="389"/>
      <c r="PKG56" s="389"/>
      <c r="PKH56" s="389"/>
      <c r="PKQ56" s="389"/>
      <c r="PKR56" s="389"/>
      <c r="PLA56" s="389"/>
      <c r="PLB56" s="389"/>
      <c r="PLK56" s="389"/>
      <c r="PLL56" s="389"/>
      <c r="PLU56" s="389"/>
      <c r="PLV56" s="389"/>
      <c r="PME56" s="389"/>
      <c r="PMF56" s="389"/>
      <c r="PMO56" s="389"/>
      <c r="PMP56" s="389"/>
      <c r="PMY56" s="389"/>
      <c r="PMZ56" s="389"/>
      <c r="PNI56" s="389"/>
      <c r="PNJ56" s="389"/>
      <c r="PNS56" s="389"/>
      <c r="PNT56" s="389"/>
      <c r="POC56" s="389"/>
      <c r="POD56" s="389"/>
      <c r="POM56" s="389"/>
      <c r="PON56" s="389"/>
      <c r="POW56" s="389"/>
      <c r="POX56" s="389"/>
      <c r="PPG56" s="389"/>
      <c r="PPH56" s="389"/>
      <c r="PPQ56" s="389"/>
      <c r="PPR56" s="389"/>
      <c r="PQA56" s="389"/>
      <c r="PQB56" s="389"/>
      <c r="PQK56" s="389"/>
      <c r="PQL56" s="389"/>
      <c r="PQU56" s="389"/>
      <c r="PQV56" s="389"/>
      <c r="PRE56" s="389"/>
      <c r="PRF56" s="389"/>
      <c r="PRO56" s="389"/>
      <c r="PRP56" s="389"/>
      <c r="PRY56" s="389"/>
      <c r="PRZ56" s="389"/>
      <c r="PSI56" s="389"/>
      <c r="PSJ56" s="389"/>
      <c r="PSS56" s="389"/>
      <c r="PST56" s="389"/>
      <c r="PTC56" s="389"/>
      <c r="PTD56" s="389"/>
      <c r="PTM56" s="389"/>
      <c r="PTN56" s="389"/>
      <c r="PTW56" s="389"/>
      <c r="PTX56" s="389"/>
      <c r="PUG56" s="389"/>
      <c r="PUH56" s="389"/>
      <c r="PUQ56" s="389"/>
      <c r="PUR56" s="389"/>
      <c r="PVA56" s="389"/>
      <c r="PVB56" s="389"/>
      <c r="PVK56" s="389"/>
      <c r="PVL56" s="389"/>
      <c r="PVU56" s="389"/>
      <c r="PVV56" s="389"/>
      <c r="PWE56" s="389"/>
      <c r="PWF56" s="389"/>
      <c r="PWO56" s="389"/>
      <c r="PWP56" s="389"/>
      <c r="PWY56" s="389"/>
      <c r="PWZ56" s="389"/>
      <c r="PXI56" s="389"/>
      <c r="PXJ56" s="389"/>
      <c r="PXS56" s="389"/>
      <c r="PXT56" s="389"/>
      <c r="PYC56" s="389"/>
      <c r="PYD56" s="389"/>
      <c r="PYM56" s="389"/>
      <c r="PYN56" s="389"/>
      <c r="PYW56" s="389"/>
      <c r="PYX56" s="389"/>
      <c r="PZG56" s="389"/>
      <c r="PZH56" s="389"/>
      <c r="PZQ56" s="389"/>
      <c r="PZR56" s="389"/>
      <c r="QAA56" s="389"/>
      <c r="QAB56" s="389"/>
      <c r="QAK56" s="389"/>
      <c r="QAL56" s="389"/>
      <c r="QAU56" s="389"/>
      <c r="QAV56" s="389"/>
      <c r="QBE56" s="389"/>
      <c r="QBF56" s="389"/>
      <c r="QBO56" s="389"/>
      <c r="QBP56" s="389"/>
      <c r="QBY56" s="389"/>
      <c r="QBZ56" s="389"/>
      <c r="QCI56" s="389"/>
      <c r="QCJ56" s="389"/>
      <c r="QCS56" s="389"/>
      <c r="QCT56" s="389"/>
      <c r="QDC56" s="389"/>
      <c r="QDD56" s="389"/>
      <c r="QDM56" s="389"/>
      <c r="QDN56" s="389"/>
      <c r="QDW56" s="389"/>
      <c r="QDX56" s="389"/>
      <c r="QEG56" s="389"/>
      <c r="QEH56" s="389"/>
      <c r="QEQ56" s="389"/>
      <c r="QER56" s="389"/>
      <c r="QFA56" s="389"/>
      <c r="QFB56" s="389"/>
      <c r="QFK56" s="389"/>
      <c r="QFL56" s="389"/>
      <c r="QFU56" s="389"/>
      <c r="QFV56" s="389"/>
      <c r="QGE56" s="389"/>
      <c r="QGF56" s="389"/>
      <c r="QGO56" s="389"/>
      <c r="QGP56" s="389"/>
      <c r="QGY56" s="389"/>
      <c r="QGZ56" s="389"/>
      <c r="QHI56" s="389"/>
      <c r="QHJ56" s="389"/>
      <c r="QHS56" s="389"/>
      <c r="QHT56" s="389"/>
      <c r="QIC56" s="389"/>
      <c r="QID56" s="389"/>
      <c r="QIM56" s="389"/>
      <c r="QIN56" s="389"/>
      <c r="QIW56" s="389"/>
      <c r="QIX56" s="389"/>
      <c r="QJG56" s="389"/>
      <c r="QJH56" s="389"/>
      <c r="QJQ56" s="389"/>
      <c r="QJR56" s="389"/>
      <c r="QKA56" s="389"/>
      <c r="QKB56" s="389"/>
      <c r="QKK56" s="389"/>
      <c r="QKL56" s="389"/>
      <c r="QKU56" s="389"/>
      <c r="QKV56" s="389"/>
      <c r="QLE56" s="389"/>
      <c r="QLF56" s="389"/>
      <c r="QLO56" s="389"/>
      <c r="QLP56" s="389"/>
      <c r="QLY56" s="389"/>
      <c r="QLZ56" s="389"/>
      <c r="QMI56" s="389"/>
      <c r="QMJ56" s="389"/>
      <c r="QMS56" s="389"/>
      <c r="QMT56" s="389"/>
      <c r="QNC56" s="389"/>
      <c r="QND56" s="389"/>
      <c r="QNM56" s="389"/>
      <c r="QNN56" s="389"/>
      <c r="QNW56" s="389"/>
      <c r="QNX56" s="389"/>
      <c r="QOG56" s="389"/>
      <c r="QOH56" s="389"/>
      <c r="QOQ56" s="389"/>
      <c r="QOR56" s="389"/>
      <c r="QPA56" s="389"/>
      <c r="QPB56" s="389"/>
      <c r="QPK56" s="389"/>
      <c r="QPL56" s="389"/>
      <c r="QPU56" s="389"/>
      <c r="QPV56" s="389"/>
      <c r="QQE56" s="389"/>
      <c r="QQF56" s="389"/>
      <c r="QQO56" s="389"/>
      <c r="QQP56" s="389"/>
      <c r="QQY56" s="389"/>
      <c r="QQZ56" s="389"/>
      <c r="QRI56" s="389"/>
      <c r="QRJ56" s="389"/>
      <c r="QRS56" s="389"/>
      <c r="QRT56" s="389"/>
      <c r="QSC56" s="389"/>
      <c r="QSD56" s="389"/>
      <c r="QSM56" s="389"/>
      <c r="QSN56" s="389"/>
      <c r="QSW56" s="389"/>
      <c r="QSX56" s="389"/>
      <c r="QTG56" s="389"/>
      <c r="QTH56" s="389"/>
      <c r="QTQ56" s="389"/>
      <c r="QTR56" s="389"/>
      <c r="QUA56" s="389"/>
      <c r="QUB56" s="389"/>
      <c r="QUK56" s="389"/>
      <c r="QUL56" s="389"/>
      <c r="QUU56" s="389"/>
      <c r="QUV56" s="389"/>
      <c r="QVE56" s="389"/>
      <c r="QVF56" s="389"/>
      <c r="QVO56" s="389"/>
      <c r="QVP56" s="389"/>
      <c r="QVY56" s="389"/>
      <c r="QVZ56" s="389"/>
      <c r="QWI56" s="389"/>
      <c r="QWJ56" s="389"/>
      <c r="QWS56" s="389"/>
      <c r="QWT56" s="389"/>
      <c r="QXC56" s="389"/>
      <c r="QXD56" s="389"/>
      <c r="QXM56" s="389"/>
      <c r="QXN56" s="389"/>
      <c r="QXW56" s="389"/>
      <c r="QXX56" s="389"/>
      <c r="QYG56" s="389"/>
      <c r="QYH56" s="389"/>
      <c r="QYQ56" s="389"/>
      <c r="QYR56" s="389"/>
      <c r="QZA56" s="389"/>
      <c r="QZB56" s="389"/>
      <c r="QZK56" s="389"/>
      <c r="QZL56" s="389"/>
      <c r="QZU56" s="389"/>
      <c r="QZV56" s="389"/>
      <c r="RAE56" s="389"/>
      <c r="RAF56" s="389"/>
      <c r="RAO56" s="389"/>
      <c r="RAP56" s="389"/>
      <c r="RAY56" s="389"/>
      <c r="RAZ56" s="389"/>
      <c r="RBI56" s="389"/>
      <c r="RBJ56" s="389"/>
      <c r="RBS56" s="389"/>
      <c r="RBT56" s="389"/>
      <c r="RCC56" s="389"/>
      <c r="RCD56" s="389"/>
      <c r="RCM56" s="389"/>
      <c r="RCN56" s="389"/>
      <c r="RCW56" s="389"/>
      <c r="RCX56" s="389"/>
      <c r="RDG56" s="389"/>
      <c r="RDH56" s="389"/>
      <c r="RDQ56" s="389"/>
      <c r="RDR56" s="389"/>
      <c r="REA56" s="389"/>
      <c r="REB56" s="389"/>
      <c r="REK56" s="389"/>
      <c r="REL56" s="389"/>
      <c r="REU56" s="389"/>
      <c r="REV56" s="389"/>
      <c r="RFE56" s="389"/>
      <c r="RFF56" s="389"/>
      <c r="RFO56" s="389"/>
      <c r="RFP56" s="389"/>
      <c r="RFY56" s="389"/>
      <c r="RFZ56" s="389"/>
      <c r="RGI56" s="389"/>
      <c r="RGJ56" s="389"/>
      <c r="RGS56" s="389"/>
      <c r="RGT56" s="389"/>
      <c r="RHC56" s="389"/>
      <c r="RHD56" s="389"/>
      <c r="RHM56" s="389"/>
      <c r="RHN56" s="389"/>
      <c r="RHW56" s="389"/>
      <c r="RHX56" s="389"/>
      <c r="RIG56" s="389"/>
      <c r="RIH56" s="389"/>
      <c r="RIQ56" s="389"/>
      <c r="RIR56" s="389"/>
      <c r="RJA56" s="389"/>
      <c r="RJB56" s="389"/>
      <c r="RJK56" s="389"/>
      <c r="RJL56" s="389"/>
      <c r="RJU56" s="389"/>
      <c r="RJV56" s="389"/>
      <c r="RKE56" s="389"/>
      <c r="RKF56" s="389"/>
      <c r="RKO56" s="389"/>
      <c r="RKP56" s="389"/>
      <c r="RKY56" s="389"/>
      <c r="RKZ56" s="389"/>
      <c r="RLI56" s="389"/>
      <c r="RLJ56" s="389"/>
      <c r="RLS56" s="389"/>
      <c r="RLT56" s="389"/>
      <c r="RMC56" s="389"/>
      <c r="RMD56" s="389"/>
      <c r="RMM56" s="389"/>
      <c r="RMN56" s="389"/>
      <c r="RMW56" s="389"/>
      <c r="RMX56" s="389"/>
      <c r="RNG56" s="389"/>
      <c r="RNH56" s="389"/>
      <c r="RNQ56" s="389"/>
      <c r="RNR56" s="389"/>
      <c r="ROA56" s="389"/>
      <c r="ROB56" s="389"/>
      <c r="ROK56" s="389"/>
      <c r="ROL56" s="389"/>
      <c r="ROU56" s="389"/>
      <c r="ROV56" s="389"/>
      <c r="RPE56" s="389"/>
      <c r="RPF56" s="389"/>
      <c r="RPO56" s="389"/>
      <c r="RPP56" s="389"/>
      <c r="RPY56" s="389"/>
      <c r="RPZ56" s="389"/>
      <c r="RQI56" s="389"/>
      <c r="RQJ56" s="389"/>
      <c r="RQS56" s="389"/>
      <c r="RQT56" s="389"/>
      <c r="RRC56" s="389"/>
      <c r="RRD56" s="389"/>
      <c r="RRM56" s="389"/>
      <c r="RRN56" s="389"/>
      <c r="RRW56" s="389"/>
      <c r="RRX56" s="389"/>
      <c r="RSG56" s="389"/>
      <c r="RSH56" s="389"/>
      <c r="RSQ56" s="389"/>
      <c r="RSR56" s="389"/>
      <c r="RTA56" s="389"/>
      <c r="RTB56" s="389"/>
      <c r="RTK56" s="389"/>
      <c r="RTL56" s="389"/>
      <c r="RTU56" s="389"/>
      <c r="RTV56" s="389"/>
      <c r="RUE56" s="389"/>
      <c r="RUF56" s="389"/>
      <c r="RUO56" s="389"/>
      <c r="RUP56" s="389"/>
      <c r="RUY56" s="389"/>
      <c r="RUZ56" s="389"/>
      <c r="RVI56" s="389"/>
      <c r="RVJ56" s="389"/>
      <c r="RVS56" s="389"/>
      <c r="RVT56" s="389"/>
      <c r="RWC56" s="389"/>
      <c r="RWD56" s="389"/>
      <c r="RWM56" s="389"/>
      <c r="RWN56" s="389"/>
      <c r="RWW56" s="389"/>
      <c r="RWX56" s="389"/>
      <c r="RXG56" s="389"/>
      <c r="RXH56" s="389"/>
      <c r="RXQ56" s="389"/>
      <c r="RXR56" s="389"/>
      <c r="RYA56" s="389"/>
      <c r="RYB56" s="389"/>
      <c r="RYK56" s="389"/>
      <c r="RYL56" s="389"/>
      <c r="RYU56" s="389"/>
      <c r="RYV56" s="389"/>
      <c r="RZE56" s="389"/>
      <c r="RZF56" s="389"/>
      <c r="RZO56" s="389"/>
      <c r="RZP56" s="389"/>
      <c r="RZY56" s="389"/>
      <c r="RZZ56" s="389"/>
      <c r="SAI56" s="389"/>
      <c r="SAJ56" s="389"/>
      <c r="SAS56" s="389"/>
      <c r="SAT56" s="389"/>
      <c r="SBC56" s="389"/>
      <c r="SBD56" s="389"/>
      <c r="SBM56" s="389"/>
      <c r="SBN56" s="389"/>
      <c r="SBW56" s="389"/>
      <c r="SBX56" s="389"/>
      <c r="SCG56" s="389"/>
      <c r="SCH56" s="389"/>
      <c r="SCQ56" s="389"/>
      <c r="SCR56" s="389"/>
      <c r="SDA56" s="389"/>
      <c r="SDB56" s="389"/>
      <c r="SDK56" s="389"/>
      <c r="SDL56" s="389"/>
      <c r="SDU56" s="389"/>
      <c r="SDV56" s="389"/>
      <c r="SEE56" s="389"/>
      <c r="SEF56" s="389"/>
      <c r="SEO56" s="389"/>
      <c r="SEP56" s="389"/>
      <c r="SEY56" s="389"/>
      <c r="SEZ56" s="389"/>
      <c r="SFI56" s="389"/>
      <c r="SFJ56" s="389"/>
      <c r="SFS56" s="389"/>
      <c r="SFT56" s="389"/>
      <c r="SGC56" s="389"/>
      <c r="SGD56" s="389"/>
      <c r="SGM56" s="389"/>
      <c r="SGN56" s="389"/>
      <c r="SGW56" s="389"/>
      <c r="SGX56" s="389"/>
      <c r="SHG56" s="389"/>
      <c r="SHH56" s="389"/>
      <c r="SHQ56" s="389"/>
      <c r="SHR56" s="389"/>
      <c r="SIA56" s="389"/>
      <c r="SIB56" s="389"/>
      <c r="SIK56" s="389"/>
      <c r="SIL56" s="389"/>
      <c r="SIU56" s="389"/>
      <c r="SIV56" s="389"/>
      <c r="SJE56" s="389"/>
      <c r="SJF56" s="389"/>
      <c r="SJO56" s="389"/>
      <c r="SJP56" s="389"/>
      <c r="SJY56" s="389"/>
      <c r="SJZ56" s="389"/>
      <c r="SKI56" s="389"/>
      <c r="SKJ56" s="389"/>
      <c r="SKS56" s="389"/>
      <c r="SKT56" s="389"/>
      <c r="SLC56" s="389"/>
      <c r="SLD56" s="389"/>
      <c r="SLM56" s="389"/>
      <c r="SLN56" s="389"/>
      <c r="SLW56" s="389"/>
      <c r="SLX56" s="389"/>
      <c r="SMG56" s="389"/>
      <c r="SMH56" s="389"/>
      <c r="SMQ56" s="389"/>
      <c r="SMR56" s="389"/>
      <c r="SNA56" s="389"/>
      <c r="SNB56" s="389"/>
      <c r="SNK56" s="389"/>
      <c r="SNL56" s="389"/>
      <c r="SNU56" s="389"/>
      <c r="SNV56" s="389"/>
      <c r="SOE56" s="389"/>
      <c r="SOF56" s="389"/>
      <c r="SOO56" s="389"/>
      <c r="SOP56" s="389"/>
      <c r="SOY56" s="389"/>
      <c r="SOZ56" s="389"/>
      <c r="SPI56" s="389"/>
      <c r="SPJ56" s="389"/>
      <c r="SPS56" s="389"/>
      <c r="SPT56" s="389"/>
      <c r="SQC56" s="389"/>
      <c r="SQD56" s="389"/>
      <c r="SQM56" s="389"/>
      <c r="SQN56" s="389"/>
      <c r="SQW56" s="389"/>
      <c r="SQX56" s="389"/>
      <c r="SRG56" s="389"/>
      <c r="SRH56" s="389"/>
      <c r="SRQ56" s="389"/>
      <c r="SRR56" s="389"/>
      <c r="SSA56" s="389"/>
      <c r="SSB56" s="389"/>
      <c r="SSK56" s="389"/>
      <c r="SSL56" s="389"/>
      <c r="SSU56" s="389"/>
      <c r="SSV56" s="389"/>
      <c r="STE56" s="389"/>
      <c r="STF56" s="389"/>
      <c r="STO56" s="389"/>
      <c r="STP56" s="389"/>
      <c r="STY56" s="389"/>
      <c r="STZ56" s="389"/>
      <c r="SUI56" s="389"/>
      <c r="SUJ56" s="389"/>
      <c r="SUS56" s="389"/>
      <c r="SUT56" s="389"/>
      <c r="SVC56" s="389"/>
      <c r="SVD56" s="389"/>
      <c r="SVM56" s="389"/>
      <c r="SVN56" s="389"/>
      <c r="SVW56" s="389"/>
      <c r="SVX56" s="389"/>
      <c r="SWG56" s="389"/>
      <c r="SWH56" s="389"/>
      <c r="SWQ56" s="389"/>
      <c r="SWR56" s="389"/>
      <c r="SXA56" s="389"/>
      <c r="SXB56" s="389"/>
      <c r="SXK56" s="389"/>
      <c r="SXL56" s="389"/>
      <c r="SXU56" s="389"/>
      <c r="SXV56" s="389"/>
      <c r="SYE56" s="389"/>
      <c r="SYF56" s="389"/>
      <c r="SYO56" s="389"/>
      <c r="SYP56" s="389"/>
      <c r="SYY56" s="389"/>
      <c r="SYZ56" s="389"/>
      <c r="SZI56" s="389"/>
      <c r="SZJ56" s="389"/>
      <c r="SZS56" s="389"/>
      <c r="SZT56" s="389"/>
      <c r="TAC56" s="389"/>
      <c r="TAD56" s="389"/>
      <c r="TAM56" s="389"/>
      <c r="TAN56" s="389"/>
      <c r="TAW56" s="389"/>
      <c r="TAX56" s="389"/>
      <c r="TBG56" s="389"/>
      <c r="TBH56" s="389"/>
      <c r="TBQ56" s="389"/>
      <c r="TBR56" s="389"/>
      <c r="TCA56" s="389"/>
      <c r="TCB56" s="389"/>
      <c r="TCK56" s="389"/>
      <c r="TCL56" s="389"/>
      <c r="TCU56" s="389"/>
      <c r="TCV56" s="389"/>
      <c r="TDE56" s="389"/>
      <c r="TDF56" s="389"/>
      <c r="TDO56" s="389"/>
      <c r="TDP56" s="389"/>
      <c r="TDY56" s="389"/>
      <c r="TDZ56" s="389"/>
      <c r="TEI56" s="389"/>
      <c r="TEJ56" s="389"/>
      <c r="TES56" s="389"/>
      <c r="TET56" s="389"/>
      <c r="TFC56" s="389"/>
      <c r="TFD56" s="389"/>
      <c r="TFM56" s="389"/>
      <c r="TFN56" s="389"/>
      <c r="TFW56" s="389"/>
      <c r="TFX56" s="389"/>
      <c r="TGG56" s="389"/>
      <c r="TGH56" s="389"/>
      <c r="TGQ56" s="389"/>
      <c r="TGR56" s="389"/>
      <c r="THA56" s="389"/>
      <c r="THB56" s="389"/>
      <c r="THK56" s="389"/>
      <c r="THL56" s="389"/>
      <c r="THU56" s="389"/>
      <c r="THV56" s="389"/>
      <c r="TIE56" s="389"/>
      <c r="TIF56" s="389"/>
      <c r="TIO56" s="389"/>
      <c r="TIP56" s="389"/>
      <c r="TIY56" s="389"/>
      <c r="TIZ56" s="389"/>
      <c r="TJI56" s="389"/>
      <c r="TJJ56" s="389"/>
      <c r="TJS56" s="389"/>
      <c r="TJT56" s="389"/>
      <c r="TKC56" s="389"/>
      <c r="TKD56" s="389"/>
      <c r="TKM56" s="389"/>
      <c r="TKN56" s="389"/>
      <c r="TKW56" s="389"/>
      <c r="TKX56" s="389"/>
      <c r="TLG56" s="389"/>
      <c r="TLH56" s="389"/>
      <c r="TLQ56" s="389"/>
      <c r="TLR56" s="389"/>
      <c r="TMA56" s="389"/>
      <c r="TMB56" s="389"/>
      <c r="TMK56" s="389"/>
      <c r="TML56" s="389"/>
      <c r="TMU56" s="389"/>
      <c r="TMV56" s="389"/>
      <c r="TNE56" s="389"/>
      <c r="TNF56" s="389"/>
      <c r="TNO56" s="389"/>
      <c r="TNP56" s="389"/>
      <c r="TNY56" s="389"/>
      <c r="TNZ56" s="389"/>
      <c r="TOI56" s="389"/>
      <c r="TOJ56" s="389"/>
      <c r="TOS56" s="389"/>
      <c r="TOT56" s="389"/>
      <c r="TPC56" s="389"/>
      <c r="TPD56" s="389"/>
      <c r="TPM56" s="389"/>
      <c r="TPN56" s="389"/>
      <c r="TPW56" s="389"/>
      <c r="TPX56" s="389"/>
      <c r="TQG56" s="389"/>
      <c r="TQH56" s="389"/>
      <c r="TQQ56" s="389"/>
      <c r="TQR56" s="389"/>
      <c r="TRA56" s="389"/>
      <c r="TRB56" s="389"/>
      <c r="TRK56" s="389"/>
      <c r="TRL56" s="389"/>
      <c r="TRU56" s="389"/>
      <c r="TRV56" s="389"/>
      <c r="TSE56" s="389"/>
      <c r="TSF56" s="389"/>
      <c r="TSO56" s="389"/>
      <c r="TSP56" s="389"/>
      <c r="TSY56" s="389"/>
      <c r="TSZ56" s="389"/>
      <c r="TTI56" s="389"/>
      <c r="TTJ56" s="389"/>
      <c r="TTS56" s="389"/>
      <c r="TTT56" s="389"/>
      <c r="TUC56" s="389"/>
      <c r="TUD56" s="389"/>
      <c r="TUM56" s="389"/>
      <c r="TUN56" s="389"/>
      <c r="TUW56" s="389"/>
      <c r="TUX56" s="389"/>
      <c r="TVG56" s="389"/>
      <c r="TVH56" s="389"/>
      <c r="TVQ56" s="389"/>
      <c r="TVR56" s="389"/>
      <c r="TWA56" s="389"/>
      <c r="TWB56" s="389"/>
      <c r="TWK56" s="389"/>
      <c r="TWL56" s="389"/>
      <c r="TWU56" s="389"/>
      <c r="TWV56" s="389"/>
      <c r="TXE56" s="389"/>
      <c r="TXF56" s="389"/>
      <c r="TXO56" s="389"/>
      <c r="TXP56" s="389"/>
      <c r="TXY56" s="389"/>
      <c r="TXZ56" s="389"/>
      <c r="TYI56" s="389"/>
      <c r="TYJ56" s="389"/>
      <c r="TYS56" s="389"/>
      <c r="TYT56" s="389"/>
      <c r="TZC56" s="389"/>
      <c r="TZD56" s="389"/>
      <c r="TZM56" s="389"/>
      <c r="TZN56" s="389"/>
      <c r="TZW56" s="389"/>
      <c r="TZX56" s="389"/>
      <c r="UAG56" s="389"/>
      <c r="UAH56" s="389"/>
      <c r="UAQ56" s="389"/>
      <c r="UAR56" s="389"/>
      <c r="UBA56" s="389"/>
      <c r="UBB56" s="389"/>
      <c r="UBK56" s="389"/>
      <c r="UBL56" s="389"/>
      <c r="UBU56" s="389"/>
      <c r="UBV56" s="389"/>
      <c r="UCE56" s="389"/>
      <c r="UCF56" s="389"/>
      <c r="UCO56" s="389"/>
      <c r="UCP56" s="389"/>
      <c r="UCY56" s="389"/>
      <c r="UCZ56" s="389"/>
      <c r="UDI56" s="389"/>
      <c r="UDJ56" s="389"/>
      <c r="UDS56" s="389"/>
      <c r="UDT56" s="389"/>
      <c r="UEC56" s="389"/>
      <c r="UED56" s="389"/>
      <c r="UEM56" s="389"/>
      <c r="UEN56" s="389"/>
      <c r="UEW56" s="389"/>
      <c r="UEX56" s="389"/>
      <c r="UFG56" s="389"/>
      <c r="UFH56" s="389"/>
      <c r="UFQ56" s="389"/>
      <c r="UFR56" s="389"/>
      <c r="UGA56" s="389"/>
      <c r="UGB56" s="389"/>
      <c r="UGK56" s="389"/>
      <c r="UGL56" s="389"/>
      <c r="UGU56" s="389"/>
      <c r="UGV56" s="389"/>
      <c r="UHE56" s="389"/>
      <c r="UHF56" s="389"/>
      <c r="UHO56" s="389"/>
      <c r="UHP56" s="389"/>
      <c r="UHY56" s="389"/>
      <c r="UHZ56" s="389"/>
      <c r="UII56" s="389"/>
      <c r="UIJ56" s="389"/>
      <c r="UIS56" s="389"/>
      <c r="UIT56" s="389"/>
      <c r="UJC56" s="389"/>
      <c r="UJD56" s="389"/>
      <c r="UJM56" s="389"/>
      <c r="UJN56" s="389"/>
      <c r="UJW56" s="389"/>
      <c r="UJX56" s="389"/>
      <c r="UKG56" s="389"/>
      <c r="UKH56" s="389"/>
      <c r="UKQ56" s="389"/>
      <c r="UKR56" s="389"/>
      <c r="ULA56" s="389"/>
      <c r="ULB56" s="389"/>
      <c r="ULK56" s="389"/>
      <c r="ULL56" s="389"/>
      <c r="ULU56" s="389"/>
      <c r="ULV56" s="389"/>
      <c r="UME56" s="389"/>
      <c r="UMF56" s="389"/>
      <c r="UMO56" s="389"/>
      <c r="UMP56" s="389"/>
      <c r="UMY56" s="389"/>
      <c r="UMZ56" s="389"/>
      <c r="UNI56" s="389"/>
      <c r="UNJ56" s="389"/>
      <c r="UNS56" s="389"/>
      <c r="UNT56" s="389"/>
      <c r="UOC56" s="389"/>
      <c r="UOD56" s="389"/>
      <c r="UOM56" s="389"/>
      <c r="UON56" s="389"/>
      <c r="UOW56" s="389"/>
      <c r="UOX56" s="389"/>
      <c r="UPG56" s="389"/>
      <c r="UPH56" s="389"/>
      <c r="UPQ56" s="389"/>
      <c r="UPR56" s="389"/>
      <c r="UQA56" s="389"/>
      <c r="UQB56" s="389"/>
      <c r="UQK56" s="389"/>
      <c r="UQL56" s="389"/>
      <c r="UQU56" s="389"/>
      <c r="UQV56" s="389"/>
      <c r="URE56" s="389"/>
      <c r="URF56" s="389"/>
      <c r="URO56" s="389"/>
      <c r="URP56" s="389"/>
      <c r="URY56" s="389"/>
      <c r="URZ56" s="389"/>
      <c r="USI56" s="389"/>
      <c r="USJ56" s="389"/>
      <c r="USS56" s="389"/>
      <c r="UST56" s="389"/>
      <c r="UTC56" s="389"/>
      <c r="UTD56" s="389"/>
      <c r="UTM56" s="389"/>
      <c r="UTN56" s="389"/>
      <c r="UTW56" s="389"/>
      <c r="UTX56" s="389"/>
      <c r="UUG56" s="389"/>
      <c r="UUH56" s="389"/>
      <c r="UUQ56" s="389"/>
      <c r="UUR56" s="389"/>
      <c r="UVA56" s="389"/>
      <c r="UVB56" s="389"/>
      <c r="UVK56" s="389"/>
      <c r="UVL56" s="389"/>
      <c r="UVU56" s="389"/>
      <c r="UVV56" s="389"/>
      <c r="UWE56" s="389"/>
      <c r="UWF56" s="389"/>
      <c r="UWO56" s="389"/>
      <c r="UWP56" s="389"/>
      <c r="UWY56" s="389"/>
      <c r="UWZ56" s="389"/>
      <c r="UXI56" s="389"/>
      <c r="UXJ56" s="389"/>
      <c r="UXS56" s="389"/>
      <c r="UXT56" s="389"/>
      <c r="UYC56" s="389"/>
      <c r="UYD56" s="389"/>
      <c r="UYM56" s="389"/>
      <c r="UYN56" s="389"/>
      <c r="UYW56" s="389"/>
      <c r="UYX56" s="389"/>
      <c r="UZG56" s="389"/>
      <c r="UZH56" s="389"/>
      <c r="UZQ56" s="389"/>
      <c r="UZR56" s="389"/>
      <c r="VAA56" s="389"/>
      <c r="VAB56" s="389"/>
      <c r="VAK56" s="389"/>
      <c r="VAL56" s="389"/>
      <c r="VAU56" s="389"/>
      <c r="VAV56" s="389"/>
      <c r="VBE56" s="389"/>
      <c r="VBF56" s="389"/>
      <c r="VBO56" s="389"/>
      <c r="VBP56" s="389"/>
      <c r="VBY56" s="389"/>
      <c r="VBZ56" s="389"/>
      <c r="VCI56" s="389"/>
      <c r="VCJ56" s="389"/>
      <c r="VCS56" s="389"/>
      <c r="VCT56" s="389"/>
      <c r="VDC56" s="389"/>
      <c r="VDD56" s="389"/>
      <c r="VDM56" s="389"/>
      <c r="VDN56" s="389"/>
      <c r="VDW56" s="389"/>
      <c r="VDX56" s="389"/>
      <c r="VEG56" s="389"/>
      <c r="VEH56" s="389"/>
      <c r="VEQ56" s="389"/>
      <c r="VER56" s="389"/>
      <c r="VFA56" s="389"/>
      <c r="VFB56" s="389"/>
      <c r="VFK56" s="389"/>
      <c r="VFL56" s="389"/>
      <c r="VFU56" s="389"/>
      <c r="VFV56" s="389"/>
      <c r="VGE56" s="389"/>
      <c r="VGF56" s="389"/>
      <c r="VGO56" s="389"/>
      <c r="VGP56" s="389"/>
      <c r="VGY56" s="389"/>
      <c r="VGZ56" s="389"/>
      <c r="VHI56" s="389"/>
      <c r="VHJ56" s="389"/>
      <c r="VHS56" s="389"/>
      <c r="VHT56" s="389"/>
      <c r="VIC56" s="389"/>
      <c r="VID56" s="389"/>
      <c r="VIM56" s="389"/>
      <c r="VIN56" s="389"/>
      <c r="VIW56" s="389"/>
      <c r="VIX56" s="389"/>
      <c r="VJG56" s="389"/>
      <c r="VJH56" s="389"/>
      <c r="VJQ56" s="389"/>
      <c r="VJR56" s="389"/>
      <c r="VKA56" s="389"/>
      <c r="VKB56" s="389"/>
      <c r="VKK56" s="389"/>
      <c r="VKL56" s="389"/>
      <c r="VKU56" s="389"/>
      <c r="VKV56" s="389"/>
      <c r="VLE56" s="389"/>
      <c r="VLF56" s="389"/>
      <c r="VLO56" s="389"/>
      <c r="VLP56" s="389"/>
      <c r="VLY56" s="389"/>
      <c r="VLZ56" s="389"/>
      <c r="VMI56" s="389"/>
      <c r="VMJ56" s="389"/>
      <c r="VMS56" s="389"/>
      <c r="VMT56" s="389"/>
      <c r="VNC56" s="389"/>
      <c r="VND56" s="389"/>
      <c r="VNM56" s="389"/>
      <c r="VNN56" s="389"/>
      <c r="VNW56" s="389"/>
      <c r="VNX56" s="389"/>
      <c r="VOG56" s="389"/>
      <c r="VOH56" s="389"/>
      <c r="VOQ56" s="389"/>
      <c r="VOR56" s="389"/>
      <c r="VPA56" s="389"/>
      <c r="VPB56" s="389"/>
      <c r="VPK56" s="389"/>
      <c r="VPL56" s="389"/>
      <c r="VPU56" s="389"/>
      <c r="VPV56" s="389"/>
      <c r="VQE56" s="389"/>
      <c r="VQF56" s="389"/>
      <c r="VQO56" s="389"/>
      <c r="VQP56" s="389"/>
      <c r="VQY56" s="389"/>
      <c r="VQZ56" s="389"/>
      <c r="VRI56" s="389"/>
      <c r="VRJ56" s="389"/>
      <c r="VRS56" s="389"/>
      <c r="VRT56" s="389"/>
      <c r="VSC56" s="389"/>
      <c r="VSD56" s="389"/>
      <c r="VSM56" s="389"/>
      <c r="VSN56" s="389"/>
      <c r="VSW56" s="389"/>
      <c r="VSX56" s="389"/>
      <c r="VTG56" s="389"/>
      <c r="VTH56" s="389"/>
      <c r="VTQ56" s="389"/>
      <c r="VTR56" s="389"/>
      <c r="VUA56" s="389"/>
      <c r="VUB56" s="389"/>
      <c r="VUK56" s="389"/>
      <c r="VUL56" s="389"/>
      <c r="VUU56" s="389"/>
      <c r="VUV56" s="389"/>
      <c r="VVE56" s="389"/>
      <c r="VVF56" s="389"/>
      <c r="VVO56" s="389"/>
      <c r="VVP56" s="389"/>
      <c r="VVY56" s="389"/>
      <c r="VVZ56" s="389"/>
      <c r="VWI56" s="389"/>
      <c r="VWJ56" s="389"/>
      <c r="VWS56" s="389"/>
      <c r="VWT56" s="389"/>
      <c r="VXC56" s="389"/>
      <c r="VXD56" s="389"/>
      <c r="VXM56" s="389"/>
      <c r="VXN56" s="389"/>
      <c r="VXW56" s="389"/>
      <c r="VXX56" s="389"/>
      <c r="VYG56" s="389"/>
      <c r="VYH56" s="389"/>
      <c r="VYQ56" s="389"/>
      <c r="VYR56" s="389"/>
      <c r="VZA56" s="389"/>
      <c r="VZB56" s="389"/>
      <c r="VZK56" s="389"/>
      <c r="VZL56" s="389"/>
      <c r="VZU56" s="389"/>
      <c r="VZV56" s="389"/>
      <c r="WAE56" s="389"/>
      <c r="WAF56" s="389"/>
      <c r="WAO56" s="389"/>
      <c r="WAP56" s="389"/>
      <c r="WAY56" s="389"/>
      <c r="WAZ56" s="389"/>
      <c r="WBI56" s="389"/>
      <c r="WBJ56" s="389"/>
      <c r="WBS56" s="389"/>
      <c r="WBT56" s="389"/>
      <c r="WCC56" s="389"/>
      <c r="WCD56" s="389"/>
      <c r="WCM56" s="389"/>
      <c r="WCN56" s="389"/>
      <c r="WCW56" s="389"/>
      <c r="WCX56" s="389"/>
      <c r="WDG56" s="389"/>
      <c r="WDH56" s="389"/>
      <c r="WDQ56" s="389"/>
      <c r="WDR56" s="389"/>
      <c r="WEA56" s="389"/>
      <c r="WEB56" s="389"/>
      <c r="WEK56" s="389"/>
      <c r="WEL56" s="389"/>
      <c r="WEU56" s="389"/>
      <c r="WEV56" s="389"/>
      <c r="WFE56" s="389"/>
      <c r="WFF56" s="389"/>
      <c r="WFO56" s="389"/>
      <c r="WFP56" s="389"/>
      <c r="WFY56" s="389"/>
      <c r="WFZ56" s="389"/>
      <c r="WGI56" s="389"/>
      <c r="WGJ56" s="389"/>
      <c r="WGS56" s="389"/>
      <c r="WGT56" s="389"/>
      <c r="WHC56" s="389"/>
      <c r="WHD56" s="389"/>
      <c r="WHM56" s="389"/>
      <c r="WHN56" s="389"/>
      <c r="WHW56" s="389"/>
      <c r="WHX56" s="389"/>
      <c r="WIG56" s="389"/>
      <c r="WIH56" s="389"/>
      <c r="WIQ56" s="389"/>
      <c r="WIR56" s="389"/>
      <c r="WJA56" s="389"/>
      <c r="WJB56" s="389"/>
      <c r="WJK56" s="389"/>
      <c r="WJL56" s="389"/>
      <c r="WJU56" s="389"/>
      <c r="WJV56" s="389"/>
      <c r="WKE56" s="389"/>
      <c r="WKF56" s="389"/>
      <c r="WKO56" s="389"/>
      <c r="WKP56" s="389"/>
      <c r="WKY56" s="389"/>
      <c r="WKZ56" s="389"/>
      <c r="WLI56" s="389"/>
      <c r="WLJ56" s="389"/>
      <c r="WLS56" s="389"/>
      <c r="WLT56" s="389"/>
      <c r="WMC56" s="389"/>
      <c r="WMD56" s="389"/>
      <c r="WMM56" s="389"/>
      <c r="WMN56" s="389"/>
      <c r="WMW56" s="389"/>
      <c r="WMX56" s="389"/>
      <c r="WNG56" s="389"/>
      <c r="WNH56" s="389"/>
      <c r="WNQ56" s="389"/>
      <c r="WNR56" s="389"/>
      <c r="WOA56" s="389"/>
      <c r="WOB56" s="389"/>
      <c r="WOK56" s="389"/>
      <c r="WOL56" s="389"/>
      <c r="WOU56" s="389"/>
      <c r="WOV56" s="389"/>
      <c r="WPE56" s="389"/>
      <c r="WPF56" s="389"/>
      <c r="WPO56" s="389"/>
      <c r="WPP56" s="389"/>
      <c r="WPY56" s="389"/>
      <c r="WPZ56" s="389"/>
      <c r="WQI56" s="389"/>
      <c r="WQJ56" s="389"/>
      <c r="WQS56" s="389"/>
      <c r="WQT56" s="389"/>
      <c r="WRC56" s="389"/>
      <c r="WRD56" s="389"/>
      <c r="WRM56" s="389"/>
      <c r="WRN56" s="389"/>
      <c r="WRW56" s="389"/>
      <c r="WRX56" s="389"/>
      <c r="WSG56" s="389"/>
      <c r="WSH56" s="389"/>
      <c r="WSQ56" s="389"/>
      <c r="WSR56" s="389"/>
      <c r="WTA56" s="389"/>
      <c r="WTB56" s="389"/>
      <c r="WTK56" s="389"/>
      <c r="WTL56" s="389"/>
      <c r="WTU56" s="389"/>
      <c r="WTV56" s="389"/>
      <c r="WUE56" s="389"/>
      <c r="WUF56" s="389"/>
      <c r="WUO56" s="389"/>
      <c r="WUP56" s="389"/>
      <c r="WUY56" s="389"/>
      <c r="WUZ56" s="389"/>
      <c r="WVI56" s="389"/>
      <c r="WVJ56" s="389"/>
      <c r="WVS56" s="389"/>
      <c r="WVT56" s="389"/>
      <c r="WWC56" s="389"/>
      <c r="WWD56" s="389"/>
      <c r="WWM56" s="389"/>
      <c r="WWN56" s="389"/>
      <c r="WWW56" s="389"/>
      <c r="WWX56" s="389"/>
      <c r="WXG56" s="389"/>
      <c r="WXH56" s="389"/>
      <c r="WXQ56" s="389"/>
      <c r="WXR56" s="389"/>
      <c r="WYA56" s="389"/>
      <c r="WYB56" s="389"/>
      <c r="WYK56" s="389"/>
      <c r="WYL56" s="389"/>
      <c r="WYU56" s="389"/>
      <c r="WYV56" s="389"/>
      <c r="WZE56" s="389"/>
      <c r="WZF56" s="389"/>
      <c r="WZO56" s="389"/>
      <c r="WZP56" s="389"/>
      <c r="WZY56" s="389"/>
      <c r="WZZ56" s="389"/>
      <c r="XAI56" s="389"/>
      <c r="XAJ56" s="389"/>
      <c r="XAS56" s="389"/>
      <c r="XAT56" s="389"/>
      <c r="XBC56" s="389"/>
      <c r="XBD56" s="389"/>
      <c r="XBM56" s="389"/>
      <c r="XBN56" s="389"/>
      <c r="XBW56" s="389"/>
      <c r="XBX56" s="389"/>
      <c r="XCG56" s="389"/>
      <c r="XCH56" s="389"/>
      <c r="XCQ56" s="389"/>
      <c r="XCR56" s="389"/>
      <c r="XDA56" s="389"/>
      <c r="XDB56" s="389"/>
      <c r="XDK56" s="389"/>
      <c r="XDL56" s="389"/>
      <c r="XDU56" s="389"/>
      <c r="XDV56" s="389"/>
      <c r="XEE56" s="389"/>
      <c r="XEF56" s="389"/>
      <c r="XEO56" s="389"/>
      <c r="XEP56" s="389"/>
      <c r="XEY56" s="389"/>
      <c r="XEZ56" s="389"/>
    </row>
    <row r="57" spans="1:1020 1029:2040 2049:3070 3079:4090 4099:5120 5129:6140 6149:7160 7169:8190 8199:9210 9219:10240 10249:11260 11269:12280 12289:13310 13319:14330 14339:15360 15369:16380" ht="56.25" customHeight="1" thickBot="1" x14ac:dyDescent="0.25">
      <c r="A57" s="1470" t="s">
        <v>4</v>
      </c>
      <c r="B57" s="1472" t="s">
        <v>306</v>
      </c>
      <c r="C57" s="1474" t="s">
        <v>264</v>
      </c>
      <c r="D57" s="1475"/>
      <c r="E57" s="1476" t="s">
        <v>373</v>
      </c>
      <c r="F57" s="1478" t="s">
        <v>276</v>
      </c>
      <c r="G57" s="1480" t="s">
        <v>27</v>
      </c>
      <c r="H57" s="1481"/>
      <c r="I57" s="1480" t="s">
        <v>307</v>
      </c>
      <c r="J57" s="1481"/>
      <c r="K57" s="1480" t="s">
        <v>560</v>
      </c>
      <c r="L57" s="1481"/>
      <c r="M57" s="1136" t="s">
        <v>58</v>
      </c>
    </row>
    <row r="58" spans="1:1020 1029:2040 2049:3070 3079:4090 4099:5120 5129:6140 6149:7160 7169:8190 8199:9210 9219:10240 10249:11260 11269:12280 12289:13310 13319:14330 14339:15360 15369:16380" ht="56.25" customHeight="1" thickBot="1" x14ac:dyDescent="0.25">
      <c r="A58" s="1471"/>
      <c r="B58" s="1473"/>
      <c r="C58" s="1137" t="s">
        <v>267</v>
      </c>
      <c r="D58" s="1137" t="s">
        <v>275</v>
      </c>
      <c r="E58" s="1477"/>
      <c r="F58" s="1479"/>
      <c r="G58" s="1170" t="s">
        <v>561</v>
      </c>
      <c r="H58" s="1170" t="s">
        <v>562</v>
      </c>
      <c r="I58" s="1170" t="s">
        <v>561</v>
      </c>
      <c r="J58" s="1170" t="s">
        <v>562</v>
      </c>
      <c r="K58" s="1170" t="s">
        <v>561</v>
      </c>
      <c r="L58" s="1170" t="s">
        <v>562</v>
      </c>
      <c r="M58" s="1136" t="s">
        <v>59</v>
      </c>
    </row>
    <row r="59" spans="1:1020 1029:2040 2049:3070 3079:4090 4099:5120 5129:6140 6149:7160 7169:8190 8199:9210 9219:10240 10249:11260 11269:12280 12289:13310 13319:14330 14339:15360 15369:16380" ht="27.95" customHeight="1" x14ac:dyDescent="0.2">
      <c r="A59" s="1074">
        <v>1</v>
      </c>
      <c r="B59" s="1157">
        <f>'DATOS %'!F48</f>
        <v>0</v>
      </c>
      <c r="C59" s="1163" t="str">
        <f>'DATOS %'!B48</f>
        <v>1 mg</v>
      </c>
      <c r="D59" s="1164" t="e">
        <f>'1 mg % '!$F$75</f>
        <v>#N/A</v>
      </c>
      <c r="E59" s="1160">
        <f>'DATOS %'!Z134</f>
        <v>0.06</v>
      </c>
      <c r="F59" s="1075">
        <f>'DATOS %'!AA134</f>
        <v>0.2</v>
      </c>
      <c r="G59" s="1076" t="e">
        <f>'mili Max-Min % '!C12</f>
        <v>#N/A</v>
      </c>
      <c r="H59" s="1077" t="e">
        <f>'mili Max-Min % '!C11</f>
        <v>#N/A</v>
      </c>
      <c r="I59" s="1077" t="e">
        <f>'mili Max-Min % '!D12</f>
        <v>#N/A</v>
      </c>
      <c r="J59" s="1077" t="e">
        <f>'mili Max-Min % '!D11</f>
        <v>#N/A</v>
      </c>
      <c r="K59" s="1078" t="e">
        <f>'mili Max-Min % '!E12</f>
        <v>#N/A</v>
      </c>
      <c r="L59" s="1077" t="e">
        <f>'mili Max-Min % '!E11</f>
        <v>#N/A</v>
      </c>
      <c r="M59" s="1079" t="e">
        <f t="shared" ref="M59:M70" si="0">IF(ABS(D59)+E59&lt;=F59,"SI","NO")</f>
        <v>#N/A</v>
      </c>
    </row>
    <row r="60" spans="1:1020 1029:2040 2049:3070 3079:4090 4099:5120 5129:6140 6149:7160 7169:8190 8199:9210 9219:10240 10249:11260 11269:12280 12289:13310 13319:14330 14339:15360 15369:16380" ht="27.95" customHeight="1" x14ac:dyDescent="0.2">
      <c r="A60" s="1080">
        <v>2</v>
      </c>
      <c r="B60" s="1158">
        <f>'DATOS %'!F49</f>
        <v>0</v>
      </c>
      <c r="C60" s="1165" t="str">
        <f>'DATOS %'!B49</f>
        <v>2 mg</v>
      </c>
      <c r="D60" s="1166" t="e">
        <f>'2 mg %'!F75</f>
        <v>#N/A</v>
      </c>
      <c r="E60" s="1161">
        <f>'DATOS %'!Z135</f>
        <v>0.06</v>
      </c>
      <c r="F60" s="1081">
        <f>'DATOS %'!AA135</f>
        <v>0.2</v>
      </c>
      <c r="G60" s="1082" t="e">
        <f>'mili Max-Min % '!C21</f>
        <v>#N/A</v>
      </c>
      <c r="H60" s="1083" t="e">
        <f>'mili Max-Min % '!C20</f>
        <v>#N/A</v>
      </c>
      <c r="I60" s="1083" t="e">
        <f>'mili Max-Min % '!D21</f>
        <v>#N/A</v>
      </c>
      <c r="J60" s="1083" t="e">
        <f>'mili Max-Min % '!D20</f>
        <v>#N/A</v>
      </c>
      <c r="K60" s="1083" t="e">
        <f>'mili Max-Min % '!E21</f>
        <v>#N/A</v>
      </c>
      <c r="L60" s="1084" t="e">
        <f>'mili Max-Min % '!E20</f>
        <v>#N/A</v>
      </c>
      <c r="M60" s="1085" t="e">
        <f t="shared" si="0"/>
        <v>#N/A</v>
      </c>
    </row>
    <row r="61" spans="1:1020 1029:2040 2049:3070 3079:4090 4099:5120 5129:6140 6149:7160 7169:8190 8199:9210 9219:10240 10249:11260 11269:12280 12289:13310 13319:14330 14339:15360 15369:16380" ht="27.95" customHeight="1" x14ac:dyDescent="0.2">
      <c r="A61" s="1080">
        <v>3</v>
      </c>
      <c r="B61" s="1158">
        <f>'DATOS %'!F50</f>
        <v>0</v>
      </c>
      <c r="C61" s="1165" t="str">
        <f>'DATOS %'!B49</f>
        <v>2 mg</v>
      </c>
      <c r="D61" s="1166" t="e">
        <f>'2 mg + % '!F75</f>
        <v>#N/A</v>
      </c>
      <c r="E61" s="1161">
        <f>'DATOS %'!Z136</f>
        <v>0.06</v>
      </c>
      <c r="F61" s="1081">
        <f>'DATOS %'!AA136</f>
        <v>0.2</v>
      </c>
      <c r="G61" s="1082" t="e">
        <f>'mili Max-Min % '!C30</f>
        <v>#N/A</v>
      </c>
      <c r="H61" s="1083" t="e">
        <f>'mili Max-Min % '!C29</f>
        <v>#N/A</v>
      </c>
      <c r="I61" s="1083" t="e">
        <f>'mili Max-Min % '!D30</f>
        <v>#N/A</v>
      </c>
      <c r="J61" s="1083" t="e">
        <f>'mili Max-Min % '!D29</f>
        <v>#N/A</v>
      </c>
      <c r="K61" s="1083" t="e">
        <f>'mili Max-Min % '!E30</f>
        <v>#N/A</v>
      </c>
      <c r="L61" s="1084" t="e">
        <f>'mili Max-Min % '!E29</f>
        <v>#N/A</v>
      </c>
      <c r="M61" s="1085" t="e">
        <f t="shared" si="0"/>
        <v>#N/A</v>
      </c>
    </row>
    <row r="62" spans="1:1020 1029:2040 2049:3070 3079:4090 4099:5120 5129:6140 6149:7160 7169:8190 8199:9210 9219:10240 10249:11260 11269:12280 12289:13310 13319:14330 14339:15360 15369:16380" ht="27.95" customHeight="1" x14ac:dyDescent="0.2">
      <c r="A62" s="1080">
        <v>4</v>
      </c>
      <c r="B62" s="1158">
        <f>'DATOS %'!F51</f>
        <v>0</v>
      </c>
      <c r="C62" s="1165" t="str">
        <f>'DATOS %'!B51</f>
        <v>5 mg</v>
      </c>
      <c r="D62" s="1166" t="e">
        <f>'5 mg % '!F75</f>
        <v>#N/A</v>
      </c>
      <c r="E62" s="1161">
        <f>'DATOS %'!Z137</f>
        <v>0.06</v>
      </c>
      <c r="F62" s="1081">
        <f>'DATOS %'!AA137</f>
        <v>0.2</v>
      </c>
      <c r="G62" s="1082" t="e">
        <f>'mili Max-Min % '!C39</f>
        <v>#N/A</v>
      </c>
      <c r="H62" s="1083" t="e">
        <f>'mili Max-Min % '!C38</f>
        <v>#N/A</v>
      </c>
      <c r="I62" s="1083" t="e">
        <f>'mili Max-Min % '!D39</f>
        <v>#N/A</v>
      </c>
      <c r="J62" s="1083" t="e">
        <f>'mili Max-Min % '!D38</f>
        <v>#N/A</v>
      </c>
      <c r="K62" s="1083" t="e">
        <f>'mili Max-Min % '!E39</f>
        <v>#N/A</v>
      </c>
      <c r="L62" s="1084" t="e">
        <f>'mili Max-Min % '!E38</f>
        <v>#N/A</v>
      </c>
      <c r="M62" s="1085" t="e">
        <f t="shared" si="0"/>
        <v>#N/A</v>
      </c>
    </row>
    <row r="63" spans="1:1020 1029:2040 2049:3070 3079:4090 4099:5120 5129:6140 6149:7160 7169:8190 8199:9210 9219:10240 10249:11260 11269:12280 12289:13310 13319:14330 14339:15360 15369:16380" s="1213" customFormat="1" ht="27.95" customHeight="1" x14ac:dyDescent="0.2">
      <c r="A63" s="1080">
        <v>5</v>
      </c>
      <c r="B63" s="1158">
        <f>'DATOS %'!F52</f>
        <v>0</v>
      </c>
      <c r="C63" s="1165" t="str">
        <f>'DATOS %'!B52</f>
        <v>10 mg</v>
      </c>
      <c r="D63" s="1166" t="e">
        <f>'10 mg % '!F75</f>
        <v>#N/A</v>
      </c>
      <c r="E63" s="1161">
        <f>'DATOS %'!Z138</f>
        <v>0.08</v>
      </c>
      <c r="F63" s="1081">
        <f>'DATOS %'!AA138</f>
        <v>0.25</v>
      </c>
      <c r="G63" s="1082" t="e">
        <f>'mili Max-Min % '!I12</f>
        <v>#N/A</v>
      </c>
      <c r="H63" s="1083" t="e">
        <f>'mili Max-Min % '!I11</f>
        <v>#N/A</v>
      </c>
      <c r="I63" s="1083" t="e">
        <f>'mili Max-Min % '!J12</f>
        <v>#N/A</v>
      </c>
      <c r="J63" s="1083" t="e">
        <f>'mili Max-Min % '!J11</f>
        <v>#N/A</v>
      </c>
      <c r="K63" s="1083" t="e">
        <f>'mili Max-Min % '!K12</f>
        <v>#N/A</v>
      </c>
      <c r="L63" s="1084" t="e">
        <f>'mili Max-Min % '!K11</f>
        <v>#N/A</v>
      </c>
      <c r="M63" s="1085" t="e">
        <f t="shared" si="0"/>
        <v>#N/A</v>
      </c>
      <c r="O63" s="1173"/>
      <c r="P63" s="1173"/>
      <c r="Q63" s="1173"/>
      <c r="R63" s="1173"/>
      <c r="S63" s="1173"/>
      <c r="T63" s="1173"/>
      <c r="U63" s="1173"/>
      <c r="V63" s="1173"/>
    </row>
    <row r="64" spans="1:1020 1029:2040 2049:3070 3079:4090 4099:5120 5129:6140 6149:7160 7169:8190 8199:9210 9219:10240 10249:11260 11269:12280 12289:13310 13319:14330 14339:15360 15369:16380" ht="27.95" customHeight="1" x14ac:dyDescent="0.2">
      <c r="A64" s="1080">
        <v>6</v>
      </c>
      <c r="B64" s="1158">
        <f>'DATOS %'!F53</f>
        <v>0</v>
      </c>
      <c r="C64" s="1165" t="str">
        <f>'DATOS %'!B53</f>
        <v>20 mg</v>
      </c>
      <c r="D64" s="1166" t="e">
        <f>'20 mg % '!F75</f>
        <v>#N/A</v>
      </c>
      <c r="E64" s="1161">
        <f>'DATOS %'!Z139</f>
        <v>0.1</v>
      </c>
      <c r="F64" s="1086">
        <f>'DATOS %'!AA139</f>
        <v>0.3</v>
      </c>
      <c r="G64" s="1082" t="e">
        <f>'mili Max-Min % '!I21</f>
        <v>#N/A</v>
      </c>
      <c r="H64" s="1083" t="e">
        <f>'mili Max-Min % '!I20</f>
        <v>#N/A</v>
      </c>
      <c r="I64" s="1083" t="e">
        <f>'mili Max-Min % '!J21</f>
        <v>#N/A</v>
      </c>
      <c r="J64" s="1083" t="e">
        <f>'mili Max-Min % '!J20</f>
        <v>#N/A</v>
      </c>
      <c r="K64" s="1083" t="e">
        <f>'mili Max-Min % '!K21</f>
        <v>#N/A</v>
      </c>
      <c r="L64" s="1084" t="e">
        <f>'mili Max-Min % '!K20</f>
        <v>#N/A</v>
      </c>
      <c r="M64" s="1085" t="e">
        <f t="shared" si="0"/>
        <v>#N/A</v>
      </c>
    </row>
    <row r="65" spans="1:15" ht="27.95" customHeight="1" x14ac:dyDescent="0.2">
      <c r="A65" s="1080">
        <v>7</v>
      </c>
      <c r="B65" s="1158">
        <f>'DATOS %'!F54</f>
        <v>0</v>
      </c>
      <c r="C65" s="1165" t="str">
        <f>'DATOS %'!B53</f>
        <v>20 mg</v>
      </c>
      <c r="D65" s="1166" t="e">
        <f>'20 mg + % '!F75</f>
        <v>#N/A</v>
      </c>
      <c r="E65" s="1161">
        <f>'DATOS %'!Z140</f>
        <v>0.1</v>
      </c>
      <c r="F65" s="1086">
        <f>'DATOS %'!AA140</f>
        <v>0.3</v>
      </c>
      <c r="G65" s="1082" t="e">
        <f>'mili Max-Min % '!I30</f>
        <v>#N/A</v>
      </c>
      <c r="H65" s="1083" t="e">
        <f>'mili Max-Min % '!I29</f>
        <v>#N/A</v>
      </c>
      <c r="I65" s="1083" t="e">
        <f>'mili Max-Min % '!J30</f>
        <v>#N/A</v>
      </c>
      <c r="J65" s="1083" t="e">
        <f>'mili Max-Min % '!J29</f>
        <v>#N/A</v>
      </c>
      <c r="K65" s="1083" t="e">
        <f>'mili Max-Min % '!K30</f>
        <v>#N/A</v>
      </c>
      <c r="L65" s="1084" t="e">
        <f>'mili Max-Min % '!K29</f>
        <v>#N/A</v>
      </c>
      <c r="M65" s="1085" t="e">
        <f t="shared" si="0"/>
        <v>#N/A</v>
      </c>
    </row>
    <row r="66" spans="1:15" ht="27.95" customHeight="1" x14ac:dyDescent="0.2">
      <c r="A66" s="1080">
        <v>8</v>
      </c>
      <c r="B66" s="1158">
        <f>'DATOS %'!F55</f>
        <v>0</v>
      </c>
      <c r="C66" s="1165" t="str">
        <f>'DATOS %'!B55</f>
        <v>50 mg</v>
      </c>
      <c r="D66" s="1166" t="e">
        <f>'50 mg % '!F75</f>
        <v>#N/A</v>
      </c>
      <c r="E66" s="1161">
        <f>'DATOS %'!Z141</f>
        <v>0.12</v>
      </c>
      <c r="F66" s="1086">
        <f>'DATOS %'!AA141</f>
        <v>0.4</v>
      </c>
      <c r="G66" s="1082" t="e">
        <f>'mili Max-Min % '!I39</f>
        <v>#N/A</v>
      </c>
      <c r="H66" s="1083" t="e">
        <f>'mili Max-Min % '!I38</f>
        <v>#N/A</v>
      </c>
      <c r="I66" s="1083" t="e">
        <f>'mili Max-Min % '!J39</f>
        <v>#N/A</v>
      </c>
      <c r="J66" s="1083" t="e">
        <f>'mili Max-Min % '!J38</f>
        <v>#N/A</v>
      </c>
      <c r="K66" s="1083" t="e">
        <f>'mili Max-Min % '!K39</f>
        <v>#N/A</v>
      </c>
      <c r="L66" s="1084" t="e">
        <f>'mili Max-Min % '!K38</f>
        <v>#N/A</v>
      </c>
      <c r="M66" s="1085" t="e">
        <f t="shared" si="0"/>
        <v>#N/A</v>
      </c>
    </row>
    <row r="67" spans="1:15" ht="27.95" customHeight="1" x14ac:dyDescent="0.2">
      <c r="A67" s="1080">
        <v>9</v>
      </c>
      <c r="B67" s="1158">
        <f>'DATOS %'!F56</f>
        <v>0</v>
      </c>
      <c r="C67" s="1165" t="str">
        <f>'DATOS %'!B56</f>
        <v>100 mg</v>
      </c>
      <c r="D67" s="1166" t="e">
        <f>'100 mg % '!F75</f>
        <v>#N/A</v>
      </c>
      <c r="E67" s="1161">
        <f>'DATOS %'!Z142</f>
        <v>0.16</v>
      </c>
      <c r="F67" s="1086">
        <f>'DATOS %'!AA142</f>
        <v>0.5</v>
      </c>
      <c r="G67" s="1082" t="e">
        <f>'mili Max-Min % '!O12</f>
        <v>#N/A</v>
      </c>
      <c r="H67" s="1083" t="e">
        <f>'mili Max-Min % '!O11</f>
        <v>#N/A</v>
      </c>
      <c r="I67" s="1083" t="e">
        <f>'mili Max-Min % '!P12</f>
        <v>#N/A</v>
      </c>
      <c r="J67" s="1083" t="e">
        <f>'mili Max-Min % '!P11</f>
        <v>#N/A</v>
      </c>
      <c r="K67" s="1083" t="e">
        <f>'mili Max-Min % '!Q12</f>
        <v>#N/A</v>
      </c>
      <c r="L67" s="1084" t="e">
        <f>'mili Max-Min % '!Q11</f>
        <v>#N/A</v>
      </c>
      <c r="M67" s="1085" t="e">
        <f t="shared" si="0"/>
        <v>#N/A</v>
      </c>
    </row>
    <row r="68" spans="1:15" ht="27.95" customHeight="1" x14ac:dyDescent="0.2">
      <c r="A68" s="1080">
        <v>10</v>
      </c>
      <c r="B68" s="1158">
        <f>'DATOS %'!F57</f>
        <v>0</v>
      </c>
      <c r="C68" s="1165" t="str">
        <f>'DATOS %'!B57</f>
        <v>200 mg</v>
      </c>
      <c r="D68" s="1166" t="e">
        <f>'200 mg % '!F75</f>
        <v>#N/A</v>
      </c>
      <c r="E68" s="1161">
        <f>'DATOS %'!Z143</f>
        <v>0.2</v>
      </c>
      <c r="F68" s="1086">
        <f>'DATOS %'!AA143</f>
        <v>0.6</v>
      </c>
      <c r="G68" s="1082" t="e">
        <f>'mili Max-Min % '!O21</f>
        <v>#N/A</v>
      </c>
      <c r="H68" s="1083" t="e">
        <f>'mili Max-Min % '!O20</f>
        <v>#N/A</v>
      </c>
      <c r="I68" s="1083" t="e">
        <f>'mili Max-Min % '!P21</f>
        <v>#N/A</v>
      </c>
      <c r="J68" s="1083" t="e">
        <f>'mili Max-Min % '!P20</f>
        <v>#N/A</v>
      </c>
      <c r="K68" s="1083" t="e">
        <f>'mili Max-Min % '!Q21</f>
        <v>#N/A</v>
      </c>
      <c r="L68" s="1084" t="e">
        <f>'mili Max-Min % '!Q20</f>
        <v>#N/A</v>
      </c>
      <c r="M68" s="1085" t="e">
        <f t="shared" si="0"/>
        <v>#N/A</v>
      </c>
    </row>
    <row r="69" spans="1:15" ht="27.95" customHeight="1" x14ac:dyDescent="0.2">
      <c r="A69" s="1080">
        <v>11</v>
      </c>
      <c r="B69" s="1158">
        <f>'DATOS %'!F58</f>
        <v>0</v>
      </c>
      <c r="C69" s="1165" t="str">
        <f>'DATOS %'!B57</f>
        <v>200 mg</v>
      </c>
      <c r="D69" s="1166" t="e">
        <f>'200 mg + %'!F75</f>
        <v>#N/A</v>
      </c>
      <c r="E69" s="1161">
        <f>'DATOS %'!Z144</f>
        <v>0.2</v>
      </c>
      <c r="F69" s="1086">
        <f>'DATOS %'!AA144</f>
        <v>0.6</v>
      </c>
      <c r="G69" s="1082" t="e">
        <f>'mili Max-Min % '!O30</f>
        <v>#N/A</v>
      </c>
      <c r="H69" s="1083" t="e">
        <f>'mili Max-Min % '!O29</f>
        <v>#N/A</v>
      </c>
      <c r="I69" s="1083" t="e">
        <f>'mili Max-Min % '!P30</f>
        <v>#N/A</v>
      </c>
      <c r="J69" s="1083" t="e">
        <f>'mili Max-Min % '!P29</f>
        <v>#N/A</v>
      </c>
      <c r="K69" s="1083" t="e">
        <f>'mili Max-Min % '!Q30</f>
        <v>#N/A</v>
      </c>
      <c r="L69" s="1084" t="e">
        <f>'mili Max-Min % '!Q29</f>
        <v>#N/A</v>
      </c>
      <c r="M69" s="1085" t="e">
        <f t="shared" si="0"/>
        <v>#N/A</v>
      </c>
    </row>
    <row r="70" spans="1:15" ht="27.95" customHeight="1" thickBot="1" x14ac:dyDescent="0.25">
      <c r="A70" s="1087">
        <v>12</v>
      </c>
      <c r="B70" s="1159">
        <f>'DATOS %'!F59</f>
        <v>0</v>
      </c>
      <c r="C70" s="1167" t="str">
        <f>'DATOS %'!B59</f>
        <v>500 mg</v>
      </c>
      <c r="D70" s="1168" t="e">
        <f>'500 mg % '!F75</f>
        <v>#N/A</v>
      </c>
      <c r="E70" s="1162">
        <f>'DATOS %'!Z145</f>
        <v>0.25</v>
      </c>
      <c r="F70" s="1088">
        <f>'DATOS %'!AA145</f>
        <v>0.8</v>
      </c>
      <c r="G70" s="1089" t="e">
        <f>'mili Max-Min % '!O39</f>
        <v>#N/A</v>
      </c>
      <c r="H70" s="1090" t="e">
        <f>'mili Max-Min % '!O38</f>
        <v>#N/A</v>
      </c>
      <c r="I70" s="1090" t="e">
        <f>'mili Max-Min % '!P39</f>
        <v>#N/A</v>
      </c>
      <c r="J70" s="1090" t="e">
        <f>'mili Max-Min % '!P38</f>
        <v>#N/A</v>
      </c>
      <c r="K70" s="1090" t="e">
        <f>'mili Max-Min % '!Q39</f>
        <v>#N/A</v>
      </c>
      <c r="L70" s="1091" t="e">
        <f>'mili Max-Min % '!Q38</f>
        <v>#N/A</v>
      </c>
      <c r="M70" s="1092" t="e">
        <f t="shared" si="0"/>
        <v>#N/A</v>
      </c>
      <c r="O70" s="1249"/>
    </row>
    <row r="71" spans="1:15" ht="20.100000000000001" customHeight="1" x14ac:dyDescent="0.2">
      <c r="A71" s="1240"/>
      <c r="B71" s="1240"/>
      <c r="C71" s="1240"/>
      <c r="D71" s="1240"/>
      <c r="E71" s="1240"/>
      <c r="F71" s="1240"/>
      <c r="G71" s="1241"/>
      <c r="H71" s="1241"/>
      <c r="I71" s="1241"/>
      <c r="J71" s="1242"/>
    </row>
    <row r="72" spans="1:15" ht="20.100000000000001" customHeight="1" x14ac:dyDescent="0.2">
      <c r="A72" s="1483" t="s">
        <v>456</v>
      </c>
      <c r="B72" s="1483"/>
      <c r="C72" s="1483"/>
      <c r="D72" s="1483"/>
      <c r="E72" s="1483"/>
      <c r="F72" s="1483"/>
      <c r="G72" s="1483"/>
      <c r="H72" s="1483"/>
      <c r="I72" s="1483"/>
      <c r="J72" s="1483"/>
      <c r="K72" s="1483"/>
      <c r="L72" s="1483"/>
      <c r="M72" s="1483"/>
    </row>
    <row r="73" spans="1:15" ht="20.100000000000001" customHeight="1" x14ac:dyDescent="0.2">
      <c r="A73" s="1483"/>
      <c r="B73" s="1483"/>
      <c r="C73" s="1483"/>
      <c r="D73" s="1483"/>
      <c r="E73" s="1483"/>
      <c r="F73" s="1483"/>
      <c r="G73" s="1483"/>
      <c r="H73" s="1483"/>
      <c r="I73" s="1483"/>
      <c r="J73" s="1483"/>
      <c r="K73" s="1483"/>
      <c r="L73" s="1483"/>
      <c r="M73" s="1483"/>
    </row>
    <row r="74" spans="1:15" ht="20.100000000000001" customHeight="1" x14ac:dyDescent="0.2">
      <c r="A74" s="1483"/>
      <c r="B74" s="1483"/>
      <c r="C74" s="1483"/>
      <c r="D74" s="1483"/>
      <c r="E74" s="1483"/>
      <c r="F74" s="1483"/>
      <c r="G74" s="1483"/>
      <c r="H74" s="1483"/>
      <c r="I74" s="1483"/>
      <c r="J74" s="1483"/>
      <c r="K74" s="1483"/>
      <c r="L74" s="1483"/>
      <c r="M74" s="1483"/>
    </row>
    <row r="75" spans="1:15" ht="20.100000000000001" customHeight="1" x14ac:dyDescent="0.2">
      <c r="A75" s="1243"/>
      <c r="B75" s="1243"/>
      <c r="C75" s="1243"/>
      <c r="D75" s="1243"/>
      <c r="E75" s="1243"/>
      <c r="F75" s="1243"/>
      <c r="G75" s="1243"/>
      <c r="H75" s="1243"/>
      <c r="I75" s="1243"/>
      <c r="J75" s="1243"/>
    </row>
    <row r="76" spans="1:15" ht="18.75" customHeight="1" x14ac:dyDescent="0.2">
      <c r="A76" s="1243"/>
      <c r="B76" s="1243"/>
      <c r="C76" s="1243"/>
      <c r="D76" s="1243"/>
      <c r="E76" s="1243"/>
      <c r="F76" s="1243"/>
      <c r="G76" s="1243"/>
      <c r="H76" s="1243"/>
      <c r="I76" s="1243"/>
      <c r="J76" s="1243"/>
    </row>
    <row r="77" spans="1:15" ht="125.1" customHeight="1" x14ac:dyDescent="0.2">
      <c r="A77" s="1244"/>
      <c r="B77" s="1244"/>
      <c r="C77" s="1244"/>
      <c r="D77" s="1244"/>
      <c r="E77" s="1244"/>
      <c r="F77" s="1244"/>
      <c r="G77" s="1244"/>
      <c r="H77" s="1244"/>
      <c r="I77" s="1244"/>
      <c r="J77" s="1244"/>
    </row>
    <row r="78" spans="1:15" ht="35.1" customHeight="1" x14ac:dyDescent="0.2">
      <c r="A78" s="1244"/>
      <c r="B78" s="1244"/>
      <c r="C78" s="1244"/>
      <c r="D78" s="1244"/>
      <c r="E78" s="1244"/>
      <c r="F78" s="1244"/>
      <c r="G78" s="1244"/>
      <c r="H78" s="1244"/>
      <c r="I78" s="1244"/>
      <c r="J78" s="1244"/>
    </row>
    <row r="79" spans="1:15" ht="35.1" customHeight="1" x14ac:dyDescent="0.2">
      <c r="A79" s="1244"/>
      <c r="B79" s="1244"/>
      <c r="C79" s="1244"/>
      <c r="D79" s="1244"/>
      <c r="E79" s="1244"/>
      <c r="F79" s="1244"/>
      <c r="G79" s="1244"/>
      <c r="H79" s="1244"/>
      <c r="I79" s="1244"/>
      <c r="J79" s="1446" t="s">
        <v>24</v>
      </c>
      <c r="K79" s="1446"/>
      <c r="L79" s="1469">
        <f>L3</f>
        <v>0</v>
      </c>
      <c r="M79" s="1469"/>
    </row>
    <row r="80" spans="1:15" ht="23.1" customHeight="1" x14ac:dyDescent="0.2">
      <c r="A80" s="1482" t="s">
        <v>251</v>
      </c>
      <c r="B80" s="1482"/>
      <c r="C80" s="1482"/>
      <c r="D80" s="1482"/>
    </row>
    <row r="81" spans="1:13" ht="20.100000000000001" customHeight="1" x14ac:dyDescent="0.2"/>
    <row r="82" spans="1:13" s="1245" customFormat="1" ht="33" customHeight="1" x14ac:dyDescent="0.25">
      <c r="A82" s="1169" t="s">
        <v>130</v>
      </c>
      <c r="B82" s="1438" t="s">
        <v>270</v>
      </c>
      <c r="C82" s="1438"/>
      <c r="D82" s="1438"/>
      <c r="E82" s="1438"/>
      <c r="F82" s="1438"/>
      <c r="G82" s="1438"/>
      <c r="H82" s="1438"/>
      <c r="I82" s="1438"/>
      <c r="J82" s="1438"/>
      <c r="K82" s="1438"/>
      <c r="L82" s="1438"/>
      <c r="M82" s="1438"/>
    </row>
    <row r="83" spans="1:13" s="1245" customFormat="1" ht="33" customHeight="1" x14ac:dyDescent="0.25">
      <c r="A83" s="1169" t="s">
        <v>130</v>
      </c>
      <c r="B83" s="1438" t="s">
        <v>271</v>
      </c>
      <c r="C83" s="1438"/>
      <c r="D83" s="1438"/>
      <c r="E83" s="1438"/>
      <c r="F83" s="1438"/>
      <c r="G83" s="1438"/>
      <c r="H83" s="1438"/>
      <c r="I83" s="1438"/>
      <c r="J83" s="1438"/>
      <c r="K83" s="1438"/>
      <c r="L83" s="1438"/>
      <c r="M83" s="1438"/>
    </row>
    <row r="84" spans="1:13" s="1245" customFormat="1" ht="33" customHeight="1" x14ac:dyDescent="0.25">
      <c r="A84" s="1169" t="s">
        <v>130</v>
      </c>
      <c r="B84" s="1438" t="s">
        <v>284</v>
      </c>
      <c r="C84" s="1438"/>
      <c r="D84" s="1438"/>
      <c r="E84" s="1438"/>
      <c r="F84" s="1438"/>
      <c r="G84" s="1438"/>
      <c r="H84" s="1438"/>
      <c r="I84" s="1438"/>
      <c r="J84" s="1438"/>
      <c r="K84" s="1438"/>
      <c r="L84" s="1438"/>
      <c r="M84" s="1438"/>
    </row>
    <row r="85" spans="1:13" s="1245" customFormat="1" ht="23.1" customHeight="1" x14ac:dyDescent="0.25">
      <c r="A85" s="1169" t="s">
        <v>130</v>
      </c>
      <c r="B85" s="1438" t="s">
        <v>317</v>
      </c>
      <c r="C85" s="1438"/>
      <c r="D85" s="1438"/>
      <c r="E85" s="1438"/>
      <c r="F85" s="1438"/>
      <c r="G85" s="1438"/>
      <c r="H85" s="1438"/>
      <c r="I85" s="1438"/>
      <c r="J85" s="1438"/>
      <c r="K85" s="1438"/>
      <c r="L85" s="1438"/>
      <c r="M85" s="1438"/>
    </row>
    <row r="86" spans="1:13" s="1245" customFormat="1" ht="23.1" customHeight="1" x14ac:dyDescent="0.25">
      <c r="A86" s="1169" t="s">
        <v>130</v>
      </c>
      <c r="B86" s="1438" t="s">
        <v>185</v>
      </c>
      <c r="C86" s="1438"/>
      <c r="D86" s="1438"/>
      <c r="E86" s="1438"/>
      <c r="F86" s="1438"/>
      <c r="G86" s="1438"/>
      <c r="H86" s="1438"/>
      <c r="I86" s="1438"/>
      <c r="J86" s="1438"/>
      <c r="K86" s="1438"/>
      <c r="L86" s="1438"/>
      <c r="M86" s="1438"/>
    </row>
    <row r="87" spans="1:13" s="1245" customFormat="1" ht="33" customHeight="1" x14ac:dyDescent="0.25">
      <c r="A87" s="1169" t="s">
        <v>130</v>
      </c>
      <c r="B87" s="1438" t="s">
        <v>272</v>
      </c>
      <c r="C87" s="1438"/>
      <c r="D87" s="1438"/>
      <c r="E87" s="1438"/>
      <c r="F87" s="1438"/>
      <c r="G87" s="1438"/>
      <c r="H87" s="1438"/>
      <c r="I87" s="1438"/>
      <c r="J87" s="1438"/>
      <c r="K87" s="1438"/>
      <c r="L87" s="1438"/>
      <c r="M87" s="1438"/>
    </row>
    <row r="88" spans="1:13" s="1245" customFormat="1" ht="23.1" customHeight="1" x14ac:dyDescent="0.25">
      <c r="A88" s="1169" t="s">
        <v>130</v>
      </c>
      <c r="B88" s="1438" t="s">
        <v>295</v>
      </c>
      <c r="C88" s="1438"/>
      <c r="D88" s="1438"/>
      <c r="E88" s="1438"/>
      <c r="F88" s="1438"/>
      <c r="G88" s="1438"/>
      <c r="H88" s="1438"/>
      <c r="I88" s="1438"/>
      <c r="J88" s="1438"/>
      <c r="K88" s="1438"/>
      <c r="L88" s="1438"/>
      <c r="M88" s="1438"/>
    </row>
    <row r="89" spans="1:13" s="1245" customFormat="1" ht="23.1" customHeight="1" x14ac:dyDescent="0.25">
      <c r="A89" s="1169" t="s">
        <v>130</v>
      </c>
      <c r="B89" s="1438" t="s">
        <v>285</v>
      </c>
      <c r="C89" s="1438"/>
      <c r="D89" s="1438"/>
      <c r="E89" s="1438"/>
      <c r="F89" s="1438"/>
      <c r="G89" s="1438"/>
      <c r="H89" s="1438"/>
      <c r="I89" s="1438"/>
      <c r="J89" s="1438"/>
      <c r="K89" s="1438"/>
      <c r="L89" s="1438"/>
      <c r="M89" s="1438"/>
    </row>
    <row r="90" spans="1:13" ht="23.1" customHeight="1" x14ac:dyDescent="0.2">
      <c r="A90" s="1169" t="s">
        <v>130</v>
      </c>
      <c r="B90" s="1438" t="s">
        <v>308</v>
      </c>
      <c r="C90" s="1438"/>
      <c r="D90" s="1438"/>
      <c r="E90" s="1438"/>
      <c r="F90" s="1438"/>
      <c r="G90" s="1438"/>
      <c r="H90" s="1438"/>
      <c r="I90" s="1438"/>
      <c r="J90" s="1438"/>
      <c r="K90" s="1438"/>
      <c r="L90" s="1438"/>
      <c r="M90" s="1438"/>
    </row>
    <row r="91" spans="1:13" ht="23.1" customHeight="1" x14ac:dyDescent="0.2">
      <c r="A91" s="1169" t="s">
        <v>130</v>
      </c>
      <c r="B91" s="1438" t="s">
        <v>349</v>
      </c>
      <c r="C91" s="1438"/>
      <c r="D91" s="1438"/>
      <c r="E91" s="1438"/>
      <c r="F91" s="1438"/>
      <c r="G91" s="1438"/>
      <c r="H91" s="1438"/>
      <c r="I91" s="1438"/>
      <c r="J91" s="1438"/>
      <c r="K91" s="1438"/>
      <c r="L91" s="1438"/>
      <c r="M91" s="1438"/>
    </row>
    <row r="92" spans="1:13" ht="33" customHeight="1" x14ac:dyDescent="0.2">
      <c r="A92" s="1169" t="s">
        <v>130</v>
      </c>
      <c r="B92" s="1438" t="s">
        <v>545</v>
      </c>
      <c r="C92" s="1438"/>
      <c r="D92" s="1438"/>
      <c r="E92" s="1438"/>
      <c r="F92" s="1438"/>
      <c r="G92" s="1438"/>
      <c r="H92" s="1438"/>
      <c r="I92" s="1438"/>
      <c r="J92" s="1438"/>
      <c r="K92" s="1438"/>
      <c r="L92" s="1438"/>
      <c r="M92" s="1438"/>
    </row>
    <row r="93" spans="1:13" ht="20.100000000000001" customHeight="1" x14ac:dyDescent="0.2">
      <c r="A93" s="395"/>
      <c r="B93" s="1250"/>
      <c r="C93" s="1250"/>
      <c r="D93" s="1250"/>
      <c r="E93" s="1250"/>
      <c r="F93" s="1250"/>
      <c r="G93" s="1250"/>
      <c r="H93" s="1250"/>
    </row>
    <row r="94" spans="1:13" ht="20.100000000000001" customHeight="1" x14ac:dyDescent="0.2"/>
    <row r="95" spans="1:13" ht="23.1" customHeight="1" x14ac:dyDescent="0.25">
      <c r="A95" s="1484" t="s">
        <v>16</v>
      </c>
      <c r="B95" s="1484"/>
      <c r="C95" s="1484"/>
      <c r="E95" s="396"/>
    </row>
    <row r="96" spans="1:13" ht="20.100000000000001" customHeight="1" x14ac:dyDescent="0.2"/>
    <row r="97" spans="1:13" ht="20.100000000000001" customHeight="1" x14ac:dyDescent="0.2">
      <c r="G97" s="1246"/>
      <c r="J97" s="1174"/>
    </row>
    <row r="98" spans="1:13" ht="23.1" customHeight="1" thickBot="1" x14ac:dyDescent="0.3">
      <c r="A98" s="396"/>
      <c r="B98" s="1468"/>
      <c r="C98" s="1468"/>
      <c r="D98" s="1468"/>
      <c r="E98" s="1468"/>
      <c r="F98" s="397"/>
      <c r="I98" s="1468"/>
      <c r="J98" s="1468"/>
      <c r="K98" s="1468"/>
      <c r="L98" s="1468"/>
      <c r="M98" s="397"/>
    </row>
    <row r="99" spans="1:13" ht="23.1" customHeight="1" x14ac:dyDescent="0.2">
      <c r="B99" s="1442" t="s">
        <v>247</v>
      </c>
      <c r="C99" s="1442"/>
      <c r="D99" s="1442"/>
      <c r="E99" s="1442"/>
      <c r="F99" s="1190"/>
      <c r="I99" s="1443" t="s">
        <v>127</v>
      </c>
      <c r="J99" s="1443"/>
      <c r="K99" s="1443"/>
      <c r="L99" s="1443"/>
    </row>
    <row r="100" spans="1:13" ht="27" customHeight="1" x14ac:dyDescent="0.25">
      <c r="A100" s="396"/>
      <c r="B100" s="1439" t="e">
        <f>VLOOKUP($F$98,'DATOS %'!$V$161:$Y$165,4,FALSE)</f>
        <v>#N/A</v>
      </c>
      <c r="C100" s="1439"/>
      <c r="D100" s="1439"/>
      <c r="E100" s="1439"/>
      <c r="F100" s="524"/>
      <c r="I100" s="1439" t="e">
        <f>VLOOKUP($M$98,'DATOS %'!V161:AA165,6,FALSE)</f>
        <v>#N/A</v>
      </c>
      <c r="J100" s="1439"/>
      <c r="K100" s="1439"/>
      <c r="L100" s="1439"/>
    </row>
    <row r="101" spans="1:13" ht="23.1" customHeight="1" x14ac:dyDescent="0.2">
      <c r="B101" s="1439" t="e">
        <f>VLOOKUP($F$98,'DATOS %'!$V$161:$Y$165,2,FALSE)</f>
        <v>#N/A</v>
      </c>
      <c r="C101" s="1439"/>
      <c r="D101" s="1439"/>
      <c r="E101" s="1439"/>
      <c r="F101" s="1190"/>
      <c r="I101" s="1439" t="e">
        <f>VLOOKUP($M$98,'DATOS %'!$V$161:$AA$165,2,FALSE)</f>
        <v>#N/A</v>
      </c>
      <c r="J101" s="1439"/>
      <c r="K101" s="1439"/>
      <c r="L101" s="1439"/>
    </row>
    <row r="102" spans="1:13" x14ac:dyDescent="0.2">
      <c r="J102" s="1174"/>
    </row>
    <row r="103" spans="1:13" ht="23.1" customHeight="1" x14ac:dyDescent="0.2">
      <c r="B103" s="1440" t="s">
        <v>296</v>
      </c>
      <c r="C103" s="1440"/>
      <c r="D103" s="1437"/>
      <c r="E103" s="1437"/>
      <c r="G103" s="1444" t="s">
        <v>350</v>
      </c>
      <c r="H103" s="1444"/>
      <c r="I103" s="1444"/>
      <c r="J103" s="1441"/>
      <c r="K103" s="1441"/>
      <c r="L103" s="1180"/>
      <c r="M103" s="1180"/>
    </row>
    <row r="104" spans="1:13" x14ac:dyDescent="0.2">
      <c r="J104" s="1174"/>
    </row>
    <row r="105" spans="1:13" ht="23.1" customHeight="1" x14ac:dyDescent="0.25">
      <c r="A105" s="1436" t="s">
        <v>60</v>
      </c>
      <c r="B105" s="1436"/>
      <c r="C105" s="1436"/>
      <c r="D105" s="1436"/>
      <c r="E105" s="1436"/>
      <c r="F105" s="1436"/>
      <c r="G105" s="1436"/>
      <c r="H105" s="1436"/>
      <c r="I105" s="1436"/>
      <c r="J105" s="1436"/>
      <c r="K105" s="1436"/>
      <c r="L105" s="1436"/>
      <c r="M105" s="1436"/>
    </row>
  </sheetData>
  <sheetProtection password="CF5C" sheet="1" objects="1" scenarios="1"/>
  <mergeCells count="100">
    <mergeCell ref="A72:M74"/>
    <mergeCell ref="B91:M91"/>
    <mergeCell ref="B92:M92"/>
    <mergeCell ref="A95:C95"/>
    <mergeCell ref="B87:M87"/>
    <mergeCell ref="B88:M88"/>
    <mergeCell ref="B89:M89"/>
    <mergeCell ref="B90:M90"/>
    <mergeCell ref="I98:L98"/>
    <mergeCell ref="L54:M54"/>
    <mergeCell ref="A55:J55"/>
    <mergeCell ref="A57:A58"/>
    <mergeCell ref="B57:B58"/>
    <mergeCell ref="C57:D57"/>
    <mergeCell ref="E57:E58"/>
    <mergeCell ref="F57:F58"/>
    <mergeCell ref="I57:J57"/>
    <mergeCell ref="K57:L57"/>
    <mergeCell ref="J54:K54"/>
    <mergeCell ref="J79:K79"/>
    <mergeCell ref="L79:M79"/>
    <mergeCell ref="A80:D80"/>
    <mergeCell ref="G57:H57"/>
    <mergeCell ref="B98:E98"/>
    <mergeCell ref="J3:K3"/>
    <mergeCell ref="L3:M3"/>
    <mergeCell ref="A4:C4"/>
    <mergeCell ref="G4:H4"/>
    <mergeCell ref="A16:C16"/>
    <mergeCell ref="D16:G16"/>
    <mergeCell ref="A7:B7"/>
    <mergeCell ref="D7:J7"/>
    <mergeCell ref="A8:B8"/>
    <mergeCell ref="D8:G8"/>
    <mergeCell ref="A10:C10"/>
    <mergeCell ref="D10:E10"/>
    <mergeCell ref="F10:H10"/>
    <mergeCell ref="I10:J10"/>
    <mergeCell ref="A12:J12"/>
    <mergeCell ref="A14:C14"/>
    <mergeCell ref="D14:J14"/>
    <mergeCell ref="A15:C15"/>
    <mergeCell ref="D15:G15"/>
    <mergeCell ref="A1:M1"/>
    <mergeCell ref="A28:M28"/>
    <mergeCell ref="A22:M22"/>
    <mergeCell ref="A6:B6"/>
    <mergeCell ref="D6:J6"/>
    <mergeCell ref="A17:C17"/>
    <mergeCell ref="D17:E17"/>
    <mergeCell ref="F17:G17"/>
    <mergeCell ref="A19:E19"/>
    <mergeCell ref="F19:J19"/>
    <mergeCell ref="A21:F21"/>
    <mergeCell ref="B23:E23"/>
    <mergeCell ref="A24:D24"/>
    <mergeCell ref="B99:E99"/>
    <mergeCell ref="I99:L99"/>
    <mergeCell ref="G103:I103"/>
    <mergeCell ref="E24:F24"/>
    <mergeCell ref="A26:J26"/>
    <mergeCell ref="J32:K32"/>
    <mergeCell ref="L32:M32"/>
    <mergeCell ref="A33:J33"/>
    <mergeCell ref="B44:D44"/>
    <mergeCell ref="H44:I44"/>
    <mergeCell ref="J44:K44"/>
    <mergeCell ref="B45:D45"/>
    <mergeCell ref="H45:I45"/>
    <mergeCell ref="J45:K45"/>
    <mergeCell ref="A41:M42"/>
    <mergeCell ref="A49:M50"/>
    <mergeCell ref="B37:C37"/>
    <mergeCell ref="D37:E37"/>
    <mergeCell ref="F37:G37"/>
    <mergeCell ref="A105:M105"/>
    <mergeCell ref="D103:E103"/>
    <mergeCell ref="B82:M82"/>
    <mergeCell ref="B83:M83"/>
    <mergeCell ref="B84:M84"/>
    <mergeCell ref="B85:M85"/>
    <mergeCell ref="B86:M86"/>
    <mergeCell ref="B100:E100"/>
    <mergeCell ref="I100:L100"/>
    <mergeCell ref="B101:E101"/>
    <mergeCell ref="I101:L101"/>
    <mergeCell ref="B103:C103"/>
    <mergeCell ref="J103:K103"/>
    <mergeCell ref="B35:C36"/>
    <mergeCell ref="D35:E36"/>
    <mergeCell ref="F35:G36"/>
    <mergeCell ref="H35:K35"/>
    <mergeCell ref="H36:I36"/>
    <mergeCell ref="J36:K36"/>
    <mergeCell ref="A52:J52"/>
    <mergeCell ref="A40:J40"/>
    <mergeCell ref="A38:B38"/>
    <mergeCell ref="C38:D38"/>
    <mergeCell ref="E38:F38"/>
    <mergeCell ref="A47:J47"/>
  </mergeCells>
  <dataValidations count="1">
    <dataValidation type="list" allowBlank="1" showInputMessage="1" showErrorMessage="1" sqref="F98" xr:uid="{00000000-0002-0000-0F00-000000000000}">
      <formula1>$V$157:$V$161</formula1>
    </dataValidation>
  </dataValidations>
  <printOptions horizontalCentered="1"/>
  <pageMargins left="0.70866141732283472" right="0.70866141732283472" top="0.6692913385826772" bottom="0" header="0.31496062992125984" footer="0.31496062992125984"/>
  <pageSetup scale="70" orientation="portrait" r:id="rId1"/>
  <headerFooter>
    <oddHeader xml:space="preserve">&amp;C&amp;"-,Negrita"
           CERTIFICADO DE CALIBRACIÓN DE PESAS </oddHeader>
    <oddFooter>&amp;R
RT03-F16 Vr.13 (2021-05-21)
&amp;P de &amp;N</oddFooter>
  </headerFooter>
  <rowBreaks count="3" manualBreakCount="3">
    <brk id="29" max="12" man="1"/>
    <brk id="51" max="12" man="1"/>
    <brk id="76" max="12" man="1"/>
  </rowBreaks>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F00-000001000000}">
          <x14:formula1>
            <xm:f>'DATOS %'!$B$175:$B$187</xm:f>
          </x14:formula1>
          <xm:sqref>K34</xm:sqref>
        </x14:dataValidation>
        <x14:dataValidation type="list" allowBlank="1" showInputMessage="1" showErrorMessage="1" xr:uid="{00000000-0002-0000-0F00-000002000000}">
          <x14:formula1>
            <xm:f>'DATOS %'!$V$161:$V$165</xm:f>
          </x14:formula1>
          <xm:sqref>M98</xm:sqref>
        </x14:dataValidation>
      </x14:dataValidation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CB244"/>
  <sheetViews>
    <sheetView showGridLines="0" view="pageBreakPreview" zoomScale="60" zoomScaleNormal="50" zoomScalePageLayoutView="10" workbookViewId="0">
      <selection activeCell="C65" sqref="C65"/>
    </sheetView>
  </sheetViews>
  <sheetFormatPr baseColWidth="10" defaultColWidth="15.7109375" defaultRowHeight="15" x14ac:dyDescent="0.25"/>
  <cols>
    <col min="1" max="1" width="20.7109375" style="159" customWidth="1"/>
    <col min="2" max="2" width="20.140625" style="159" customWidth="1"/>
    <col min="3" max="3" width="19" style="159" customWidth="1"/>
    <col min="4" max="4" width="20.7109375" style="159" customWidth="1"/>
    <col min="5" max="5" width="25.7109375" style="159" customWidth="1"/>
    <col min="6" max="7" width="20.7109375" style="159" customWidth="1"/>
    <col min="8" max="8" width="18.85546875" style="159" customWidth="1"/>
    <col min="9" max="9" width="22.85546875" style="159" customWidth="1"/>
    <col min="10" max="20" width="20.7109375" style="159" customWidth="1"/>
    <col min="21" max="21" width="23.5703125" style="159" customWidth="1"/>
    <col min="22" max="30" width="20.7109375" style="159" customWidth="1"/>
    <col min="31" max="31" width="19.85546875" style="159" bestFit="1" customWidth="1"/>
    <col min="32" max="35" width="15.85546875" style="159" bestFit="1" customWidth="1"/>
    <col min="36" max="40" width="16" style="159" customWidth="1"/>
    <col min="41" max="44" width="10.7109375" style="159" customWidth="1"/>
    <col min="45" max="45" width="16" style="159" bestFit="1" customWidth="1"/>
    <col min="46" max="46" width="15.85546875" style="159" bestFit="1" customWidth="1"/>
    <col min="47" max="47" width="20.7109375" style="159" bestFit="1" customWidth="1"/>
    <col min="48" max="48" width="15.85546875" style="159" bestFit="1" customWidth="1"/>
    <col min="49" max="49" width="15.7109375" style="159"/>
    <col min="50" max="50" width="20" style="159" customWidth="1"/>
    <col min="51" max="52" width="10.7109375" style="159" customWidth="1"/>
    <col min="53" max="16384" width="15.7109375" style="159"/>
  </cols>
  <sheetData>
    <row r="1" spans="1:80" ht="120.75" customHeight="1" thickBot="1" x14ac:dyDescent="0.3">
      <c r="A1" s="1485"/>
      <c r="B1" s="1485"/>
      <c r="C1" s="1485"/>
      <c r="D1" s="1485"/>
      <c r="E1" s="1485"/>
      <c r="F1" s="1486" t="s">
        <v>57</v>
      </c>
      <c r="G1" s="1487"/>
      <c r="H1" s="1487"/>
      <c r="I1" s="1487"/>
      <c r="J1" s="1487"/>
      <c r="K1" s="1487"/>
      <c r="L1" s="1487"/>
      <c r="M1" s="1487"/>
      <c r="N1" s="1487"/>
      <c r="O1" s="1487"/>
      <c r="P1" s="1487"/>
      <c r="Q1" s="1487"/>
      <c r="R1" s="1487"/>
      <c r="S1" s="1487"/>
      <c r="T1" s="1487"/>
      <c r="U1" s="1487"/>
      <c r="V1" s="1487"/>
      <c r="W1" s="1487"/>
      <c r="X1" s="1487"/>
      <c r="Y1" s="1487"/>
      <c r="Z1" s="1487"/>
      <c r="AA1" s="1487"/>
    </row>
    <row r="2" spans="1:80" ht="30" customHeight="1" thickBot="1" x14ac:dyDescent="0.3">
      <c r="B2" s="158"/>
      <c r="C2" s="158"/>
      <c r="D2" s="158"/>
      <c r="E2" s="158"/>
      <c r="F2" s="158"/>
      <c r="G2" s="158"/>
      <c r="H2" s="158"/>
      <c r="I2" s="158"/>
      <c r="J2" s="158"/>
      <c r="K2" s="158"/>
      <c r="L2" s="158"/>
      <c r="AP2" s="158"/>
      <c r="AQ2" s="158"/>
      <c r="AR2" s="158"/>
      <c r="AS2" s="158"/>
      <c r="AT2" s="158"/>
      <c r="AU2" s="158"/>
      <c r="AV2" s="158"/>
      <c r="AW2" s="158"/>
      <c r="AX2" s="158"/>
      <c r="AY2" s="158"/>
      <c r="AZ2" s="158"/>
    </row>
    <row r="3" spans="1:80" ht="30" customHeight="1" x14ac:dyDescent="0.25">
      <c r="B3" s="1664" t="s">
        <v>162</v>
      </c>
      <c r="C3" s="1665"/>
      <c r="D3" s="1665"/>
      <c r="E3" s="1665"/>
      <c r="F3" s="1665"/>
      <c r="G3" s="1665"/>
      <c r="H3" s="1665"/>
      <c r="I3" s="1665"/>
      <c r="J3" s="1666"/>
      <c r="K3" s="158"/>
      <c r="L3" s="158"/>
      <c r="M3" s="158"/>
      <c r="AP3" s="158"/>
      <c r="AQ3" s="160"/>
      <c r="AR3" s="158"/>
      <c r="AS3" s="158"/>
      <c r="AT3" s="158"/>
      <c r="AU3" s="158"/>
      <c r="AV3" s="158"/>
      <c r="AW3" s="158"/>
      <c r="AX3" s="158"/>
      <c r="AY3" s="158"/>
      <c r="AZ3" s="158"/>
    </row>
    <row r="4" spans="1:80" ht="30" customHeight="1" thickBot="1" x14ac:dyDescent="0.3">
      <c r="B4" s="1667"/>
      <c r="C4" s="1668"/>
      <c r="D4" s="1668"/>
      <c r="E4" s="1668"/>
      <c r="F4" s="1668"/>
      <c r="G4" s="1668"/>
      <c r="H4" s="1668"/>
      <c r="I4" s="1668"/>
      <c r="J4" s="1669"/>
      <c r="K4" s="158"/>
      <c r="L4" s="158"/>
      <c r="M4" s="158"/>
      <c r="AQ4" s="158"/>
      <c r="AR4" s="158"/>
      <c r="AS4" s="158"/>
      <c r="AT4" s="158"/>
      <c r="AU4" s="158"/>
      <c r="AV4" s="158"/>
      <c r="AW4" s="158"/>
      <c r="AX4" s="158"/>
      <c r="AY4" s="158"/>
      <c r="AZ4" s="158"/>
    </row>
    <row r="5" spans="1:80" ht="30" customHeight="1" x14ac:dyDescent="0.25">
      <c r="B5" s="1670" t="s">
        <v>4</v>
      </c>
      <c r="C5" s="1672" t="s">
        <v>207</v>
      </c>
      <c r="D5" s="1672" t="s">
        <v>312</v>
      </c>
      <c r="E5" s="1672" t="s">
        <v>18</v>
      </c>
      <c r="F5" s="1672" t="s">
        <v>297</v>
      </c>
      <c r="G5" s="1672" t="s">
        <v>279</v>
      </c>
      <c r="H5" s="1672" t="s">
        <v>8</v>
      </c>
      <c r="I5" s="1672" t="s">
        <v>496</v>
      </c>
      <c r="J5" s="1654" t="s">
        <v>497</v>
      </c>
      <c r="K5" s="158"/>
      <c r="L5" s="158"/>
      <c r="M5" s="158"/>
      <c r="AQ5" s="158"/>
      <c r="AR5" s="158"/>
      <c r="AS5" s="158"/>
      <c r="AT5" s="158"/>
      <c r="AU5" s="158"/>
      <c r="AV5" s="158"/>
      <c r="AW5" s="158"/>
      <c r="AX5" s="158"/>
      <c r="AY5" s="158"/>
      <c r="AZ5" s="158"/>
    </row>
    <row r="6" spans="1:80" ht="30" customHeight="1" thickBot="1" x14ac:dyDescent="0.3">
      <c r="B6" s="1671"/>
      <c r="C6" s="1673"/>
      <c r="D6" s="1673"/>
      <c r="E6" s="1673"/>
      <c r="F6" s="1673"/>
      <c r="G6" s="1673"/>
      <c r="H6" s="1673"/>
      <c r="I6" s="1673"/>
      <c r="J6" s="1655"/>
      <c r="K6" s="158"/>
      <c r="L6" s="158"/>
      <c r="M6" s="158"/>
      <c r="AS6" s="158"/>
      <c r="AT6" s="158"/>
      <c r="AU6" s="158"/>
      <c r="AV6" s="158"/>
      <c r="AW6" s="158"/>
      <c r="AX6" s="158"/>
      <c r="AY6" s="158"/>
      <c r="AZ6" s="158"/>
    </row>
    <row r="7" spans="1:80" ht="30" customHeight="1" thickBot="1" x14ac:dyDescent="0.3">
      <c r="B7" s="536"/>
      <c r="C7" s="537"/>
      <c r="D7" s="537"/>
      <c r="E7" s="537"/>
      <c r="F7" s="537"/>
      <c r="G7" s="537"/>
      <c r="H7" s="537"/>
      <c r="I7" s="537"/>
      <c r="J7" s="538"/>
      <c r="M7" s="158"/>
      <c r="N7" s="1674" t="s">
        <v>184</v>
      </c>
      <c r="O7" s="1675"/>
      <c r="P7" s="1675"/>
      <c r="Q7" s="1675"/>
      <c r="R7" s="1675"/>
      <c r="S7" s="1675"/>
      <c r="T7" s="1675"/>
      <c r="U7" s="1675"/>
      <c r="V7" s="1675"/>
      <c r="W7" s="1675"/>
      <c r="X7" s="1675"/>
      <c r="Y7" s="1675"/>
      <c r="Z7" s="1675"/>
      <c r="AA7" s="1676"/>
      <c r="AS7" s="158"/>
      <c r="AT7" s="158"/>
      <c r="AU7" s="158"/>
      <c r="AV7" s="158"/>
      <c r="AW7" s="158"/>
      <c r="AX7" s="158"/>
      <c r="AY7" s="158"/>
      <c r="AZ7" s="158"/>
    </row>
    <row r="8" spans="1:80" s="191" customFormat="1" ht="43.5" customHeight="1" thickBot="1" x14ac:dyDescent="0.3">
      <c r="B8" s="533" t="s">
        <v>484</v>
      </c>
      <c r="C8" s="539"/>
      <c r="D8" s="540"/>
      <c r="E8" s="541"/>
      <c r="F8" s="541"/>
      <c r="G8" s="542" t="s">
        <v>460</v>
      </c>
      <c r="H8" s="540"/>
      <c r="I8" s="541"/>
      <c r="J8" s="543"/>
      <c r="M8" s="209"/>
      <c r="N8" s="1677"/>
      <c r="O8" s="1678"/>
      <c r="P8" s="1678"/>
      <c r="Q8" s="1678"/>
      <c r="R8" s="1678"/>
      <c r="S8" s="1678"/>
      <c r="T8" s="1678"/>
      <c r="U8" s="1678"/>
      <c r="V8" s="1678"/>
      <c r="W8" s="1678"/>
      <c r="X8" s="1678"/>
      <c r="Y8" s="1678"/>
      <c r="Z8" s="1678"/>
      <c r="AA8" s="1679"/>
      <c r="AS8" s="209"/>
      <c r="AT8" s="209"/>
      <c r="AU8" s="209"/>
      <c r="AV8" s="209"/>
      <c r="AW8" s="209"/>
      <c r="AX8" s="209"/>
      <c r="AY8" s="209"/>
      <c r="AZ8" s="209"/>
    </row>
    <row r="9" spans="1:80" s="210" customFormat="1" ht="30" customHeight="1" x14ac:dyDescent="0.25">
      <c r="B9" s="534" t="s">
        <v>485</v>
      </c>
      <c r="C9" s="544">
        <f>$C$8</f>
        <v>0</v>
      </c>
      <c r="D9" s="545">
        <f>$D$8</f>
        <v>0</v>
      </c>
      <c r="E9" s="532">
        <f>$E$8</f>
        <v>0</v>
      </c>
      <c r="F9" s="532">
        <f>$F$8</f>
        <v>0</v>
      </c>
      <c r="G9" s="546" t="str">
        <f>$G$8</f>
        <v>Laboratorio de calibración de masa y volumen, avenida carrera  50 # 26-55 Int 2,  piso 5.</v>
      </c>
      <c r="H9" s="547"/>
      <c r="I9" s="548">
        <f>$I$8</f>
        <v>0</v>
      </c>
      <c r="J9" s="549">
        <f>$J$8</f>
        <v>0</v>
      </c>
      <c r="M9" s="211"/>
      <c r="N9" s="1680" t="s">
        <v>144</v>
      </c>
      <c r="O9" s="1649" t="s">
        <v>21</v>
      </c>
      <c r="P9" s="1649" t="s">
        <v>10</v>
      </c>
      <c r="Q9" s="1649" t="s">
        <v>22</v>
      </c>
      <c r="R9" s="1649" t="s">
        <v>23</v>
      </c>
      <c r="S9" s="1649" t="s">
        <v>14</v>
      </c>
      <c r="T9" s="1649" t="s">
        <v>8</v>
      </c>
      <c r="U9" s="1649" t="s">
        <v>100</v>
      </c>
      <c r="V9" s="1649" t="s">
        <v>101</v>
      </c>
      <c r="W9" s="1649" t="s">
        <v>102</v>
      </c>
      <c r="X9" s="1649" t="s">
        <v>298</v>
      </c>
      <c r="Y9" s="1649" t="s">
        <v>299</v>
      </c>
      <c r="Z9" s="1649" t="s">
        <v>300</v>
      </c>
      <c r="AA9" s="1627" t="s">
        <v>210</v>
      </c>
      <c r="AB9" s="191"/>
      <c r="AS9" s="211"/>
      <c r="AT9" s="211"/>
      <c r="AU9" s="211"/>
      <c r="AV9" s="211"/>
      <c r="AW9" s="211"/>
      <c r="AX9" s="211"/>
      <c r="AY9" s="211"/>
      <c r="AZ9" s="211"/>
      <c r="CA9" s="191"/>
      <c r="CB9" s="191"/>
    </row>
    <row r="10" spans="1:80" s="210" customFormat="1" ht="30" customHeight="1" thickBot="1" x14ac:dyDescent="0.3">
      <c r="B10" s="534" t="s">
        <v>502</v>
      </c>
      <c r="C10" s="544">
        <f t="shared" ref="C10:C39" si="0">$C$8</f>
        <v>0</v>
      </c>
      <c r="D10" s="545">
        <f t="shared" ref="D10:D39" si="1">$D$8</f>
        <v>0</v>
      </c>
      <c r="E10" s="532">
        <f t="shared" ref="E10:E39" si="2">$E$8</f>
        <v>0</v>
      </c>
      <c r="F10" s="532">
        <f t="shared" ref="F10:F39" si="3">$F$8</f>
        <v>0</v>
      </c>
      <c r="G10" s="546" t="str">
        <f t="shared" ref="G10:G39" si="4">$G$8</f>
        <v>Laboratorio de calibración de masa y volumen, avenida carrera  50 # 26-55 Int 2,  piso 5.</v>
      </c>
      <c r="H10" s="547"/>
      <c r="I10" s="548">
        <f t="shared" ref="I10:I39" si="5">$I$8</f>
        <v>0</v>
      </c>
      <c r="J10" s="549">
        <f t="shared" ref="J10:J39" si="6">$J$8</f>
        <v>0</v>
      </c>
      <c r="M10" s="211"/>
      <c r="N10" s="1681"/>
      <c r="O10" s="1650"/>
      <c r="P10" s="1650"/>
      <c r="Q10" s="1650"/>
      <c r="R10" s="1650"/>
      <c r="S10" s="1650"/>
      <c r="T10" s="1650"/>
      <c r="U10" s="1650"/>
      <c r="V10" s="1650"/>
      <c r="W10" s="1650"/>
      <c r="X10" s="1650"/>
      <c r="Y10" s="1650"/>
      <c r="Z10" s="1650"/>
      <c r="AA10" s="1628"/>
      <c r="AB10" s="191"/>
      <c r="AS10" s="211"/>
      <c r="AT10" s="211"/>
      <c r="AU10" s="211"/>
      <c r="AV10" s="211"/>
      <c r="AW10" s="211"/>
      <c r="AX10" s="211"/>
      <c r="AY10" s="211"/>
      <c r="AZ10" s="211"/>
      <c r="CA10" s="191"/>
      <c r="CB10" s="191"/>
    </row>
    <row r="11" spans="1:80" s="210" customFormat="1" ht="30" customHeight="1" thickBot="1" x14ac:dyDescent="0.3">
      <c r="B11" s="534" t="s">
        <v>486</v>
      </c>
      <c r="C11" s="544">
        <f t="shared" si="0"/>
        <v>0</v>
      </c>
      <c r="D11" s="545">
        <f t="shared" si="1"/>
        <v>0</v>
      </c>
      <c r="E11" s="532">
        <f t="shared" si="2"/>
        <v>0</v>
      </c>
      <c r="F11" s="532">
        <f t="shared" si="3"/>
        <v>0</v>
      </c>
      <c r="G11" s="546" t="str">
        <f t="shared" si="4"/>
        <v>Laboratorio de calibración de masa y volumen, avenida carrera  50 # 26-55 Int 2,  piso 5.</v>
      </c>
      <c r="H11" s="547"/>
      <c r="I11" s="548">
        <f t="shared" si="5"/>
        <v>0</v>
      </c>
      <c r="J11" s="549">
        <f t="shared" si="6"/>
        <v>0</v>
      </c>
      <c r="M11" s="211"/>
      <c r="N11" s="399"/>
      <c r="O11" s="400"/>
      <c r="P11" s="400"/>
      <c r="Q11" s="400"/>
      <c r="R11" s="400"/>
      <c r="S11" s="400"/>
      <c r="T11" s="400"/>
      <c r="U11" s="400"/>
      <c r="V11" s="400"/>
      <c r="W11" s="400"/>
      <c r="X11" s="400"/>
      <c r="Y11" s="400"/>
      <c r="Z11" s="400"/>
      <c r="AA11" s="401"/>
      <c r="AB11" s="191"/>
      <c r="AS11" s="211"/>
      <c r="AT11" s="211"/>
      <c r="AU11" s="211"/>
      <c r="AV11" s="211"/>
      <c r="AW11" s="211"/>
      <c r="AX11" s="211"/>
      <c r="AY11" s="211"/>
      <c r="AZ11" s="211"/>
      <c r="CA11" s="191"/>
      <c r="CB11" s="191"/>
    </row>
    <row r="12" spans="1:80" s="210" customFormat="1" ht="30" customHeight="1" x14ac:dyDescent="0.25">
      <c r="B12" s="534" t="s">
        <v>487</v>
      </c>
      <c r="C12" s="544">
        <f t="shared" si="0"/>
        <v>0</v>
      </c>
      <c r="D12" s="545">
        <f t="shared" si="1"/>
        <v>0</v>
      </c>
      <c r="E12" s="532">
        <f t="shared" si="2"/>
        <v>0</v>
      </c>
      <c r="F12" s="532">
        <f t="shared" si="3"/>
        <v>0</v>
      </c>
      <c r="G12" s="546" t="str">
        <f t="shared" si="4"/>
        <v>Laboratorio de calibración de masa y volumen, avenida carrera  50 # 26-55 Int 2,  piso 5.</v>
      </c>
      <c r="H12" s="547"/>
      <c r="I12" s="548">
        <f t="shared" si="5"/>
        <v>0</v>
      </c>
      <c r="J12" s="549">
        <f t="shared" si="6"/>
        <v>0</v>
      </c>
      <c r="M12" s="211"/>
      <c r="N12" s="485" t="s">
        <v>118</v>
      </c>
      <c r="O12" s="471" t="s">
        <v>104</v>
      </c>
      <c r="P12" s="471" t="s">
        <v>75</v>
      </c>
      <c r="Q12" s="471">
        <v>27129360</v>
      </c>
      <c r="R12" s="471" t="s">
        <v>79</v>
      </c>
      <c r="S12" s="471" t="s">
        <v>203</v>
      </c>
      <c r="T12" s="470">
        <v>43228</v>
      </c>
      <c r="U12" s="471">
        <v>1</v>
      </c>
      <c r="V12" s="471">
        <v>8.9999999999999993E-3</v>
      </c>
      <c r="W12" s="473">
        <v>0.01</v>
      </c>
      <c r="X12" s="486">
        <v>8000</v>
      </c>
      <c r="Y12" s="471">
        <v>30</v>
      </c>
      <c r="Z12" s="487">
        <f t="shared" ref="Z12:Z28" si="7">(0.34848*((751.2+755.4)/2)-0.009*((48.4+57.9)/2)*EXP(0.0612*((19.5+20.7)/2)))/(273.15+((19.5+20.7)/2))</f>
        <v>0.88959332465171137</v>
      </c>
      <c r="AA12" s="488" t="s">
        <v>136</v>
      </c>
      <c r="AB12" s="191"/>
      <c r="AS12" s="211"/>
      <c r="AT12" s="211"/>
      <c r="AU12" s="211"/>
      <c r="AV12" s="211"/>
      <c r="AW12" s="211"/>
      <c r="AX12" s="211"/>
      <c r="AY12" s="211"/>
      <c r="AZ12" s="211"/>
      <c r="CA12" s="191"/>
      <c r="CB12" s="191"/>
    </row>
    <row r="13" spans="1:80" s="210" customFormat="1" ht="30" customHeight="1" x14ac:dyDescent="0.25">
      <c r="B13" s="534" t="s">
        <v>490</v>
      </c>
      <c r="C13" s="544">
        <f t="shared" si="0"/>
        <v>0</v>
      </c>
      <c r="D13" s="545">
        <f t="shared" si="1"/>
        <v>0</v>
      </c>
      <c r="E13" s="532">
        <f t="shared" si="2"/>
        <v>0</v>
      </c>
      <c r="F13" s="532">
        <f t="shared" si="3"/>
        <v>0</v>
      </c>
      <c r="G13" s="546" t="str">
        <f t="shared" si="4"/>
        <v>Laboratorio de calibración de masa y volumen, avenida carrera  50 # 26-55 Int 2,  piso 5.</v>
      </c>
      <c r="H13" s="547"/>
      <c r="I13" s="548">
        <f t="shared" si="5"/>
        <v>0</v>
      </c>
      <c r="J13" s="549">
        <f t="shared" si="6"/>
        <v>0</v>
      </c>
      <c r="M13" s="211"/>
      <c r="N13" s="489" t="s">
        <v>119</v>
      </c>
      <c r="O13" s="478" t="s">
        <v>104</v>
      </c>
      <c r="P13" s="478" t="s">
        <v>75</v>
      </c>
      <c r="Q13" s="478">
        <v>27129360</v>
      </c>
      <c r="R13" s="478" t="s">
        <v>80</v>
      </c>
      <c r="S13" s="478" t="s">
        <v>203</v>
      </c>
      <c r="T13" s="477">
        <v>43228</v>
      </c>
      <c r="U13" s="478">
        <v>2</v>
      </c>
      <c r="V13" s="481">
        <v>0.01</v>
      </c>
      <c r="W13" s="478">
        <v>1.2E-2</v>
      </c>
      <c r="X13" s="490">
        <v>8000</v>
      </c>
      <c r="Y13" s="478">
        <v>30</v>
      </c>
      <c r="Z13" s="491">
        <f t="shared" si="7"/>
        <v>0.88959332465171137</v>
      </c>
      <c r="AA13" s="492" t="s">
        <v>136</v>
      </c>
      <c r="AB13" s="191"/>
      <c r="AS13" s="211"/>
      <c r="AT13" s="211"/>
      <c r="AU13" s="211"/>
      <c r="AV13" s="211"/>
      <c r="AW13" s="211"/>
      <c r="AX13" s="211"/>
      <c r="AY13" s="211"/>
      <c r="AZ13" s="211"/>
      <c r="CA13" s="191"/>
      <c r="CB13" s="191"/>
    </row>
    <row r="14" spans="1:80" s="191" customFormat="1" ht="30" customHeight="1" x14ac:dyDescent="0.25">
      <c r="B14" s="535" t="s">
        <v>503</v>
      </c>
      <c r="C14" s="544">
        <f t="shared" si="0"/>
        <v>0</v>
      </c>
      <c r="D14" s="545">
        <f t="shared" si="1"/>
        <v>0</v>
      </c>
      <c r="E14" s="532">
        <f t="shared" si="2"/>
        <v>0</v>
      </c>
      <c r="F14" s="532">
        <f t="shared" si="3"/>
        <v>0</v>
      </c>
      <c r="G14" s="546" t="str">
        <f t="shared" si="4"/>
        <v>Laboratorio de calibración de masa y volumen, avenida carrera  50 # 26-55 Int 2,  piso 5.</v>
      </c>
      <c r="H14" s="547"/>
      <c r="I14" s="548">
        <f t="shared" si="5"/>
        <v>0</v>
      </c>
      <c r="J14" s="549">
        <f t="shared" si="6"/>
        <v>0</v>
      </c>
      <c r="M14" s="209"/>
      <c r="N14" s="489" t="s">
        <v>215</v>
      </c>
      <c r="O14" s="478" t="s">
        <v>104</v>
      </c>
      <c r="P14" s="478" t="s">
        <v>75</v>
      </c>
      <c r="Q14" s="478">
        <v>27129360</v>
      </c>
      <c r="R14" s="478" t="s">
        <v>81</v>
      </c>
      <c r="S14" s="478" t="s">
        <v>203</v>
      </c>
      <c r="T14" s="477">
        <v>43228</v>
      </c>
      <c r="U14" s="478">
        <v>2</v>
      </c>
      <c r="V14" s="478">
        <v>1.7000000000000001E-2</v>
      </c>
      <c r="W14" s="478">
        <v>1.2E-2</v>
      </c>
      <c r="X14" s="490">
        <v>8000</v>
      </c>
      <c r="Y14" s="478">
        <v>30</v>
      </c>
      <c r="Z14" s="491">
        <f t="shared" si="7"/>
        <v>0.88959332465171137</v>
      </c>
      <c r="AA14" s="492" t="s">
        <v>136</v>
      </c>
      <c r="AS14" s="211"/>
      <c r="AT14" s="211"/>
      <c r="AU14" s="211"/>
      <c r="AV14" s="211"/>
      <c r="AW14" s="211"/>
      <c r="AX14" s="209"/>
      <c r="AY14" s="209"/>
      <c r="AZ14" s="209"/>
    </row>
    <row r="15" spans="1:80" s="191" customFormat="1" ht="30" customHeight="1" x14ac:dyDescent="0.25">
      <c r="B15" s="535" t="s">
        <v>491</v>
      </c>
      <c r="C15" s="544">
        <f t="shared" si="0"/>
        <v>0</v>
      </c>
      <c r="D15" s="545">
        <f t="shared" si="1"/>
        <v>0</v>
      </c>
      <c r="E15" s="532">
        <f t="shared" si="2"/>
        <v>0</v>
      </c>
      <c r="F15" s="532">
        <f t="shared" si="3"/>
        <v>0</v>
      </c>
      <c r="G15" s="546" t="str">
        <f t="shared" si="4"/>
        <v>Laboratorio de calibración de masa y volumen, avenida carrera  50 # 26-55 Int 2,  piso 5.</v>
      </c>
      <c r="H15" s="547"/>
      <c r="I15" s="548">
        <f t="shared" si="5"/>
        <v>0</v>
      </c>
      <c r="J15" s="549">
        <f t="shared" si="6"/>
        <v>0</v>
      </c>
      <c r="M15" s="209"/>
      <c r="N15" s="489" t="s">
        <v>120</v>
      </c>
      <c r="O15" s="478" t="s">
        <v>104</v>
      </c>
      <c r="P15" s="478" t="s">
        <v>75</v>
      </c>
      <c r="Q15" s="478">
        <v>27129360</v>
      </c>
      <c r="R15" s="478" t="s">
        <v>82</v>
      </c>
      <c r="S15" s="478" t="s">
        <v>203</v>
      </c>
      <c r="T15" s="477">
        <v>43228</v>
      </c>
      <c r="U15" s="478">
        <v>5</v>
      </c>
      <c r="V15" s="481">
        <v>2E-3</v>
      </c>
      <c r="W15" s="478">
        <v>1.6E-2</v>
      </c>
      <c r="X15" s="490">
        <v>8000</v>
      </c>
      <c r="Y15" s="478">
        <v>30</v>
      </c>
      <c r="Z15" s="491">
        <f t="shared" si="7"/>
        <v>0.88959332465171137</v>
      </c>
      <c r="AA15" s="492" t="s">
        <v>136</v>
      </c>
      <c r="AS15" s="209"/>
      <c r="AT15" s="209"/>
      <c r="AU15" s="209"/>
      <c r="AV15" s="209"/>
      <c r="AW15" s="209"/>
      <c r="AX15" s="209"/>
      <c r="AY15" s="209"/>
      <c r="AZ15" s="209"/>
    </row>
    <row r="16" spans="1:80" s="191" customFormat="1" ht="30" customHeight="1" x14ac:dyDescent="0.25">
      <c r="B16" s="535" t="s">
        <v>492</v>
      </c>
      <c r="C16" s="544">
        <f t="shared" si="0"/>
        <v>0</v>
      </c>
      <c r="D16" s="545">
        <f t="shared" si="1"/>
        <v>0</v>
      </c>
      <c r="E16" s="532">
        <f t="shared" si="2"/>
        <v>0</v>
      </c>
      <c r="F16" s="532">
        <f t="shared" si="3"/>
        <v>0</v>
      </c>
      <c r="G16" s="546" t="str">
        <f t="shared" si="4"/>
        <v>Laboratorio de calibración de masa y volumen, avenida carrera  50 # 26-55 Int 2,  piso 5.</v>
      </c>
      <c r="H16" s="547"/>
      <c r="I16" s="548">
        <f t="shared" si="5"/>
        <v>0</v>
      </c>
      <c r="J16" s="549">
        <f t="shared" si="6"/>
        <v>0</v>
      </c>
      <c r="M16" s="209"/>
      <c r="N16" s="489" t="s">
        <v>121</v>
      </c>
      <c r="O16" s="478" t="s">
        <v>104</v>
      </c>
      <c r="P16" s="478" t="s">
        <v>75</v>
      </c>
      <c r="Q16" s="478">
        <v>27129360</v>
      </c>
      <c r="R16" s="478" t="s">
        <v>83</v>
      </c>
      <c r="S16" s="478" t="s">
        <v>203</v>
      </c>
      <c r="T16" s="477">
        <v>43228</v>
      </c>
      <c r="U16" s="478">
        <v>10</v>
      </c>
      <c r="V16" s="478">
        <v>1.9E-2</v>
      </c>
      <c r="W16" s="481">
        <v>0.02</v>
      </c>
      <c r="X16" s="490">
        <v>8000</v>
      </c>
      <c r="Y16" s="478">
        <v>30</v>
      </c>
      <c r="Z16" s="491">
        <f t="shared" si="7"/>
        <v>0.88959332465171137</v>
      </c>
      <c r="AA16" s="492" t="s">
        <v>136</v>
      </c>
      <c r="AS16" s="209"/>
      <c r="AT16" s="209"/>
      <c r="AU16" s="209"/>
      <c r="AV16" s="209"/>
      <c r="AW16" s="209"/>
      <c r="AX16" s="209"/>
      <c r="AY16" s="209"/>
      <c r="AZ16" s="209"/>
    </row>
    <row r="17" spans="1:52" s="191" customFormat="1" ht="30" customHeight="1" x14ac:dyDescent="0.25">
      <c r="B17" s="535" t="s">
        <v>493</v>
      </c>
      <c r="C17" s="544">
        <f t="shared" si="0"/>
        <v>0</v>
      </c>
      <c r="D17" s="545">
        <f t="shared" si="1"/>
        <v>0</v>
      </c>
      <c r="E17" s="532">
        <f t="shared" si="2"/>
        <v>0</v>
      </c>
      <c r="F17" s="532">
        <f t="shared" si="3"/>
        <v>0</v>
      </c>
      <c r="G17" s="546" t="str">
        <f t="shared" si="4"/>
        <v>Laboratorio de calibración de masa y volumen, avenida carrera  50 # 26-55 Int 2,  piso 5.</v>
      </c>
      <c r="H17" s="547"/>
      <c r="I17" s="548">
        <f t="shared" si="5"/>
        <v>0</v>
      </c>
      <c r="J17" s="549">
        <f t="shared" si="6"/>
        <v>0</v>
      </c>
      <c r="M17" s="209"/>
      <c r="N17" s="489" t="s">
        <v>122</v>
      </c>
      <c r="O17" s="478" t="s">
        <v>104</v>
      </c>
      <c r="P17" s="478" t="s">
        <v>75</v>
      </c>
      <c r="Q17" s="478">
        <v>27129360</v>
      </c>
      <c r="R17" s="478" t="s">
        <v>84</v>
      </c>
      <c r="S17" s="478" t="s">
        <v>203</v>
      </c>
      <c r="T17" s="477">
        <v>43228</v>
      </c>
      <c r="U17" s="478">
        <v>20</v>
      </c>
      <c r="V17" s="478">
        <v>2.5999999999999999E-2</v>
      </c>
      <c r="W17" s="478">
        <v>2.5000000000000001E-2</v>
      </c>
      <c r="X17" s="490">
        <v>8000</v>
      </c>
      <c r="Y17" s="478">
        <v>30</v>
      </c>
      <c r="Z17" s="491">
        <f t="shared" si="7"/>
        <v>0.88959332465171137</v>
      </c>
      <c r="AA17" s="492" t="s">
        <v>136</v>
      </c>
      <c r="AS17" s="209"/>
      <c r="AT17" s="209"/>
      <c r="AU17" s="209"/>
      <c r="AV17" s="209"/>
      <c r="AW17" s="209"/>
      <c r="AX17" s="209"/>
      <c r="AY17" s="209"/>
      <c r="AZ17" s="209"/>
    </row>
    <row r="18" spans="1:52" s="191" customFormat="1" ht="30" customHeight="1" x14ac:dyDescent="0.25">
      <c r="B18" s="535" t="s">
        <v>504</v>
      </c>
      <c r="C18" s="544">
        <f t="shared" si="0"/>
        <v>0</v>
      </c>
      <c r="D18" s="545">
        <f t="shared" si="1"/>
        <v>0</v>
      </c>
      <c r="E18" s="532">
        <f t="shared" si="2"/>
        <v>0</v>
      </c>
      <c r="F18" s="532">
        <f t="shared" si="3"/>
        <v>0</v>
      </c>
      <c r="G18" s="546" t="str">
        <f t="shared" si="4"/>
        <v>Laboratorio de calibración de masa y volumen, avenida carrera  50 # 26-55 Int 2,  piso 5.</v>
      </c>
      <c r="H18" s="547"/>
      <c r="I18" s="548">
        <f t="shared" si="5"/>
        <v>0</v>
      </c>
      <c r="J18" s="549">
        <f t="shared" si="6"/>
        <v>0</v>
      </c>
      <c r="M18" s="209"/>
      <c r="N18" s="489" t="s">
        <v>216</v>
      </c>
      <c r="O18" s="478" t="s">
        <v>104</v>
      </c>
      <c r="P18" s="478" t="s">
        <v>75</v>
      </c>
      <c r="Q18" s="478">
        <v>27129360</v>
      </c>
      <c r="R18" s="478" t="s">
        <v>85</v>
      </c>
      <c r="S18" s="478" t="s">
        <v>203</v>
      </c>
      <c r="T18" s="477">
        <v>43228</v>
      </c>
      <c r="U18" s="478">
        <v>20</v>
      </c>
      <c r="V18" s="478">
        <v>7.0000000000000001E-3</v>
      </c>
      <c r="W18" s="478">
        <v>2.5000000000000001E-2</v>
      </c>
      <c r="X18" s="490">
        <v>8000</v>
      </c>
      <c r="Y18" s="478">
        <v>30</v>
      </c>
      <c r="Z18" s="491">
        <f t="shared" si="7"/>
        <v>0.88959332465171137</v>
      </c>
      <c r="AA18" s="492" t="s">
        <v>136</v>
      </c>
      <c r="AS18" s="209"/>
      <c r="AT18" s="209"/>
      <c r="AU18" s="209"/>
      <c r="AV18" s="209"/>
      <c r="AW18" s="209"/>
      <c r="AX18" s="209"/>
      <c r="AY18" s="209"/>
      <c r="AZ18" s="209"/>
    </row>
    <row r="19" spans="1:52" s="191" customFormat="1" ht="30" customHeight="1" x14ac:dyDescent="0.25">
      <c r="B19" s="535" t="s">
        <v>495</v>
      </c>
      <c r="C19" s="544">
        <f t="shared" si="0"/>
        <v>0</v>
      </c>
      <c r="D19" s="545">
        <f t="shared" si="1"/>
        <v>0</v>
      </c>
      <c r="E19" s="532">
        <f t="shared" si="2"/>
        <v>0</v>
      </c>
      <c r="F19" s="532">
        <f t="shared" si="3"/>
        <v>0</v>
      </c>
      <c r="G19" s="546" t="str">
        <f t="shared" si="4"/>
        <v>Laboratorio de calibración de masa y volumen, avenida carrera  50 # 26-55 Int 2,  piso 5.</v>
      </c>
      <c r="H19" s="547"/>
      <c r="I19" s="548">
        <f t="shared" si="5"/>
        <v>0</v>
      </c>
      <c r="J19" s="549">
        <f t="shared" si="6"/>
        <v>0</v>
      </c>
      <c r="M19" s="209"/>
      <c r="N19" s="489" t="s">
        <v>123</v>
      </c>
      <c r="O19" s="478" t="s">
        <v>104</v>
      </c>
      <c r="P19" s="478" t="s">
        <v>75</v>
      </c>
      <c r="Q19" s="478">
        <v>27129360</v>
      </c>
      <c r="R19" s="478" t="s">
        <v>86</v>
      </c>
      <c r="S19" s="478" t="s">
        <v>203</v>
      </c>
      <c r="T19" s="477">
        <v>43228</v>
      </c>
      <c r="U19" s="478">
        <v>50</v>
      </c>
      <c r="V19" s="478">
        <v>0.03</v>
      </c>
      <c r="W19" s="478">
        <v>0.03</v>
      </c>
      <c r="X19" s="490">
        <v>8000</v>
      </c>
      <c r="Y19" s="478">
        <v>30</v>
      </c>
      <c r="Z19" s="491">
        <f t="shared" si="7"/>
        <v>0.88959332465171137</v>
      </c>
      <c r="AA19" s="492" t="s">
        <v>136</v>
      </c>
      <c r="AS19" s="209"/>
      <c r="AT19" s="209"/>
      <c r="AU19" s="209"/>
      <c r="AV19" s="209"/>
      <c r="AW19" s="209"/>
      <c r="AX19" s="209"/>
      <c r="AY19" s="209"/>
      <c r="AZ19" s="209"/>
    </row>
    <row r="20" spans="1:52" s="191" customFormat="1" ht="30" customHeight="1" x14ac:dyDescent="0.25">
      <c r="A20" s="898"/>
      <c r="B20" s="550" t="s">
        <v>168</v>
      </c>
      <c r="C20" s="544">
        <f>$C$8</f>
        <v>0</v>
      </c>
      <c r="D20" s="545">
        <f t="shared" si="1"/>
        <v>0</v>
      </c>
      <c r="E20" s="532">
        <f t="shared" si="2"/>
        <v>0</v>
      </c>
      <c r="F20" s="532">
        <f t="shared" si="3"/>
        <v>0</v>
      </c>
      <c r="G20" s="546" t="str">
        <f t="shared" si="4"/>
        <v>Laboratorio de calibración de masa y volumen, avenida carrera  50 # 26-55 Int 2,  piso 5.</v>
      </c>
      <c r="H20" s="547"/>
      <c r="I20" s="548">
        <f t="shared" si="5"/>
        <v>0</v>
      </c>
      <c r="J20" s="549">
        <f t="shared" si="6"/>
        <v>0</v>
      </c>
      <c r="M20" s="209"/>
      <c r="N20" s="489" t="s">
        <v>124</v>
      </c>
      <c r="O20" s="478" t="s">
        <v>104</v>
      </c>
      <c r="P20" s="478" t="s">
        <v>75</v>
      </c>
      <c r="Q20" s="478">
        <v>27129360</v>
      </c>
      <c r="R20" s="478" t="s">
        <v>87</v>
      </c>
      <c r="S20" s="478" t="s">
        <v>203</v>
      </c>
      <c r="T20" s="477">
        <v>43228</v>
      </c>
      <c r="U20" s="478">
        <v>100</v>
      </c>
      <c r="V20" s="478">
        <v>0.06</v>
      </c>
      <c r="W20" s="478">
        <v>0.05</v>
      </c>
      <c r="X20" s="490">
        <v>8000</v>
      </c>
      <c r="Y20" s="478">
        <v>30</v>
      </c>
      <c r="Z20" s="491">
        <f t="shared" si="7"/>
        <v>0.88959332465171137</v>
      </c>
      <c r="AA20" s="492" t="s">
        <v>136</v>
      </c>
      <c r="AS20" s="209"/>
      <c r="AT20" s="209"/>
      <c r="AU20" s="209"/>
      <c r="AV20" s="209"/>
      <c r="AW20" s="209"/>
      <c r="AX20" s="209"/>
      <c r="AY20" s="209"/>
      <c r="AZ20" s="209"/>
    </row>
    <row r="21" spans="1:52" s="191" customFormat="1" ht="30" customHeight="1" x14ac:dyDescent="0.25">
      <c r="B21" s="551" t="s">
        <v>169</v>
      </c>
      <c r="C21" s="544">
        <f t="shared" si="0"/>
        <v>0</v>
      </c>
      <c r="D21" s="545">
        <f t="shared" si="1"/>
        <v>0</v>
      </c>
      <c r="E21" s="532">
        <f t="shared" si="2"/>
        <v>0</v>
      </c>
      <c r="F21" s="532">
        <f t="shared" si="3"/>
        <v>0</v>
      </c>
      <c r="G21" s="546" t="str">
        <f t="shared" si="4"/>
        <v>Laboratorio de calibración de masa y volumen, avenida carrera  50 # 26-55 Int 2,  piso 5.</v>
      </c>
      <c r="H21" s="547"/>
      <c r="I21" s="548">
        <f t="shared" si="5"/>
        <v>0</v>
      </c>
      <c r="J21" s="549">
        <f t="shared" si="6"/>
        <v>0</v>
      </c>
      <c r="M21" s="209"/>
      <c r="N21" s="489" t="s">
        <v>125</v>
      </c>
      <c r="O21" s="478" t="s">
        <v>104</v>
      </c>
      <c r="P21" s="478" t="s">
        <v>75</v>
      </c>
      <c r="Q21" s="478">
        <v>27129360</v>
      </c>
      <c r="R21" s="478" t="s">
        <v>88</v>
      </c>
      <c r="S21" s="478" t="s">
        <v>203</v>
      </c>
      <c r="T21" s="477">
        <v>43228</v>
      </c>
      <c r="U21" s="478">
        <v>200</v>
      </c>
      <c r="V21" s="478">
        <v>-7.0000000000000007E-2</v>
      </c>
      <c r="W21" s="493">
        <v>0.1</v>
      </c>
      <c r="X21" s="490">
        <v>8000</v>
      </c>
      <c r="Y21" s="478">
        <v>30</v>
      </c>
      <c r="Z21" s="491">
        <f t="shared" si="7"/>
        <v>0.88959332465171137</v>
      </c>
      <c r="AA21" s="492" t="s">
        <v>136</v>
      </c>
      <c r="AS21" s="209"/>
      <c r="AT21" s="209"/>
      <c r="AU21" s="209"/>
      <c r="AV21" s="209"/>
      <c r="AW21" s="209"/>
      <c r="AX21" s="209"/>
      <c r="AY21" s="209"/>
      <c r="AZ21" s="209"/>
    </row>
    <row r="22" spans="1:52" s="191" customFormat="1" ht="30" customHeight="1" x14ac:dyDescent="0.25">
      <c r="B22" s="551" t="s">
        <v>170</v>
      </c>
      <c r="C22" s="544">
        <f t="shared" si="0"/>
        <v>0</v>
      </c>
      <c r="D22" s="545">
        <f t="shared" si="1"/>
        <v>0</v>
      </c>
      <c r="E22" s="532">
        <f t="shared" si="2"/>
        <v>0</v>
      </c>
      <c r="F22" s="532">
        <f t="shared" si="3"/>
        <v>0</v>
      </c>
      <c r="G22" s="546" t="str">
        <f t="shared" si="4"/>
        <v>Laboratorio de calibración de masa y volumen, avenida carrera  50 # 26-55 Int 2,  piso 5.</v>
      </c>
      <c r="H22" s="547"/>
      <c r="I22" s="548">
        <f t="shared" si="5"/>
        <v>0</v>
      </c>
      <c r="J22" s="549">
        <f t="shared" si="6"/>
        <v>0</v>
      </c>
      <c r="M22" s="211"/>
      <c r="N22" s="489" t="s">
        <v>217</v>
      </c>
      <c r="O22" s="478" t="s">
        <v>104</v>
      </c>
      <c r="P22" s="478" t="s">
        <v>75</v>
      </c>
      <c r="Q22" s="478">
        <v>27129360</v>
      </c>
      <c r="R22" s="478" t="s">
        <v>89</v>
      </c>
      <c r="S22" s="478" t="s">
        <v>203</v>
      </c>
      <c r="T22" s="477">
        <v>43228</v>
      </c>
      <c r="U22" s="478">
        <v>200</v>
      </c>
      <c r="V22" s="478">
        <v>0.15</v>
      </c>
      <c r="W22" s="493">
        <v>0.1</v>
      </c>
      <c r="X22" s="490">
        <v>8000</v>
      </c>
      <c r="Y22" s="478">
        <v>30</v>
      </c>
      <c r="Z22" s="491">
        <f t="shared" si="7"/>
        <v>0.88959332465171137</v>
      </c>
      <c r="AA22" s="492" t="s">
        <v>136</v>
      </c>
      <c r="AS22" s="209"/>
      <c r="AT22" s="209"/>
      <c r="AU22" s="209"/>
      <c r="AV22" s="209"/>
      <c r="AW22" s="209"/>
      <c r="AX22" s="209"/>
      <c r="AY22" s="209"/>
      <c r="AZ22" s="209"/>
    </row>
    <row r="23" spans="1:52" s="191" customFormat="1" ht="30" customHeight="1" x14ac:dyDescent="0.25">
      <c r="B23" s="551" t="s">
        <v>171</v>
      </c>
      <c r="C23" s="544">
        <f t="shared" si="0"/>
        <v>0</v>
      </c>
      <c r="D23" s="545">
        <f t="shared" si="1"/>
        <v>0</v>
      </c>
      <c r="E23" s="532">
        <f t="shared" si="2"/>
        <v>0</v>
      </c>
      <c r="F23" s="532">
        <f t="shared" si="3"/>
        <v>0</v>
      </c>
      <c r="G23" s="546" t="str">
        <f t="shared" si="4"/>
        <v>Laboratorio de calibración de masa y volumen, avenida carrera  50 # 26-55 Int 2,  piso 5.</v>
      </c>
      <c r="H23" s="547"/>
      <c r="I23" s="548">
        <f t="shared" si="5"/>
        <v>0</v>
      </c>
      <c r="J23" s="549">
        <f t="shared" si="6"/>
        <v>0</v>
      </c>
      <c r="M23" s="211"/>
      <c r="N23" s="489" t="s">
        <v>126</v>
      </c>
      <c r="O23" s="478" t="s">
        <v>104</v>
      </c>
      <c r="P23" s="478" t="s">
        <v>75</v>
      </c>
      <c r="Q23" s="478">
        <v>27129360</v>
      </c>
      <c r="R23" s="478" t="s">
        <v>90</v>
      </c>
      <c r="S23" s="478" t="s">
        <v>203</v>
      </c>
      <c r="T23" s="477">
        <v>43228</v>
      </c>
      <c r="U23" s="478">
        <v>500</v>
      </c>
      <c r="V23" s="478">
        <v>0.33</v>
      </c>
      <c r="W23" s="478">
        <v>0.25</v>
      </c>
      <c r="X23" s="490">
        <v>8000</v>
      </c>
      <c r="Y23" s="478">
        <v>30</v>
      </c>
      <c r="Z23" s="491">
        <f t="shared" si="7"/>
        <v>0.88959332465171137</v>
      </c>
      <c r="AA23" s="492" t="s">
        <v>136</v>
      </c>
      <c r="AS23" s="209"/>
      <c r="AT23" s="209"/>
      <c r="AU23" s="209"/>
      <c r="AV23" s="209"/>
      <c r="AW23" s="209"/>
      <c r="AX23" s="209"/>
      <c r="AY23" s="209"/>
      <c r="AZ23" s="209"/>
    </row>
    <row r="24" spans="1:52" s="191" customFormat="1" ht="30" customHeight="1" x14ac:dyDescent="0.25">
      <c r="B24" s="551" t="s">
        <v>172</v>
      </c>
      <c r="C24" s="544">
        <f t="shared" si="0"/>
        <v>0</v>
      </c>
      <c r="D24" s="545">
        <f t="shared" si="1"/>
        <v>0</v>
      </c>
      <c r="E24" s="532">
        <f t="shared" si="2"/>
        <v>0</v>
      </c>
      <c r="F24" s="532">
        <f t="shared" si="3"/>
        <v>0</v>
      </c>
      <c r="G24" s="546" t="str">
        <f t="shared" si="4"/>
        <v>Laboratorio de calibración de masa y volumen, avenida carrera  50 # 26-55 Int 2,  piso 5.</v>
      </c>
      <c r="H24" s="547"/>
      <c r="I24" s="548">
        <f t="shared" si="5"/>
        <v>0</v>
      </c>
      <c r="J24" s="549">
        <f t="shared" si="6"/>
        <v>0</v>
      </c>
      <c r="M24" s="211"/>
      <c r="N24" s="489" t="s">
        <v>434</v>
      </c>
      <c r="O24" s="478" t="s">
        <v>104</v>
      </c>
      <c r="P24" s="478" t="s">
        <v>75</v>
      </c>
      <c r="Q24" s="478">
        <v>27129360</v>
      </c>
      <c r="R24" s="478" t="s">
        <v>91</v>
      </c>
      <c r="S24" s="478" t="s">
        <v>203</v>
      </c>
      <c r="T24" s="477">
        <v>43228</v>
      </c>
      <c r="U24" s="494">
        <v>1000</v>
      </c>
      <c r="V24" s="478">
        <v>0.7</v>
      </c>
      <c r="W24" s="478">
        <v>0.5</v>
      </c>
      <c r="X24" s="490">
        <v>8000</v>
      </c>
      <c r="Y24" s="478">
        <v>30</v>
      </c>
      <c r="Z24" s="491">
        <f t="shared" si="7"/>
        <v>0.88959332465171137</v>
      </c>
      <c r="AA24" s="492" t="s">
        <v>136</v>
      </c>
      <c r="AS24" s="209"/>
      <c r="AT24" s="209"/>
      <c r="AU24" s="209"/>
      <c r="AV24" s="209"/>
      <c r="AW24" s="209"/>
      <c r="AX24" s="209"/>
      <c r="AY24" s="209"/>
      <c r="AZ24" s="209"/>
    </row>
    <row r="25" spans="1:52" s="191" customFormat="1" ht="30" customHeight="1" x14ac:dyDescent="0.25">
      <c r="B25" s="552" t="s">
        <v>173</v>
      </c>
      <c r="C25" s="553">
        <f t="shared" si="0"/>
        <v>0</v>
      </c>
      <c r="D25" s="554">
        <f t="shared" si="1"/>
        <v>0</v>
      </c>
      <c r="E25" s="555">
        <f t="shared" si="2"/>
        <v>0</v>
      </c>
      <c r="F25" s="555">
        <f t="shared" si="3"/>
        <v>0</v>
      </c>
      <c r="G25" s="556" t="str">
        <f t="shared" si="4"/>
        <v>Laboratorio de calibración de masa y volumen, avenida carrera  50 # 26-55 Int 2,  piso 5.</v>
      </c>
      <c r="H25" s="547"/>
      <c r="I25" s="557">
        <f t="shared" si="5"/>
        <v>0</v>
      </c>
      <c r="J25" s="558">
        <f t="shared" si="6"/>
        <v>0</v>
      </c>
      <c r="M25" s="211"/>
      <c r="N25" s="489" t="s">
        <v>433</v>
      </c>
      <c r="O25" s="478" t="s">
        <v>104</v>
      </c>
      <c r="P25" s="478" t="s">
        <v>75</v>
      </c>
      <c r="Q25" s="478">
        <v>27129360</v>
      </c>
      <c r="R25" s="478" t="s">
        <v>92</v>
      </c>
      <c r="S25" s="478" t="s">
        <v>203</v>
      </c>
      <c r="T25" s="477">
        <v>43228</v>
      </c>
      <c r="U25" s="494">
        <v>2000</v>
      </c>
      <c r="V25" s="478">
        <v>1.1000000000000001</v>
      </c>
      <c r="W25" s="495">
        <v>1</v>
      </c>
      <c r="X25" s="490">
        <v>8000</v>
      </c>
      <c r="Y25" s="478">
        <v>30</v>
      </c>
      <c r="Z25" s="491">
        <f t="shared" si="7"/>
        <v>0.88959332465171137</v>
      </c>
      <c r="AA25" s="492" t="s">
        <v>136</v>
      </c>
      <c r="AS25" s="209"/>
      <c r="AT25" s="209"/>
      <c r="AU25" s="209"/>
      <c r="AV25" s="209"/>
      <c r="AW25" s="209"/>
      <c r="AX25" s="209"/>
      <c r="AY25" s="209"/>
      <c r="AZ25" s="209"/>
    </row>
    <row r="26" spans="1:52" s="191" customFormat="1" ht="30" customHeight="1" x14ac:dyDescent="0.25">
      <c r="B26" s="559" t="s">
        <v>174</v>
      </c>
      <c r="C26" s="553">
        <f t="shared" si="0"/>
        <v>0</v>
      </c>
      <c r="D26" s="554">
        <f t="shared" si="1"/>
        <v>0</v>
      </c>
      <c r="E26" s="555">
        <f t="shared" si="2"/>
        <v>0</v>
      </c>
      <c r="F26" s="555">
        <f t="shared" si="3"/>
        <v>0</v>
      </c>
      <c r="G26" s="556" t="str">
        <f t="shared" si="4"/>
        <v>Laboratorio de calibración de masa y volumen, avenida carrera  50 # 26-55 Int 2,  piso 5.</v>
      </c>
      <c r="H26" s="547"/>
      <c r="I26" s="557">
        <f t="shared" si="5"/>
        <v>0</v>
      </c>
      <c r="J26" s="558">
        <f t="shared" si="6"/>
        <v>0</v>
      </c>
      <c r="M26" s="211"/>
      <c r="N26" s="489" t="s">
        <v>498</v>
      </c>
      <c r="O26" s="478" t="s">
        <v>104</v>
      </c>
      <c r="P26" s="478" t="s">
        <v>75</v>
      </c>
      <c r="Q26" s="478">
        <v>27129360</v>
      </c>
      <c r="R26" s="478" t="s">
        <v>93</v>
      </c>
      <c r="S26" s="478" t="s">
        <v>203</v>
      </c>
      <c r="T26" s="477">
        <v>43228</v>
      </c>
      <c r="U26" s="494">
        <v>2000</v>
      </c>
      <c r="V26" s="495">
        <v>1</v>
      </c>
      <c r="W26" s="495">
        <v>1</v>
      </c>
      <c r="X26" s="490">
        <v>8000</v>
      </c>
      <c r="Y26" s="478">
        <v>30</v>
      </c>
      <c r="Z26" s="491">
        <f t="shared" si="7"/>
        <v>0.88959332465171137</v>
      </c>
      <c r="AA26" s="492" t="s">
        <v>136</v>
      </c>
      <c r="AS26" s="209"/>
      <c r="AT26" s="209"/>
      <c r="AU26" s="209"/>
      <c r="AV26" s="209"/>
      <c r="AW26" s="209"/>
      <c r="AX26" s="209"/>
      <c r="AY26" s="209"/>
      <c r="AZ26" s="209"/>
    </row>
    <row r="27" spans="1:52" s="191" customFormat="1" ht="30" customHeight="1" x14ac:dyDescent="0.25">
      <c r="B27" s="552" t="s">
        <v>175</v>
      </c>
      <c r="C27" s="553">
        <f t="shared" si="0"/>
        <v>0</v>
      </c>
      <c r="D27" s="554">
        <f t="shared" si="1"/>
        <v>0</v>
      </c>
      <c r="E27" s="555">
        <f t="shared" si="2"/>
        <v>0</v>
      </c>
      <c r="F27" s="555">
        <f t="shared" si="3"/>
        <v>0</v>
      </c>
      <c r="G27" s="556" t="str">
        <f t="shared" si="4"/>
        <v>Laboratorio de calibración de masa y volumen, avenida carrera  50 # 26-55 Int 2,  piso 5.</v>
      </c>
      <c r="H27" s="547"/>
      <c r="I27" s="557">
        <f t="shared" si="5"/>
        <v>0</v>
      </c>
      <c r="J27" s="558">
        <f t="shared" si="6"/>
        <v>0</v>
      </c>
      <c r="M27" s="209"/>
      <c r="N27" s="489" t="s">
        <v>432</v>
      </c>
      <c r="O27" s="478" t="s">
        <v>104</v>
      </c>
      <c r="P27" s="478" t="s">
        <v>75</v>
      </c>
      <c r="Q27" s="478">
        <v>27129360</v>
      </c>
      <c r="R27" s="478" t="s">
        <v>94</v>
      </c>
      <c r="S27" s="478" t="s">
        <v>203</v>
      </c>
      <c r="T27" s="477">
        <v>43228</v>
      </c>
      <c r="U27" s="494">
        <v>5000</v>
      </c>
      <c r="V27" s="478">
        <v>3.5</v>
      </c>
      <c r="W27" s="478">
        <v>2.5</v>
      </c>
      <c r="X27" s="490">
        <v>8000</v>
      </c>
      <c r="Y27" s="478">
        <v>30</v>
      </c>
      <c r="Z27" s="491">
        <f t="shared" si="7"/>
        <v>0.88959332465171137</v>
      </c>
      <c r="AA27" s="492" t="s">
        <v>136</v>
      </c>
      <c r="AS27" s="209"/>
      <c r="AT27" s="209"/>
      <c r="AU27" s="209"/>
      <c r="AV27" s="209"/>
      <c r="AW27" s="209"/>
      <c r="AX27" s="209"/>
      <c r="AY27" s="209"/>
      <c r="AZ27" s="209"/>
    </row>
    <row r="28" spans="1:52" s="191" customFormat="1" ht="30" customHeight="1" thickBot="1" x14ac:dyDescent="0.3">
      <c r="B28" s="552" t="s">
        <v>176</v>
      </c>
      <c r="C28" s="553">
        <f t="shared" si="0"/>
        <v>0</v>
      </c>
      <c r="D28" s="554">
        <f t="shared" si="1"/>
        <v>0</v>
      </c>
      <c r="E28" s="555">
        <f t="shared" si="2"/>
        <v>0</v>
      </c>
      <c r="F28" s="555">
        <f t="shared" si="3"/>
        <v>0</v>
      </c>
      <c r="G28" s="556" t="str">
        <f t="shared" si="4"/>
        <v>Laboratorio de calibración de masa y volumen, avenida carrera  50 # 26-55 Int 2,  piso 5.</v>
      </c>
      <c r="H28" s="547"/>
      <c r="I28" s="557">
        <f t="shared" si="5"/>
        <v>0</v>
      </c>
      <c r="J28" s="558">
        <f t="shared" si="6"/>
        <v>0</v>
      </c>
      <c r="M28" s="209"/>
      <c r="N28" s="496" t="s">
        <v>374</v>
      </c>
      <c r="O28" s="497" t="s">
        <v>104</v>
      </c>
      <c r="P28" s="497" t="s">
        <v>75</v>
      </c>
      <c r="Q28" s="497">
        <v>27129360</v>
      </c>
      <c r="R28" s="497" t="s">
        <v>95</v>
      </c>
      <c r="S28" s="497" t="s">
        <v>203</v>
      </c>
      <c r="T28" s="498">
        <v>43228</v>
      </c>
      <c r="U28" s="499">
        <v>10000</v>
      </c>
      <c r="V28" s="497">
        <v>8.1999999999999993</v>
      </c>
      <c r="W28" s="500">
        <v>5</v>
      </c>
      <c r="X28" s="501">
        <v>8000</v>
      </c>
      <c r="Y28" s="497">
        <v>30</v>
      </c>
      <c r="Z28" s="502">
        <f t="shared" si="7"/>
        <v>0.88959332465171137</v>
      </c>
      <c r="AA28" s="503" t="s">
        <v>136</v>
      </c>
      <c r="AS28" s="209"/>
      <c r="AT28" s="209"/>
      <c r="AU28" s="209"/>
      <c r="AV28" s="209"/>
      <c r="AW28" s="209"/>
      <c r="AX28" s="209"/>
      <c r="AY28" s="209"/>
      <c r="AZ28" s="209"/>
    </row>
    <row r="29" spans="1:52" s="191" customFormat="1" ht="30" customHeight="1" x14ac:dyDescent="0.25">
      <c r="B29" s="552" t="s">
        <v>177</v>
      </c>
      <c r="C29" s="553">
        <f t="shared" si="0"/>
        <v>0</v>
      </c>
      <c r="D29" s="554">
        <f t="shared" si="1"/>
        <v>0</v>
      </c>
      <c r="E29" s="555">
        <f t="shared" si="2"/>
        <v>0</v>
      </c>
      <c r="F29" s="555">
        <f t="shared" si="3"/>
        <v>0</v>
      </c>
      <c r="G29" s="556" t="str">
        <f t="shared" si="4"/>
        <v>Laboratorio de calibración de masa y volumen, avenida carrera  50 # 26-55 Int 2,  piso 5.</v>
      </c>
      <c r="H29" s="547"/>
      <c r="I29" s="557">
        <f t="shared" si="5"/>
        <v>0</v>
      </c>
      <c r="J29" s="558">
        <f t="shared" si="6"/>
        <v>0</v>
      </c>
      <c r="M29" s="209"/>
      <c r="N29" s="723" t="s">
        <v>430</v>
      </c>
      <c r="O29" s="728" t="s">
        <v>105</v>
      </c>
      <c r="P29" s="728" t="s">
        <v>99</v>
      </c>
      <c r="Q29" s="728">
        <v>11119467</v>
      </c>
      <c r="R29" s="728">
        <v>10</v>
      </c>
      <c r="S29" s="728" t="s">
        <v>273</v>
      </c>
      <c r="T29" s="729">
        <v>43670</v>
      </c>
      <c r="U29" s="730">
        <v>10000</v>
      </c>
      <c r="V29" s="728">
        <v>7</v>
      </c>
      <c r="W29" s="728">
        <v>16</v>
      </c>
      <c r="X29" s="731">
        <v>7950</v>
      </c>
      <c r="Y29" s="728">
        <v>140</v>
      </c>
      <c r="Z29" s="732">
        <f>(0.34848*((752.6+754.6)/2)-0.009*((47.3+47.4)/2)*EXP(0.0612*((20.5+20.6)/2)))/(273.15+((20.5+20.6)/2))</f>
        <v>0.88905577474221076</v>
      </c>
      <c r="AA29" s="733" t="s">
        <v>138</v>
      </c>
      <c r="AS29" s="209"/>
      <c r="AT29" s="209"/>
      <c r="AU29" s="209"/>
      <c r="AV29" s="209"/>
      <c r="AW29" s="209"/>
      <c r="AX29" s="209"/>
      <c r="AY29" s="209"/>
      <c r="AZ29" s="209"/>
    </row>
    <row r="30" spans="1:52" ht="30" customHeight="1" thickBot="1" x14ac:dyDescent="0.3">
      <c r="A30" s="161"/>
      <c r="B30" s="559" t="s">
        <v>178</v>
      </c>
      <c r="C30" s="553">
        <f t="shared" si="0"/>
        <v>0</v>
      </c>
      <c r="D30" s="554">
        <f t="shared" si="1"/>
        <v>0</v>
      </c>
      <c r="E30" s="555">
        <f t="shared" si="2"/>
        <v>0</v>
      </c>
      <c r="F30" s="555">
        <f t="shared" si="3"/>
        <v>0</v>
      </c>
      <c r="G30" s="556" t="str">
        <f t="shared" si="4"/>
        <v>Laboratorio de calibración de masa y volumen, avenida carrera  50 # 26-55 Int 2,  piso 5.</v>
      </c>
      <c r="H30" s="547"/>
      <c r="I30" s="557">
        <f t="shared" si="5"/>
        <v>0</v>
      </c>
      <c r="J30" s="558">
        <f t="shared" si="6"/>
        <v>0</v>
      </c>
      <c r="K30" s="560"/>
      <c r="L30" s="560"/>
      <c r="M30" s="560"/>
      <c r="N30" s="734" t="s">
        <v>431</v>
      </c>
      <c r="O30" s="735" t="s">
        <v>105</v>
      </c>
      <c r="P30" s="735" t="s">
        <v>99</v>
      </c>
      <c r="Q30" s="735">
        <v>11119468</v>
      </c>
      <c r="R30" s="735">
        <v>20</v>
      </c>
      <c r="S30" s="735" t="s">
        <v>274</v>
      </c>
      <c r="T30" s="736">
        <v>43682</v>
      </c>
      <c r="U30" s="737">
        <v>20000</v>
      </c>
      <c r="V30" s="735">
        <v>-4</v>
      </c>
      <c r="W30" s="735">
        <v>30</v>
      </c>
      <c r="X30" s="738">
        <v>7950</v>
      </c>
      <c r="Y30" s="735">
        <v>140</v>
      </c>
      <c r="Z30" s="739">
        <f>(0.34848*((754.3+754.5)/2)-0.009*((46.7+46.8)/2)*EXP(0.0612*((21.4+21.5)/2)))/(273.15+((21.4+21.5)/2))</f>
        <v>0.88706605862447319</v>
      </c>
      <c r="AA30" s="740" t="s">
        <v>139</v>
      </c>
      <c r="AQ30" s="160"/>
      <c r="AR30" s="158"/>
      <c r="AS30" s="158"/>
      <c r="AT30" s="158"/>
      <c r="AU30" s="158"/>
      <c r="AV30" s="158"/>
      <c r="AW30" s="158"/>
      <c r="AX30" s="160"/>
      <c r="AY30" s="158"/>
      <c r="AZ30" s="158"/>
    </row>
    <row r="31" spans="1:52" ht="30" customHeight="1" x14ac:dyDescent="0.25">
      <c r="A31" s="160"/>
      <c r="B31" s="552" t="s">
        <v>179</v>
      </c>
      <c r="C31" s="553">
        <f t="shared" si="0"/>
        <v>0</v>
      </c>
      <c r="D31" s="554">
        <f t="shared" si="1"/>
        <v>0</v>
      </c>
      <c r="E31" s="555">
        <f t="shared" si="2"/>
        <v>0</v>
      </c>
      <c r="F31" s="555">
        <f t="shared" si="3"/>
        <v>0</v>
      </c>
      <c r="G31" s="556" t="str">
        <f t="shared" si="4"/>
        <v>Laboratorio de calibración de masa y volumen, avenida carrera  50 # 26-55 Int 2,  piso 5.</v>
      </c>
      <c r="H31" s="547"/>
      <c r="I31" s="557">
        <f t="shared" si="5"/>
        <v>0</v>
      </c>
      <c r="J31" s="558">
        <f t="shared" si="6"/>
        <v>0</v>
      </c>
      <c r="K31" s="560"/>
      <c r="L31" s="158"/>
      <c r="M31" s="158"/>
      <c r="N31" s="485" t="s">
        <v>106</v>
      </c>
      <c r="O31" s="469" t="s">
        <v>105</v>
      </c>
      <c r="P31" s="469" t="s">
        <v>99</v>
      </c>
      <c r="Q31" s="469">
        <v>11119515</v>
      </c>
      <c r="R31" s="469">
        <v>1</v>
      </c>
      <c r="S31" s="469" t="s">
        <v>204</v>
      </c>
      <c r="T31" s="504">
        <v>43252</v>
      </c>
      <c r="U31" s="469">
        <v>1</v>
      </c>
      <c r="V31" s="469">
        <v>0.04</v>
      </c>
      <c r="W31" s="469">
        <v>0.03</v>
      </c>
      <c r="X31" s="505">
        <v>7950</v>
      </c>
      <c r="Y31" s="469">
        <v>140</v>
      </c>
      <c r="Z31" s="506">
        <f t="shared" ref="Z31:Z46" si="8">(0.34848*((750.7+754.5)/2)-0.009*((52.2+58.7)/2)*EXP(0.0612*((20+20.6)/2)))/(273.15+((20+20.6)/2))</f>
        <v>0.88784273101984279</v>
      </c>
      <c r="AA31" s="507" t="s">
        <v>137</v>
      </c>
      <c r="AQ31" s="160"/>
      <c r="AR31" s="158"/>
      <c r="AS31" s="158"/>
      <c r="AT31" s="158"/>
      <c r="AU31" s="158"/>
      <c r="AV31" s="158"/>
      <c r="AW31" s="158"/>
      <c r="AX31" s="160"/>
      <c r="AY31" s="158"/>
      <c r="AZ31" s="158"/>
    </row>
    <row r="32" spans="1:52" ht="30" customHeight="1" x14ac:dyDescent="0.25">
      <c r="A32" s="158"/>
      <c r="B32" s="561" t="s">
        <v>140</v>
      </c>
      <c r="C32" s="553">
        <f t="shared" si="0"/>
        <v>0</v>
      </c>
      <c r="D32" s="554">
        <f t="shared" si="1"/>
        <v>0</v>
      </c>
      <c r="E32" s="555">
        <f t="shared" si="2"/>
        <v>0</v>
      </c>
      <c r="F32" s="555">
        <f t="shared" si="3"/>
        <v>0</v>
      </c>
      <c r="G32" s="556" t="str">
        <f t="shared" si="4"/>
        <v>Laboratorio de calibración de masa y volumen, avenida carrera  50 # 26-55 Int 2,  piso 5.</v>
      </c>
      <c r="H32" s="547"/>
      <c r="I32" s="557">
        <f t="shared" si="5"/>
        <v>0</v>
      </c>
      <c r="J32" s="558">
        <f t="shared" si="6"/>
        <v>0</v>
      </c>
      <c r="K32" s="158"/>
      <c r="L32" s="158"/>
      <c r="M32" s="158"/>
      <c r="N32" s="489" t="s">
        <v>107</v>
      </c>
      <c r="O32" s="476" t="s">
        <v>105</v>
      </c>
      <c r="P32" s="476" t="s">
        <v>99</v>
      </c>
      <c r="Q32" s="476">
        <v>11119515</v>
      </c>
      <c r="R32" s="476">
        <v>2</v>
      </c>
      <c r="S32" s="476" t="s">
        <v>204</v>
      </c>
      <c r="T32" s="508">
        <v>43252</v>
      </c>
      <c r="U32" s="476">
        <v>2</v>
      </c>
      <c r="V32" s="476">
        <v>0.04</v>
      </c>
      <c r="W32" s="476">
        <v>0.04</v>
      </c>
      <c r="X32" s="509">
        <v>7950</v>
      </c>
      <c r="Y32" s="476">
        <v>140</v>
      </c>
      <c r="Z32" s="510">
        <f t="shared" si="8"/>
        <v>0.88784273101984279</v>
      </c>
      <c r="AA32" s="511" t="s">
        <v>137</v>
      </c>
      <c r="AQ32" s="160"/>
      <c r="AR32" s="158"/>
      <c r="AS32" s="158"/>
      <c r="AT32" s="158"/>
      <c r="AU32" s="158"/>
      <c r="AV32" s="158"/>
      <c r="AW32" s="158"/>
      <c r="AX32" s="160"/>
      <c r="AY32" s="158"/>
      <c r="AZ32" s="158"/>
    </row>
    <row r="33" spans="1:52" ht="30" customHeight="1" x14ac:dyDescent="0.25">
      <c r="A33" s="158"/>
      <c r="B33" s="562" t="s">
        <v>141</v>
      </c>
      <c r="C33" s="553">
        <f t="shared" si="0"/>
        <v>0</v>
      </c>
      <c r="D33" s="554">
        <f t="shared" si="1"/>
        <v>0</v>
      </c>
      <c r="E33" s="555">
        <f t="shared" si="2"/>
        <v>0</v>
      </c>
      <c r="F33" s="555">
        <f t="shared" si="3"/>
        <v>0</v>
      </c>
      <c r="G33" s="556" t="str">
        <f t="shared" si="4"/>
        <v>Laboratorio de calibración de masa y volumen, avenida carrera  50 # 26-55 Int 2,  piso 5.</v>
      </c>
      <c r="H33" s="547"/>
      <c r="I33" s="557">
        <f t="shared" si="5"/>
        <v>0</v>
      </c>
      <c r="J33" s="558">
        <f t="shared" si="6"/>
        <v>0</v>
      </c>
      <c r="L33" s="158"/>
      <c r="M33" s="158"/>
      <c r="N33" s="489" t="s">
        <v>108</v>
      </c>
      <c r="O33" s="476" t="s">
        <v>105</v>
      </c>
      <c r="P33" s="476" t="s">
        <v>99</v>
      </c>
      <c r="Q33" s="476">
        <v>11119515</v>
      </c>
      <c r="R33" s="476" t="s">
        <v>96</v>
      </c>
      <c r="S33" s="476" t="s">
        <v>204</v>
      </c>
      <c r="T33" s="508">
        <v>43252</v>
      </c>
      <c r="U33" s="476">
        <v>2</v>
      </c>
      <c r="V33" s="476">
        <v>0.06</v>
      </c>
      <c r="W33" s="476">
        <v>0.04</v>
      </c>
      <c r="X33" s="509">
        <v>7950</v>
      </c>
      <c r="Y33" s="476">
        <v>140</v>
      </c>
      <c r="Z33" s="510">
        <f t="shared" si="8"/>
        <v>0.88784273101984279</v>
      </c>
      <c r="AA33" s="511" t="str">
        <f>AA32</f>
        <v>M-002</v>
      </c>
      <c r="AR33" s="158"/>
      <c r="AS33" s="158"/>
      <c r="AT33" s="158"/>
      <c r="AU33" s="158"/>
      <c r="AV33" s="158"/>
      <c r="AW33" s="158"/>
      <c r="AX33" s="160"/>
      <c r="AY33" s="158"/>
      <c r="AZ33" s="158"/>
    </row>
    <row r="34" spans="1:52" ht="30" customHeight="1" x14ac:dyDescent="0.25">
      <c r="A34" s="158"/>
      <c r="B34" s="563" t="s">
        <v>180</v>
      </c>
      <c r="C34" s="553">
        <f t="shared" si="0"/>
        <v>0</v>
      </c>
      <c r="D34" s="554">
        <f t="shared" si="1"/>
        <v>0</v>
      </c>
      <c r="E34" s="555">
        <f t="shared" si="2"/>
        <v>0</v>
      </c>
      <c r="F34" s="555">
        <f t="shared" si="3"/>
        <v>0</v>
      </c>
      <c r="G34" s="556" t="str">
        <f t="shared" si="4"/>
        <v>Laboratorio de calibración de masa y volumen, avenida carrera  50 # 26-55 Int 2,  piso 5.</v>
      </c>
      <c r="H34" s="547"/>
      <c r="I34" s="557">
        <f t="shared" si="5"/>
        <v>0</v>
      </c>
      <c r="J34" s="558">
        <f t="shared" si="6"/>
        <v>0</v>
      </c>
      <c r="L34" s="158"/>
      <c r="M34" s="158"/>
      <c r="N34" s="489" t="s">
        <v>109</v>
      </c>
      <c r="O34" s="476" t="s">
        <v>105</v>
      </c>
      <c r="P34" s="476" t="s">
        <v>99</v>
      </c>
      <c r="Q34" s="476">
        <v>11119515</v>
      </c>
      <c r="R34" s="476">
        <v>5</v>
      </c>
      <c r="S34" s="476" t="s">
        <v>204</v>
      </c>
      <c r="T34" s="508">
        <v>43252</v>
      </c>
      <c r="U34" s="476">
        <v>5</v>
      </c>
      <c r="V34" s="512">
        <v>0.01</v>
      </c>
      <c r="W34" s="476">
        <v>0.05</v>
      </c>
      <c r="X34" s="509">
        <v>7950</v>
      </c>
      <c r="Y34" s="476">
        <v>140</v>
      </c>
      <c r="Z34" s="510">
        <f t="shared" si="8"/>
        <v>0.88784273101984279</v>
      </c>
      <c r="AA34" s="511" t="s">
        <v>137</v>
      </c>
      <c r="AR34" s="158"/>
      <c r="AS34" s="158"/>
      <c r="AT34" s="158"/>
      <c r="AU34" s="158"/>
      <c r="AV34" s="158"/>
      <c r="AW34" s="158"/>
      <c r="AX34" s="160"/>
      <c r="AY34" s="158"/>
      <c r="AZ34" s="158"/>
    </row>
    <row r="35" spans="1:52" ht="30" customHeight="1" x14ac:dyDescent="0.25">
      <c r="A35" s="158"/>
      <c r="B35" s="564" t="s">
        <v>142</v>
      </c>
      <c r="C35" s="553">
        <f t="shared" si="0"/>
        <v>0</v>
      </c>
      <c r="D35" s="554">
        <f t="shared" si="1"/>
        <v>0</v>
      </c>
      <c r="E35" s="555">
        <f t="shared" si="2"/>
        <v>0</v>
      </c>
      <c r="F35" s="555">
        <f t="shared" si="3"/>
        <v>0</v>
      </c>
      <c r="G35" s="556" t="str">
        <f t="shared" si="4"/>
        <v>Laboratorio de calibración de masa y volumen, avenida carrera  50 # 26-55 Int 2,  piso 5.</v>
      </c>
      <c r="H35" s="547"/>
      <c r="I35" s="557">
        <f t="shared" si="5"/>
        <v>0</v>
      </c>
      <c r="J35" s="558">
        <f t="shared" si="6"/>
        <v>0</v>
      </c>
      <c r="K35" s="1656"/>
      <c r="L35" s="158"/>
      <c r="M35" s="158"/>
      <c r="N35" s="489" t="s">
        <v>110</v>
      </c>
      <c r="O35" s="476" t="s">
        <v>105</v>
      </c>
      <c r="P35" s="476" t="s">
        <v>99</v>
      </c>
      <c r="Q35" s="476">
        <v>11119515</v>
      </c>
      <c r="R35" s="476">
        <v>10</v>
      </c>
      <c r="S35" s="476" t="s">
        <v>204</v>
      </c>
      <c r="T35" s="508">
        <v>43252</v>
      </c>
      <c r="U35" s="476">
        <v>10</v>
      </c>
      <c r="V35" s="476">
        <v>7.0000000000000007E-2</v>
      </c>
      <c r="W35" s="476">
        <v>0.06</v>
      </c>
      <c r="X35" s="509">
        <v>7950</v>
      </c>
      <c r="Y35" s="476">
        <v>140</v>
      </c>
      <c r="Z35" s="510">
        <f t="shared" si="8"/>
        <v>0.88784273101984279</v>
      </c>
      <c r="AA35" s="511" t="s">
        <v>137</v>
      </c>
      <c r="AR35" s="158"/>
      <c r="AS35" s="158"/>
      <c r="AT35" s="158"/>
      <c r="AU35" s="158"/>
      <c r="AV35" s="158"/>
      <c r="AW35" s="158"/>
      <c r="AX35" s="158"/>
      <c r="AY35" s="158"/>
      <c r="AZ35" s="158"/>
    </row>
    <row r="36" spans="1:52" ht="30" customHeight="1" x14ac:dyDescent="0.25">
      <c r="A36" s="158"/>
      <c r="B36" s="565" t="s">
        <v>143</v>
      </c>
      <c r="C36" s="553">
        <f t="shared" si="0"/>
        <v>0</v>
      </c>
      <c r="D36" s="554">
        <f t="shared" si="1"/>
        <v>0</v>
      </c>
      <c r="E36" s="555">
        <f t="shared" si="2"/>
        <v>0</v>
      </c>
      <c r="F36" s="555">
        <f t="shared" si="3"/>
        <v>0</v>
      </c>
      <c r="G36" s="556" t="str">
        <f t="shared" si="4"/>
        <v>Laboratorio de calibración de masa y volumen, avenida carrera  50 # 26-55 Int 2,  piso 5.</v>
      </c>
      <c r="H36" s="547"/>
      <c r="I36" s="557">
        <f t="shared" si="5"/>
        <v>0</v>
      </c>
      <c r="J36" s="558">
        <f t="shared" si="6"/>
        <v>0</v>
      </c>
      <c r="K36" s="1656"/>
      <c r="L36" s="158"/>
      <c r="M36" s="158"/>
      <c r="N36" s="489" t="s">
        <v>111</v>
      </c>
      <c r="O36" s="476" t="s">
        <v>105</v>
      </c>
      <c r="P36" s="476" t="s">
        <v>99</v>
      </c>
      <c r="Q36" s="476">
        <v>11119515</v>
      </c>
      <c r="R36" s="476">
        <v>20</v>
      </c>
      <c r="S36" s="476" t="s">
        <v>204</v>
      </c>
      <c r="T36" s="508">
        <v>43252</v>
      </c>
      <c r="U36" s="476">
        <v>20</v>
      </c>
      <c r="V36" s="476">
        <v>0.08</v>
      </c>
      <c r="W36" s="476">
        <v>0.08</v>
      </c>
      <c r="X36" s="509">
        <v>7950</v>
      </c>
      <c r="Y36" s="476">
        <v>140</v>
      </c>
      <c r="Z36" s="510">
        <f t="shared" si="8"/>
        <v>0.88784273101984279</v>
      </c>
      <c r="AA36" s="511" t="str">
        <f>AA35</f>
        <v>M-002</v>
      </c>
      <c r="AR36" s="158"/>
      <c r="AS36" s="158"/>
      <c r="AT36" s="158"/>
      <c r="AU36" s="158"/>
      <c r="AV36" s="158"/>
      <c r="AW36" s="158"/>
      <c r="AX36" s="158"/>
      <c r="AY36" s="158"/>
      <c r="AZ36" s="158"/>
    </row>
    <row r="37" spans="1:52" ht="30" customHeight="1" x14ac:dyDescent="0.25">
      <c r="A37" s="158"/>
      <c r="B37" s="566" t="s">
        <v>181</v>
      </c>
      <c r="C37" s="553">
        <f t="shared" si="0"/>
        <v>0</v>
      </c>
      <c r="D37" s="554">
        <f t="shared" si="1"/>
        <v>0</v>
      </c>
      <c r="E37" s="555">
        <f t="shared" si="2"/>
        <v>0</v>
      </c>
      <c r="F37" s="555">
        <f t="shared" si="3"/>
        <v>0</v>
      </c>
      <c r="G37" s="556" t="str">
        <f t="shared" si="4"/>
        <v>Laboratorio de calibración de masa y volumen, avenida carrera  50 # 26-55 Int 2,  piso 5.</v>
      </c>
      <c r="H37" s="547"/>
      <c r="I37" s="557">
        <f t="shared" si="5"/>
        <v>0</v>
      </c>
      <c r="J37" s="558">
        <f t="shared" si="6"/>
        <v>0</v>
      </c>
      <c r="K37" s="163"/>
      <c r="L37" s="158"/>
      <c r="M37" s="158"/>
      <c r="N37" s="489" t="s">
        <v>112</v>
      </c>
      <c r="O37" s="476" t="s">
        <v>105</v>
      </c>
      <c r="P37" s="476" t="s">
        <v>99</v>
      </c>
      <c r="Q37" s="476">
        <v>11119515</v>
      </c>
      <c r="R37" s="476" t="s">
        <v>97</v>
      </c>
      <c r="S37" s="476" t="s">
        <v>204</v>
      </c>
      <c r="T37" s="508">
        <v>43252</v>
      </c>
      <c r="U37" s="476">
        <v>20</v>
      </c>
      <c r="V37" s="476">
        <v>7.0000000000000007E-2</v>
      </c>
      <c r="W37" s="476">
        <v>0.08</v>
      </c>
      <c r="X37" s="509">
        <v>7950</v>
      </c>
      <c r="Y37" s="476">
        <v>140</v>
      </c>
      <c r="Z37" s="510">
        <f t="shared" si="8"/>
        <v>0.88784273101984279</v>
      </c>
      <c r="AA37" s="511" t="s">
        <v>137</v>
      </c>
      <c r="AR37" s="158"/>
      <c r="AS37" s="158"/>
      <c r="AT37" s="158"/>
      <c r="AU37" s="158"/>
      <c r="AV37" s="158"/>
      <c r="AW37" s="158"/>
      <c r="AX37" s="158"/>
      <c r="AY37" s="158"/>
      <c r="AZ37" s="158"/>
    </row>
    <row r="38" spans="1:52" ht="30" customHeight="1" x14ac:dyDescent="0.25">
      <c r="B38" s="567" t="s">
        <v>182</v>
      </c>
      <c r="C38" s="553">
        <f t="shared" si="0"/>
        <v>0</v>
      </c>
      <c r="D38" s="554">
        <f t="shared" si="1"/>
        <v>0</v>
      </c>
      <c r="E38" s="555">
        <f t="shared" si="2"/>
        <v>0</v>
      </c>
      <c r="F38" s="555">
        <f t="shared" si="3"/>
        <v>0</v>
      </c>
      <c r="G38" s="556" t="str">
        <f t="shared" si="4"/>
        <v>Laboratorio de calibración de masa y volumen, avenida carrera  50 # 26-55 Int 2,  piso 5.</v>
      </c>
      <c r="H38" s="547"/>
      <c r="I38" s="557">
        <f t="shared" si="5"/>
        <v>0</v>
      </c>
      <c r="J38" s="558">
        <f t="shared" si="6"/>
        <v>0</v>
      </c>
      <c r="K38" s="568"/>
      <c r="L38" s="158"/>
      <c r="M38" s="158"/>
      <c r="N38" s="489" t="s">
        <v>113</v>
      </c>
      <c r="O38" s="476" t="s">
        <v>105</v>
      </c>
      <c r="P38" s="476" t="s">
        <v>99</v>
      </c>
      <c r="Q38" s="476">
        <v>11119515</v>
      </c>
      <c r="R38" s="476">
        <v>50</v>
      </c>
      <c r="S38" s="476" t="s">
        <v>204</v>
      </c>
      <c r="T38" s="508">
        <v>43252</v>
      </c>
      <c r="U38" s="476">
        <v>50</v>
      </c>
      <c r="V38" s="476">
        <v>0.13</v>
      </c>
      <c r="W38" s="512">
        <v>0.1</v>
      </c>
      <c r="X38" s="509">
        <v>7950</v>
      </c>
      <c r="Y38" s="476">
        <v>140</v>
      </c>
      <c r="Z38" s="510">
        <f t="shared" si="8"/>
        <v>0.88784273101984279</v>
      </c>
      <c r="AA38" s="511" t="s">
        <v>137</v>
      </c>
      <c r="AR38" s="158"/>
      <c r="AS38" s="158"/>
      <c r="AT38" s="158"/>
      <c r="AU38" s="158"/>
      <c r="AV38" s="158"/>
      <c r="AW38" s="158"/>
      <c r="AX38" s="158"/>
      <c r="AY38" s="158"/>
      <c r="AZ38" s="158"/>
    </row>
    <row r="39" spans="1:52" ht="30" customHeight="1" thickBot="1" x14ac:dyDescent="0.3">
      <c r="B39" s="569" t="s">
        <v>183</v>
      </c>
      <c r="C39" s="681">
        <f t="shared" si="0"/>
        <v>0</v>
      </c>
      <c r="D39" s="682">
        <f t="shared" si="1"/>
        <v>0</v>
      </c>
      <c r="E39" s="683">
        <f t="shared" si="2"/>
        <v>0</v>
      </c>
      <c r="F39" s="683">
        <f t="shared" si="3"/>
        <v>0</v>
      </c>
      <c r="G39" s="684" t="str">
        <f t="shared" si="4"/>
        <v>Laboratorio de calibración de masa y volumen, avenida carrera  50 # 26-55 Int 2,  piso 5.</v>
      </c>
      <c r="H39" s="974"/>
      <c r="I39" s="685">
        <f t="shared" si="5"/>
        <v>0</v>
      </c>
      <c r="J39" s="686">
        <f t="shared" si="6"/>
        <v>0</v>
      </c>
      <c r="K39" s="163"/>
      <c r="L39" s="158"/>
      <c r="M39" s="158"/>
      <c r="N39" s="489" t="s">
        <v>114</v>
      </c>
      <c r="O39" s="476" t="s">
        <v>105</v>
      </c>
      <c r="P39" s="476" t="s">
        <v>99</v>
      </c>
      <c r="Q39" s="476">
        <v>11119515</v>
      </c>
      <c r="R39" s="476">
        <v>100</v>
      </c>
      <c r="S39" s="476" t="s">
        <v>204</v>
      </c>
      <c r="T39" s="508">
        <v>43252</v>
      </c>
      <c r="U39" s="476">
        <v>100</v>
      </c>
      <c r="V39" s="476">
        <v>0.14000000000000001</v>
      </c>
      <c r="W39" s="476">
        <v>0.16</v>
      </c>
      <c r="X39" s="509">
        <v>7950</v>
      </c>
      <c r="Y39" s="476">
        <v>140</v>
      </c>
      <c r="Z39" s="510">
        <f t="shared" si="8"/>
        <v>0.88784273101984279</v>
      </c>
      <c r="AA39" s="511" t="str">
        <f>AA38</f>
        <v>M-002</v>
      </c>
      <c r="AR39" s="158"/>
      <c r="AS39" s="158"/>
      <c r="AT39" s="158"/>
      <c r="AU39" s="158"/>
      <c r="AV39" s="158"/>
      <c r="AW39" s="158"/>
      <c r="AX39" s="158"/>
      <c r="AY39" s="158"/>
      <c r="AZ39" s="158"/>
    </row>
    <row r="40" spans="1:52" ht="30" customHeight="1" x14ac:dyDescent="0.25">
      <c r="K40" s="163"/>
      <c r="L40" s="158"/>
      <c r="M40" s="158"/>
      <c r="N40" s="489" t="s">
        <v>115</v>
      </c>
      <c r="O40" s="476" t="s">
        <v>105</v>
      </c>
      <c r="P40" s="476" t="s">
        <v>99</v>
      </c>
      <c r="Q40" s="476">
        <v>11119515</v>
      </c>
      <c r="R40" s="476">
        <v>200</v>
      </c>
      <c r="S40" s="476" t="s">
        <v>204</v>
      </c>
      <c r="T40" s="508">
        <v>43252</v>
      </c>
      <c r="U40" s="476">
        <v>200</v>
      </c>
      <c r="V40" s="476">
        <v>0.3</v>
      </c>
      <c r="W40" s="476">
        <v>0.3</v>
      </c>
      <c r="X40" s="509">
        <v>7950</v>
      </c>
      <c r="Y40" s="476">
        <v>140</v>
      </c>
      <c r="Z40" s="510">
        <f t="shared" si="8"/>
        <v>0.88784273101984279</v>
      </c>
      <c r="AA40" s="511" t="s">
        <v>137</v>
      </c>
      <c r="AR40" s="158"/>
      <c r="AS40" s="158"/>
      <c r="AT40" s="158"/>
      <c r="AU40" s="158"/>
      <c r="AV40" s="158"/>
      <c r="AW40" s="158"/>
      <c r="AX40" s="158"/>
      <c r="AY40" s="158"/>
      <c r="AZ40" s="158"/>
    </row>
    <row r="41" spans="1:52" ht="30" customHeight="1" x14ac:dyDescent="0.25">
      <c r="K41" s="163"/>
      <c r="L41" s="158"/>
      <c r="M41" s="158"/>
      <c r="N41" s="489" t="s">
        <v>116</v>
      </c>
      <c r="O41" s="476" t="s">
        <v>105</v>
      </c>
      <c r="P41" s="476" t="s">
        <v>99</v>
      </c>
      <c r="Q41" s="476">
        <v>11119515</v>
      </c>
      <c r="R41" s="476" t="s">
        <v>98</v>
      </c>
      <c r="S41" s="476" t="s">
        <v>204</v>
      </c>
      <c r="T41" s="508">
        <v>43252</v>
      </c>
      <c r="U41" s="476">
        <v>200</v>
      </c>
      <c r="V41" s="476">
        <v>0.2</v>
      </c>
      <c r="W41" s="476">
        <v>0.3</v>
      </c>
      <c r="X41" s="509">
        <v>7950</v>
      </c>
      <c r="Y41" s="476">
        <v>140</v>
      </c>
      <c r="Z41" s="510">
        <f t="shared" si="8"/>
        <v>0.88784273101984279</v>
      </c>
      <c r="AA41" s="511" t="s">
        <v>137</v>
      </c>
      <c r="AR41" s="158"/>
      <c r="AS41" s="158"/>
      <c r="AT41" s="158"/>
      <c r="AU41" s="158"/>
      <c r="AV41" s="158"/>
      <c r="AW41" s="158"/>
      <c r="AX41" s="158"/>
      <c r="AY41" s="158"/>
      <c r="AZ41" s="158"/>
    </row>
    <row r="42" spans="1:52" ht="30" customHeight="1" thickBot="1" x14ac:dyDescent="0.3">
      <c r="A42" s="241"/>
      <c r="K42" s="163"/>
      <c r="L42" s="158"/>
      <c r="M42" s="158"/>
      <c r="N42" s="489" t="s">
        <v>117</v>
      </c>
      <c r="O42" s="476" t="s">
        <v>105</v>
      </c>
      <c r="P42" s="476" t="s">
        <v>99</v>
      </c>
      <c r="Q42" s="476">
        <v>11119515</v>
      </c>
      <c r="R42" s="476">
        <v>500</v>
      </c>
      <c r="S42" s="476" t="s">
        <v>204</v>
      </c>
      <c r="T42" s="508">
        <v>43252</v>
      </c>
      <c r="U42" s="476">
        <v>500</v>
      </c>
      <c r="V42" s="476">
        <v>0.8</v>
      </c>
      <c r="W42" s="476">
        <v>0.8</v>
      </c>
      <c r="X42" s="509">
        <v>7950</v>
      </c>
      <c r="Y42" s="476">
        <v>140</v>
      </c>
      <c r="Z42" s="510">
        <f t="shared" si="8"/>
        <v>0.88784273101984279</v>
      </c>
      <c r="AA42" s="511" t="str">
        <f>AA41</f>
        <v>M-002</v>
      </c>
      <c r="AR42" s="158"/>
      <c r="AS42" s="158"/>
      <c r="AT42" s="158"/>
      <c r="AU42" s="158"/>
      <c r="AV42" s="158"/>
      <c r="AW42" s="158"/>
      <c r="AX42" s="158"/>
      <c r="AY42" s="158"/>
      <c r="AZ42" s="158"/>
    </row>
    <row r="43" spans="1:52" ht="30" customHeight="1" x14ac:dyDescent="0.25">
      <c r="A43" s="241"/>
      <c r="B43" s="1664" t="s">
        <v>161</v>
      </c>
      <c r="C43" s="1665"/>
      <c r="D43" s="1665"/>
      <c r="E43" s="1665"/>
      <c r="F43" s="1665"/>
      <c r="G43" s="1665"/>
      <c r="H43" s="1665"/>
      <c r="I43" s="1665"/>
      <c r="J43" s="1666"/>
      <c r="K43" s="163"/>
      <c r="L43" s="158"/>
      <c r="M43" s="158"/>
      <c r="N43" s="489" t="s">
        <v>426</v>
      </c>
      <c r="O43" s="476" t="s">
        <v>105</v>
      </c>
      <c r="P43" s="476" t="s">
        <v>99</v>
      </c>
      <c r="Q43" s="476">
        <v>11119515</v>
      </c>
      <c r="R43" s="476">
        <v>1</v>
      </c>
      <c r="S43" s="476" t="s">
        <v>204</v>
      </c>
      <c r="T43" s="508">
        <v>43252</v>
      </c>
      <c r="U43" s="513">
        <v>1000</v>
      </c>
      <c r="V43" s="476">
        <v>1.9</v>
      </c>
      <c r="W43" s="476">
        <v>1.6</v>
      </c>
      <c r="X43" s="509">
        <v>7950</v>
      </c>
      <c r="Y43" s="476">
        <v>140</v>
      </c>
      <c r="Z43" s="510">
        <f t="shared" si="8"/>
        <v>0.88784273101984279</v>
      </c>
      <c r="AA43" s="511" t="s">
        <v>137</v>
      </c>
      <c r="AR43" s="158"/>
      <c r="AS43" s="158"/>
      <c r="AT43" s="158"/>
      <c r="AU43" s="158"/>
      <c r="AV43" s="158"/>
      <c r="AW43" s="158"/>
      <c r="AX43" s="158"/>
      <c r="AY43" s="158"/>
      <c r="AZ43" s="158"/>
    </row>
    <row r="44" spans="1:52" ht="30" customHeight="1" thickBot="1" x14ac:dyDescent="0.3">
      <c r="A44" s="241"/>
      <c r="B44" s="1667"/>
      <c r="C44" s="1668"/>
      <c r="D44" s="1668"/>
      <c r="E44" s="1668"/>
      <c r="F44" s="1668"/>
      <c r="G44" s="1668"/>
      <c r="H44" s="1668"/>
      <c r="I44" s="1668"/>
      <c r="J44" s="1669"/>
      <c r="K44" s="163"/>
      <c r="L44" s="158"/>
      <c r="M44" s="158"/>
      <c r="N44" s="489" t="s">
        <v>429</v>
      </c>
      <c r="O44" s="476" t="s">
        <v>105</v>
      </c>
      <c r="P44" s="476" t="s">
        <v>99</v>
      </c>
      <c r="Q44" s="476">
        <v>11119515</v>
      </c>
      <c r="R44" s="476">
        <v>2</v>
      </c>
      <c r="S44" s="476" t="s">
        <v>204</v>
      </c>
      <c r="T44" s="508">
        <v>43252</v>
      </c>
      <c r="U44" s="513">
        <v>2000</v>
      </c>
      <c r="V44" s="479">
        <v>1.9</v>
      </c>
      <c r="W44" s="479">
        <v>3</v>
      </c>
      <c r="X44" s="509">
        <v>7950</v>
      </c>
      <c r="Y44" s="476">
        <v>140</v>
      </c>
      <c r="Z44" s="510">
        <f t="shared" si="8"/>
        <v>0.88784273101984279</v>
      </c>
      <c r="AA44" s="511" t="s">
        <v>137</v>
      </c>
      <c r="AR44" s="158"/>
      <c r="AS44" s="158"/>
      <c r="AT44" s="158"/>
      <c r="AU44" s="158"/>
      <c r="AV44" s="158"/>
      <c r="AW44" s="158"/>
      <c r="AX44" s="158"/>
      <c r="AY44" s="158"/>
      <c r="AZ44" s="158"/>
    </row>
    <row r="45" spans="1:52" ht="30" customHeight="1" x14ac:dyDescent="0.25">
      <c r="A45" s="241"/>
      <c r="B45" s="1645" t="s">
        <v>4</v>
      </c>
      <c r="C45" s="1649" t="s">
        <v>21</v>
      </c>
      <c r="D45" s="1649" t="s">
        <v>10</v>
      </c>
      <c r="E45" s="1649" t="s">
        <v>22</v>
      </c>
      <c r="F45" s="1649" t="s">
        <v>453</v>
      </c>
      <c r="G45" s="1649" t="s">
        <v>301</v>
      </c>
      <c r="H45" s="1649" t="s">
        <v>302</v>
      </c>
      <c r="I45" s="1649" t="s">
        <v>303</v>
      </c>
      <c r="J45" s="1654" t="s">
        <v>258</v>
      </c>
      <c r="K45" s="163"/>
      <c r="L45" s="158"/>
      <c r="M45" s="158"/>
      <c r="N45" s="489" t="s">
        <v>428</v>
      </c>
      <c r="O45" s="476" t="s">
        <v>105</v>
      </c>
      <c r="P45" s="476" t="s">
        <v>99</v>
      </c>
      <c r="Q45" s="476">
        <v>11119515</v>
      </c>
      <c r="R45" s="476" t="s">
        <v>96</v>
      </c>
      <c r="S45" s="476" t="s">
        <v>204</v>
      </c>
      <c r="T45" s="508">
        <v>43252</v>
      </c>
      <c r="U45" s="513">
        <v>2000</v>
      </c>
      <c r="V45" s="479">
        <v>2.1</v>
      </c>
      <c r="W45" s="479">
        <v>3</v>
      </c>
      <c r="X45" s="509">
        <v>7950</v>
      </c>
      <c r="Y45" s="476">
        <v>140</v>
      </c>
      <c r="Z45" s="510">
        <f t="shared" si="8"/>
        <v>0.88784273101984279</v>
      </c>
      <c r="AA45" s="511" t="str">
        <f>AA44</f>
        <v>M-002</v>
      </c>
      <c r="AR45" s="158"/>
      <c r="AS45" s="158"/>
      <c r="AT45" s="158"/>
      <c r="AU45" s="158"/>
      <c r="AV45" s="158"/>
      <c r="AW45" s="158"/>
      <c r="AX45" s="158"/>
      <c r="AY45" s="158"/>
      <c r="AZ45" s="158"/>
    </row>
    <row r="46" spans="1:52" ht="30" customHeight="1" thickBot="1" x14ac:dyDescent="0.3">
      <c r="A46" s="241"/>
      <c r="B46" s="1646"/>
      <c r="C46" s="1650"/>
      <c r="D46" s="1650"/>
      <c r="E46" s="1650"/>
      <c r="F46" s="1650"/>
      <c r="G46" s="1650"/>
      <c r="H46" s="1650"/>
      <c r="I46" s="1650"/>
      <c r="J46" s="1655"/>
      <c r="K46" s="163"/>
      <c r="L46" s="158"/>
      <c r="M46" s="158"/>
      <c r="N46" s="496" t="s">
        <v>427</v>
      </c>
      <c r="O46" s="514" t="s">
        <v>105</v>
      </c>
      <c r="P46" s="514" t="s">
        <v>99</v>
      </c>
      <c r="Q46" s="514">
        <v>11119515</v>
      </c>
      <c r="R46" s="514">
        <v>5</v>
      </c>
      <c r="S46" s="514" t="s">
        <v>204</v>
      </c>
      <c r="T46" s="515">
        <v>43252</v>
      </c>
      <c r="U46" s="513">
        <v>5000</v>
      </c>
      <c r="V46" s="514">
        <v>5.8</v>
      </c>
      <c r="W46" s="516">
        <v>8</v>
      </c>
      <c r="X46" s="513">
        <v>7950</v>
      </c>
      <c r="Y46" s="514">
        <v>140</v>
      </c>
      <c r="Z46" s="517">
        <f t="shared" si="8"/>
        <v>0.88784273101984279</v>
      </c>
      <c r="AA46" s="518" t="s">
        <v>137</v>
      </c>
      <c r="AR46" s="158"/>
      <c r="AS46" s="158"/>
      <c r="AT46" s="158"/>
      <c r="AU46" s="158"/>
      <c r="AV46" s="158"/>
      <c r="AW46" s="158"/>
      <c r="AX46" s="158"/>
      <c r="AY46" s="158"/>
      <c r="AZ46" s="158"/>
    </row>
    <row r="47" spans="1:52" ht="30" customHeight="1" thickBot="1" x14ac:dyDescent="0.3">
      <c r="A47" s="241"/>
      <c r="K47" s="163"/>
      <c r="L47" s="158"/>
      <c r="M47" s="158"/>
      <c r="N47" s="485" t="s">
        <v>409</v>
      </c>
      <c r="O47" s="469" t="s">
        <v>381</v>
      </c>
      <c r="P47" s="469" t="s">
        <v>397</v>
      </c>
      <c r="Q47" s="469">
        <v>1913613</v>
      </c>
      <c r="R47" s="469">
        <v>1</v>
      </c>
      <c r="S47" s="469" t="s">
        <v>424</v>
      </c>
      <c r="T47" s="504">
        <v>43806</v>
      </c>
      <c r="U47" s="519">
        <v>1</v>
      </c>
      <c r="V47" s="469">
        <v>3.3000000000000002E-2</v>
      </c>
      <c r="W47" s="472">
        <v>3.3000000000000002E-2</v>
      </c>
      <c r="X47" s="505">
        <v>7950</v>
      </c>
      <c r="Y47" s="469">
        <v>140</v>
      </c>
      <c r="Z47" s="506">
        <f>(0.34848*((750.8+751.1)/2)-0.009*((42.9+53.5)/2)*EXP(0.0612*((18.2+19.1)/2)))/(273.15+((18.2+19.1)/2))</f>
        <v>0.89216172299489449</v>
      </c>
      <c r="AA47" s="507" t="s">
        <v>425</v>
      </c>
      <c r="AR47" s="158"/>
      <c r="AS47" s="158"/>
      <c r="AT47" s="158"/>
      <c r="AU47" s="158"/>
      <c r="AV47" s="158"/>
      <c r="AW47" s="158"/>
      <c r="AX47" s="158"/>
      <c r="AY47" s="158"/>
      <c r="AZ47" s="158"/>
    </row>
    <row r="48" spans="1:52" ht="30" customHeight="1" x14ac:dyDescent="0.25">
      <c r="A48" s="241"/>
      <c r="B48" s="533" t="s">
        <v>484</v>
      </c>
      <c r="C48" s="699"/>
      <c r="D48" s="700"/>
      <c r="E48" s="701"/>
      <c r="F48" s="1056"/>
      <c r="G48" s="702">
        <v>1</v>
      </c>
      <c r="H48" s="701"/>
      <c r="I48" s="701"/>
      <c r="J48" s="703">
        <f>I8</f>
        <v>0</v>
      </c>
      <c r="K48" s="163"/>
      <c r="L48" s="158"/>
      <c r="M48" s="158"/>
      <c r="N48" s="489" t="s">
        <v>410</v>
      </c>
      <c r="O48" s="476" t="s">
        <v>381</v>
      </c>
      <c r="P48" s="476" t="s">
        <v>397</v>
      </c>
      <c r="Q48" s="476">
        <v>1913613</v>
      </c>
      <c r="R48" s="476">
        <v>2</v>
      </c>
      <c r="S48" s="476" t="s">
        <v>424</v>
      </c>
      <c r="T48" s="508">
        <v>43806</v>
      </c>
      <c r="U48" s="484">
        <v>2</v>
      </c>
      <c r="V48" s="476">
        <v>2.1000000000000001E-2</v>
      </c>
      <c r="W48" s="480">
        <v>0.04</v>
      </c>
      <c r="X48" s="509">
        <v>7950</v>
      </c>
      <c r="Y48" s="476">
        <v>140</v>
      </c>
      <c r="Z48" s="510">
        <f t="shared" ref="Z48:Z62" si="9">(0.34848*((750.8+751.1)/2)-0.009*((42.9+53.5)/2)*EXP(0.0612*((18.2+19.1)/2)))/(273.15+((18.2+19.1)/2))</f>
        <v>0.89216172299489449</v>
      </c>
      <c r="AA48" s="511" t="s">
        <v>425</v>
      </c>
      <c r="AR48" s="158"/>
      <c r="AS48" s="158"/>
      <c r="AT48" s="158"/>
      <c r="AU48" s="158"/>
      <c r="AV48" s="158"/>
      <c r="AW48" s="158"/>
      <c r="AX48" s="158"/>
      <c r="AY48" s="158"/>
      <c r="AZ48" s="158"/>
    </row>
    <row r="49" spans="1:52" ht="30" customHeight="1" x14ac:dyDescent="0.25">
      <c r="A49" s="1663" t="s">
        <v>499</v>
      </c>
      <c r="B49" s="534" t="s">
        <v>485</v>
      </c>
      <c r="C49" s="680">
        <f>$C$48</f>
        <v>0</v>
      </c>
      <c r="D49" s="1013">
        <f>$D$48</f>
        <v>0</v>
      </c>
      <c r="E49" s="1014">
        <f>$E$48</f>
        <v>0</v>
      </c>
      <c r="F49" s="573"/>
      <c r="G49" s="574">
        <v>2</v>
      </c>
      <c r="H49" s="575">
        <f>$H$48</f>
        <v>0</v>
      </c>
      <c r="I49" s="572">
        <f>$I$48</f>
        <v>0</v>
      </c>
      <c r="J49" s="576">
        <f>J48</f>
        <v>0</v>
      </c>
      <c r="K49" s="163"/>
      <c r="L49" s="158"/>
      <c r="M49" s="158"/>
      <c r="N49" s="489" t="s">
        <v>411</v>
      </c>
      <c r="O49" s="476" t="s">
        <v>381</v>
      </c>
      <c r="P49" s="476" t="s">
        <v>397</v>
      </c>
      <c r="Q49" s="476">
        <v>1913613</v>
      </c>
      <c r="R49" s="476" t="s">
        <v>421</v>
      </c>
      <c r="S49" s="476" t="s">
        <v>424</v>
      </c>
      <c r="T49" s="508">
        <v>43806</v>
      </c>
      <c r="U49" s="484">
        <v>2</v>
      </c>
      <c r="V49" s="476">
        <v>5.7000000000000002E-2</v>
      </c>
      <c r="W49" s="480">
        <v>0.04</v>
      </c>
      <c r="X49" s="509">
        <v>7950</v>
      </c>
      <c r="Y49" s="476">
        <v>140</v>
      </c>
      <c r="Z49" s="510">
        <f t="shared" si="9"/>
        <v>0.89216172299489449</v>
      </c>
      <c r="AA49" s="511" t="s">
        <v>425</v>
      </c>
      <c r="AR49" s="158"/>
      <c r="AS49" s="158"/>
      <c r="AT49" s="158"/>
      <c r="AU49" s="158"/>
      <c r="AV49" s="158"/>
      <c r="AW49" s="158"/>
      <c r="AX49" s="158"/>
      <c r="AY49" s="158"/>
      <c r="AZ49" s="158"/>
    </row>
    <row r="50" spans="1:52" ht="30" customHeight="1" x14ac:dyDescent="0.25">
      <c r="A50" s="1663"/>
      <c r="B50" s="534" t="s">
        <v>502</v>
      </c>
      <c r="C50" s="680">
        <f t="shared" ref="C50:C59" si="10">$C$48</f>
        <v>0</v>
      </c>
      <c r="D50" s="1013">
        <f t="shared" ref="D50:D59" si="11">$D$48</f>
        <v>0</v>
      </c>
      <c r="E50" s="1014">
        <f t="shared" ref="E50:E59" si="12">$E$48</f>
        <v>0</v>
      </c>
      <c r="F50" s="573"/>
      <c r="G50" s="574">
        <v>2</v>
      </c>
      <c r="H50" s="575">
        <f t="shared" ref="H50:H59" si="13">$H$48</f>
        <v>0</v>
      </c>
      <c r="I50" s="572">
        <f t="shared" ref="I50:I59" si="14">$I$48</f>
        <v>0</v>
      </c>
      <c r="J50" s="576">
        <f t="shared" ref="J50:J59" si="15">J49</f>
        <v>0</v>
      </c>
      <c r="K50" s="163"/>
      <c r="L50" s="158"/>
      <c r="M50" s="158"/>
      <c r="N50" s="489" t="s">
        <v>412</v>
      </c>
      <c r="O50" s="476" t="s">
        <v>381</v>
      </c>
      <c r="P50" s="476" t="s">
        <v>397</v>
      </c>
      <c r="Q50" s="476">
        <v>1913613</v>
      </c>
      <c r="R50" s="476">
        <v>5</v>
      </c>
      <c r="S50" s="476" t="s">
        <v>424</v>
      </c>
      <c r="T50" s="508">
        <v>43806</v>
      </c>
      <c r="U50" s="484">
        <v>5</v>
      </c>
      <c r="V50" s="476">
        <v>1.2E-2</v>
      </c>
      <c r="W50" s="480">
        <v>5.2999999999999999E-2</v>
      </c>
      <c r="X50" s="509">
        <v>7950</v>
      </c>
      <c r="Y50" s="476">
        <v>140</v>
      </c>
      <c r="Z50" s="510">
        <f t="shared" si="9"/>
        <v>0.89216172299489449</v>
      </c>
      <c r="AA50" s="511" t="s">
        <v>425</v>
      </c>
      <c r="AR50" s="158"/>
      <c r="AS50" s="158"/>
      <c r="AT50" s="158"/>
      <c r="AU50" s="158"/>
      <c r="AV50" s="158"/>
      <c r="AW50" s="158"/>
      <c r="AX50" s="158"/>
      <c r="AY50" s="158"/>
      <c r="AZ50" s="158"/>
    </row>
    <row r="51" spans="1:52" ht="30" customHeight="1" x14ac:dyDescent="0.25">
      <c r="A51" s="1663"/>
      <c r="B51" s="534" t="s">
        <v>486</v>
      </c>
      <c r="C51" s="680">
        <f t="shared" si="10"/>
        <v>0</v>
      </c>
      <c r="D51" s="1013">
        <f t="shared" si="11"/>
        <v>0</v>
      </c>
      <c r="E51" s="1014">
        <f t="shared" si="12"/>
        <v>0</v>
      </c>
      <c r="F51" s="573"/>
      <c r="G51" s="574">
        <v>5</v>
      </c>
      <c r="H51" s="575">
        <f t="shared" si="13"/>
        <v>0</v>
      </c>
      <c r="I51" s="572">
        <f t="shared" si="14"/>
        <v>0</v>
      </c>
      <c r="J51" s="576">
        <f t="shared" si="15"/>
        <v>0</v>
      </c>
      <c r="K51" s="163"/>
      <c r="L51" s="158"/>
      <c r="M51" s="158"/>
      <c r="N51" s="489" t="s">
        <v>413</v>
      </c>
      <c r="O51" s="476" t="s">
        <v>381</v>
      </c>
      <c r="P51" s="476" t="s">
        <v>397</v>
      </c>
      <c r="Q51" s="476">
        <v>1913613</v>
      </c>
      <c r="R51" s="476">
        <v>10</v>
      </c>
      <c r="S51" s="476" t="s">
        <v>424</v>
      </c>
      <c r="T51" s="508">
        <v>43806</v>
      </c>
      <c r="U51" s="484">
        <v>10</v>
      </c>
      <c r="V51" s="476">
        <v>5.6000000000000001E-2</v>
      </c>
      <c r="W51" s="480">
        <v>6.7000000000000004E-2</v>
      </c>
      <c r="X51" s="509">
        <v>7950</v>
      </c>
      <c r="Y51" s="476">
        <v>140</v>
      </c>
      <c r="Z51" s="510">
        <f t="shared" si="9"/>
        <v>0.89216172299489449</v>
      </c>
      <c r="AA51" s="511" t="s">
        <v>425</v>
      </c>
      <c r="AR51" s="158"/>
      <c r="AS51" s="158"/>
      <c r="AT51" s="158"/>
      <c r="AU51" s="158"/>
      <c r="AV51" s="158"/>
      <c r="AW51" s="158"/>
      <c r="AX51" s="158"/>
      <c r="AY51" s="158"/>
      <c r="AZ51" s="158"/>
    </row>
    <row r="52" spans="1:52" ht="30" customHeight="1" x14ac:dyDescent="0.25">
      <c r="A52" s="1663"/>
      <c r="B52" s="534" t="s">
        <v>487</v>
      </c>
      <c r="C52" s="680">
        <f t="shared" si="10"/>
        <v>0</v>
      </c>
      <c r="D52" s="1013">
        <f t="shared" si="11"/>
        <v>0</v>
      </c>
      <c r="E52" s="1014">
        <f t="shared" si="12"/>
        <v>0</v>
      </c>
      <c r="F52" s="573"/>
      <c r="G52" s="574">
        <v>10</v>
      </c>
      <c r="H52" s="575">
        <f t="shared" si="13"/>
        <v>0</v>
      </c>
      <c r="I52" s="572">
        <f t="shared" si="14"/>
        <v>0</v>
      </c>
      <c r="J52" s="576">
        <f t="shared" si="15"/>
        <v>0</v>
      </c>
      <c r="K52" s="163"/>
      <c r="L52" s="158"/>
      <c r="M52" s="158"/>
      <c r="N52" s="489" t="s">
        <v>414</v>
      </c>
      <c r="O52" s="476" t="s">
        <v>381</v>
      </c>
      <c r="P52" s="476" t="s">
        <v>397</v>
      </c>
      <c r="Q52" s="476">
        <v>1913613</v>
      </c>
      <c r="R52" s="476">
        <v>20</v>
      </c>
      <c r="S52" s="476" t="s">
        <v>424</v>
      </c>
      <c r="T52" s="508">
        <v>43806</v>
      </c>
      <c r="U52" s="484">
        <v>20</v>
      </c>
      <c r="V52" s="512">
        <v>0</v>
      </c>
      <c r="W52" s="480">
        <v>8.3000000000000004E-2</v>
      </c>
      <c r="X52" s="509">
        <v>7950</v>
      </c>
      <c r="Y52" s="476">
        <v>140</v>
      </c>
      <c r="Z52" s="510">
        <f t="shared" si="9"/>
        <v>0.89216172299489449</v>
      </c>
      <c r="AA52" s="511" t="s">
        <v>425</v>
      </c>
      <c r="AR52" s="158"/>
      <c r="AS52" s="158"/>
      <c r="AT52" s="158"/>
      <c r="AU52" s="158"/>
      <c r="AV52" s="158"/>
      <c r="AW52" s="158"/>
      <c r="AX52" s="158"/>
      <c r="AY52" s="158"/>
      <c r="AZ52" s="158"/>
    </row>
    <row r="53" spans="1:52" ht="30" customHeight="1" x14ac:dyDescent="0.25">
      <c r="A53" s="241"/>
      <c r="B53" s="534" t="s">
        <v>490</v>
      </c>
      <c r="C53" s="680">
        <f t="shared" si="10"/>
        <v>0</v>
      </c>
      <c r="D53" s="1013">
        <f t="shared" si="11"/>
        <v>0</v>
      </c>
      <c r="E53" s="1014">
        <f t="shared" si="12"/>
        <v>0</v>
      </c>
      <c r="F53" s="573"/>
      <c r="G53" s="574">
        <v>20</v>
      </c>
      <c r="H53" s="575">
        <f t="shared" si="13"/>
        <v>0</v>
      </c>
      <c r="I53" s="572">
        <f t="shared" si="14"/>
        <v>0</v>
      </c>
      <c r="J53" s="576">
        <f t="shared" si="15"/>
        <v>0</v>
      </c>
      <c r="K53" s="163"/>
      <c r="L53" s="158"/>
      <c r="M53" s="158"/>
      <c r="N53" s="489" t="s">
        <v>415</v>
      </c>
      <c r="O53" s="476" t="s">
        <v>381</v>
      </c>
      <c r="P53" s="476" t="s">
        <v>397</v>
      </c>
      <c r="Q53" s="476">
        <v>1913613</v>
      </c>
      <c r="R53" s="476" t="s">
        <v>422</v>
      </c>
      <c r="S53" s="476" t="s">
        <v>424</v>
      </c>
      <c r="T53" s="508">
        <v>43806</v>
      </c>
      <c r="U53" s="484">
        <v>20</v>
      </c>
      <c r="V53" s="476">
        <v>0.108</v>
      </c>
      <c r="W53" s="480">
        <v>8.3000000000000004E-2</v>
      </c>
      <c r="X53" s="509">
        <v>7950</v>
      </c>
      <c r="Y53" s="476">
        <v>140</v>
      </c>
      <c r="Z53" s="510">
        <f t="shared" si="9"/>
        <v>0.89216172299489449</v>
      </c>
      <c r="AA53" s="511" t="s">
        <v>425</v>
      </c>
      <c r="AR53" s="158"/>
      <c r="AS53" s="158"/>
      <c r="AT53" s="158"/>
      <c r="AU53" s="158"/>
      <c r="AV53" s="158"/>
      <c r="AW53" s="158"/>
      <c r="AX53" s="158"/>
      <c r="AY53" s="158"/>
      <c r="AZ53" s="158"/>
    </row>
    <row r="54" spans="1:52" ht="30" customHeight="1" x14ac:dyDescent="0.25">
      <c r="A54" s="241"/>
      <c r="B54" s="535" t="s">
        <v>503</v>
      </c>
      <c r="C54" s="680">
        <f t="shared" si="10"/>
        <v>0</v>
      </c>
      <c r="D54" s="1013">
        <f t="shared" si="11"/>
        <v>0</v>
      </c>
      <c r="E54" s="1014">
        <f t="shared" si="12"/>
        <v>0</v>
      </c>
      <c r="F54" s="573"/>
      <c r="G54" s="574">
        <v>20</v>
      </c>
      <c r="H54" s="575">
        <f t="shared" si="13"/>
        <v>0</v>
      </c>
      <c r="I54" s="572">
        <f t="shared" si="14"/>
        <v>0</v>
      </c>
      <c r="J54" s="576">
        <f t="shared" si="15"/>
        <v>0</v>
      </c>
      <c r="K54" s="163"/>
      <c r="L54" s="158"/>
      <c r="M54" s="158"/>
      <c r="N54" s="489" t="s">
        <v>416</v>
      </c>
      <c r="O54" s="476" t="s">
        <v>381</v>
      </c>
      <c r="P54" s="476" t="s">
        <v>397</v>
      </c>
      <c r="Q54" s="476">
        <v>1913613</v>
      </c>
      <c r="R54" s="476">
        <v>50</v>
      </c>
      <c r="S54" s="476" t="s">
        <v>424</v>
      </c>
      <c r="T54" s="508">
        <v>43806</v>
      </c>
      <c r="U54" s="484">
        <v>50</v>
      </c>
      <c r="V54" s="476">
        <v>0.14000000000000001</v>
      </c>
      <c r="W54" s="512">
        <v>0.1</v>
      </c>
      <c r="X54" s="509">
        <v>7950</v>
      </c>
      <c r="Y54" s="476">
        <v>140</v>
      </c>
      <c r="Z54" s="510">
        <f t="shared" si="9"/>
        <v>0.89216172299489449</v>
      </c>
      <c r="AA54" s="511" t="s">
        <v>425</v>
      </c>
      <c r="AR54" s="158"/>
      <c r="AS54" s="158"/>
      <c r="AT54" s="158"/>
      <c r="AU54" s="158"/>
      <c r="AV54" s="158"/>
      <c r="AW54" s="158"/>
      <c r="AX54" s="158"/>
      <c r="AY54" s="158"/>
      <c r="AZ54" s="158"/>
    </row>
    <row r="55" spans="1:52" ht="30" customHeight="1" x14ac:dyDescent="0.25">
      <c r="A55" s="721"/>
      <c r="B55" s="535" t="s">
        <v>491</v>
      </c>
      <c r="C55" s="680">
        <f t="shared" si="10"/>
        <v>0</v>
      </c>
      <c r="D55" s="1013">
        <f t="shared" si="11"/>
        <v>0</v>
      </c>
      <c r="E55" s="1014">
        <f t="shared" si="12"/>
        <v>0</v>
      </c>
      <c r="F55" s="573"/>
      <c r="G55" s="574">
        <v>50</v>
      </c>
      <c r="H55" s="575">
        <f t="shared" si="13"/>
        <v>0</v>
      </c>
      <c r="I55" s="572">
        <f t="shared" si="14"/>
        <v>0</v>
      </c>
      <c r="J55" s="576">
        <f t="shared" si="15"/>
        <v>0</v>
      </c>
      <c r="K55" s="163"/>
      <c r="L55" s="158"/>
      <c r="M55" s="158"/>
      <c r="N55" s="489" t="s">
        <v>417</v>
      </c>
      <c r="O55" s="476" t="s">
        <v>381</v>
      </c>
      <c r="P55" s="476" t="s">
        <v>397</v>
      </c>
      <c r="Q55" s="476">
        <v>1913613</v>
      </c>
      <c r="R55" s="476">
        <v>100</v>
      </c>
      <c r="S55" s="476" t="s">
        <v>424</v>
      </c>
      <c r="T55" s="508">
        <v>43806</v>
      </c>
      <c r="U55" s="484">
        <v>100</v>
      </c>
      <c r="V55" s="476">
        <v>0.23</v>
      </c>
      <c r="W55" s="512">
        <v>0.17</v>
      </c>
      <c r="X55" s="509">
        <v>7950</v>
      </c>
      <c r="Y55" s="476">
        <v>140</v>
      </c>
      <c r="Z55" s="510">
        <f t="shared" si="9"/>
        <v>0.89216172299489449</v>
      </c>
      <c r="AA55" s="511" t="s">
        <v>425</v>
      </c>
      <c r="AR55" s="158"/>
      <c r="AS55" s="158"/>
      <c r="AT55" s="158"/>
      <c r="AU55" s="158"/>
      <c r="AV55" s="158"/>
      <c r="AW55" s="158"/>
      <c r="AX55" s="158"/>
      <c r="AY55" s="158"/>
      <c r="AZ55" s="158"/>
    </row>
    <row r="56" spans="1:52" ht="30" customHeight="1" x14ac:dyDescent="0.25">
      <c r="A56" s="241"/>
      <c r="B56" s="535" t="s">
        <v>492</v>
      </c>
      <c r="C56" s="680">
        <f t="shared" si="10"/>
        <v>0</v>
      </c>
      <c r="D56" s="1013">
        <f t="shared" si="11"/>
        <v>0</v>
      </c>
      <c r="E56" s="1014">
        <f t="shared" si="12"/>
        <v>0</v>
      </c>
      <c r="F56" s="573"/>
      <c r="G56" s="574">
        <v>100</v>
      </c>
      <c r="H56" s="575">
        <f t="shared" si="13"/>
        <v>0</v>
      </c>
      <c r="I56" s="572">
        <f t="shared" si="14"/>
        <v>0</v>
      </c>
      <c r="J56" s="576">
        <f t="shared" si="15"/>
        <v>0</v>
      </c>
      <c r="K56" s="163"/>
      <c r="L56" s="158"/>
      <c r="M56" s="158"/>
      <c r="N56" s="489" t="s">
        <v>418</v>
      </c>
      <c r="O56" s="476" t="s">
        <v>381</v>
      </c>
      <c r="P56" s="476" t="s">
        <v>397</v>
      </c>
      <c r="Q56" s="476">
        <v>1913613</v>
      </c>
      <c r="R56" s="476">
        <v>200</v>
      </c>
      <c r="S56" s="476" t="s">
        <v>424</v>
      </c>
      <c r="T56" s="508">
        <v>43806</v>
      </c>
      <c r="U56" s="484">
        <v>200</v>
      </c>
      <c r="V56" s="476">
        <v>0.14000000000000001</v>
      </c>
      <c r="W56" s="512">
        <v>0.33</v>
      </c>
      <c r="X56" s="509">
        <v>7950</v>
      </c>
      <c r="Y56" s="476">
        <v>140</v>
      </c>
      <c r="Z56" s="510">
        <f t="shared" si="9"/>
        <v>0.89216172299489449</v>
      </c>
      <c r="AA56" s="511" t="s">
        <v>425</v>
      </c>
      <c r="AR56" s="158"/>
      <c r="AS56" s="158"/>
      <c r="AT56" s="158"/>
      <c r="AU56" s="158"/>
      <c r="AV56" s="158"/>
      <c r="AW56" s="158"/>
      <c r="AX56" s="158"/>
      <c r="AY56" s="158"/>
      <c r="AZ56" s="158"/>
    </row>
    <row r="57" spans="1:52" ht="30" customHeight="1" x14ac:dyDescent="0.25">
      <c r="A57" s="241"/>
      <c r="B57" s="535" t="s">
        <v>493</v>
      </c>
      <c r="C57" s="680">
        <f t="shared" si="10"/>
        <v>0</v>
      </c>
      <c r="D57" s="1013">
        <f t="shared" si="11"/>
        <v>0</v>
      </c>
      <c r="E57" s="1014">
        <f t="shared" si="12"/>
        <v>0</v>
      </c>
      <c r="F57" s="573"/>
      <c r="G57" s="574">
        <v>200</v>
      </c>
      <c r="H57" s="575">
        <f t="shared" si="13"/>
        <v>0</v>
      </c>
      <c r="I57" s="572">
        <f t="shared" si="14"/>
        <v>0</v>
      </c>
      <c r="J57" s="576">
        <f t="shared" si="15"/>
        <v>0</v>
      </c>
      <c r="K57" s="163"/>
      <c r="L57" s="158"/>
      <c r="M57" s="158"/>
      <c r="N57" s="489" t="s">
        <v>419</v>
      </c>
      <c r="O57" s="476" t="s">
        <v>381</v>
      </c>
      <c r="P57" s="476" t="s">
        <v>397</v>
      </c>
      <c r="Q57" s="476">
        <v>1913613</v>
      </c>
      <c r="R57" s="476" t="s">
        <v>423</v>
      </c>
      <c r="S57" s="476" t="s">
        <v>424</v>
      </c>
      <c r="T57" s="508">
        <v>43806</v>
      </c>
      <c r="U57" s="484">
        <v>200</v>
      </c>
      <c r="V57" s="512">
        <v>0.3</v>
      </c>
      <c r="W57" s="512">
        <v>0.33</v>
      </c>
      <c r="X57" s="509">
        <v>7950</v>
      </c>
      <c r="Y57" s="476">
        <v>140</v>
      </c>
      <c r="Z57" s="510">
        <f t="shared" si="9"/>
        <v>0.89216172299489449</v>
      </c>
      <c r="AA57" s="511" t="s">
        <v>425</v>
      </c>
      <c r="AR57" s="158"/>
      <c r="AS57" s="158"/>
      <c r="AT57" s="158"/>
      <c r="AU57" s="158"/>
      <c r="AV57" s="158"/>
      <c r="AW57" s="158"/>
      <c r="AX57" s="158"/>
      <c r="AY57" s="158"/>
      <c r="AZ57" s="158"/>
    </row>
    <row r="58" spans="1:52" ht="30" customHeight="1" x14ac:dyDescent="0.25">
      <c r="A58" s="158"/>
      <c r="B58" s="535" t="s">
        <v>504</v>
      </c>
      <c r="C58" s="680">
        <f t="shared" si="10"/>
        <v>0</v>
      </c>
      <c r="D58" s="1013">
        <f t="shared" si="11"/>
        <v>0</v>
      </c>
      <c r="E58" s="1014">
        <f t="shared" si="12"/>
        <v>0</v>
      </c>
      <c r="F58" s="573"/>
      <c r="G58" s="574">
        <v>200</v>
      </c>
      <c r="H58" s="575">
        <f t="shared" si="13"/>
        <v>0</v>
      </c>
      <c r="I58" s="572">
        <f t="shared" si="14"/>
        <v>0</v>
      </c>
      <c r="J58" s="576">
        <f t="shared" si="15"/>
        <v>0</v>
      </c>
      <c r="K58" s="570"/>
      <c r="L58" s="158"/>
      <c r="M58" s="158"/>
      <c r="N58" s="489" t="s">
        <v>420</v>
      </c>
      <c r="O58" s="476" t="s">
        <v>381</v>
      </c>
      <c r="P58" s="476" t="s">
        <v>397</v>
      </c>
      <c r="Q58" s="476">
        <v>1913613</v>
      </c>
      <c r="R58" s="476">
        <v>500</v>
      </c>
      <c r="S58" s="476" t="s">
        <v>424</v>
      </c>
      <c r="T58" s="508">
        <v>43806</v>
      </c>
      <c r="U58" s="484">
        <v>500</v>
      </c>
      <c r="V58" s="476">
        <v>0.68</v>
      </c>
      <c r="W58" s="512">
        <v>0.83</v>
      </c>
      <c r="X58" s="509">
        <v>7950</v>
      </c>
      <c r="Y58" s="476">
        <v>140</v>
      </c>
      <c r="Z58" s="510">
        <f t="shared" si="9"/>
        <v>0.89216172299489449</v>
      </c>
      <c r="AA58" s="511" t="s">
        <v>425</v>
      </c>
      <c r="AR58" s="158"/>
      <c r="AS58" s="158"/>
      <c r="AT58" s="158"/>
      <c r="AU58" s="158"/>
      <c r="AV58" s="158"/>
      <c r="AW58" s="158"/>
      <c r="AX58" s="158"/>
      <c r="AY58" s="158"/>
      <c r="AZ58" s="158"/>
    </row>
    <row r="59" spans="1:52" ht="30" customHeight="1" x14ac:dyDescent="0.25">
      <c r="A59" s="158"/>
      <c r="B59" s="535" t="s">
        <v>495</v>
      </c>
      <c r="C59" s="680">
        <f t="shared" si="10"/>
        <v>0</v>
      </c>
      <c r="D59" s="1013">
        <f t="shared" si="11"/>
        <v>0</v>
      </c>
      <c r="E59" s="1014">
        <f t="shared" si="12"/>
        <v>0</v>
      </c>
      <c r="F59" s="573"/>
      <c r="G59" s="574">
        <v>500</v>
      </c>
      <c r="H59" s="575">
        <f t="shared" si="13"/>
        <v>0</v>
      </c>
      <c r="I59" s="572">
        <f t="shared" si="14"/>
        <v>0</v>
      </c>
      <c r="J59" s="576">
        <f t="shared" si="15"/>
        <v>0</v>
      </c>
      <c r="K59" s="163"/>
      <c r="L59" s="158"/>
      <c r="M59" s="158"/>
      <c r="N59" s="489" t="s">
        <v>437</v>
      </c>
      <c r="O59" s="476" t="s">
        <v>381</v>
      </c>
      <c r="P59" s="476" t="s">
        <v>397</v>
      </c>
      <c r="Q59" s="476">
        <v>1913613</v>
      </c>
      <c r="R59" s="476">
        <v>1</v>
      </c>
      <c r="S59" s="476" t="s">
        <v>424</v>
      </c>
      <c r="T59" s="508">
        <v>43806</v>
      </c>
      <c r="U59" s="513">
        <v>1000</v>
      </c>
      <c r="V59" s="476">
        <v>1.6</v>
      </c>
      <c r="W59" s="479">
        <v>1.7</v>
      </c>
      <c r="X59" s="509">
        <v>7950</v>
      </c>
      <c r="Y59" s="476">
        <v>140</v>
      </c>
      <c r="Z59" s="510">
        <f t="shared" si="9"/>
        <v>0.89216172299489449</v>
      </c>
      <c r="AA59" s="511" t="s">
        <v>425</v>
      </c>
      <c r="AR59" s="158"/>
      <c r="AS59" s="158"/>
      <c r="AT59" s="158"/>
      <c r="AU59" s="158"/>
      <c r="AV59" s="158"/>
      <c r="AW59" s="158"/>
      <c r="AX59" s="158"/>
      <c r="AY59" s="158"/>
      <c r="AZ59" s="158"/>
    </row>
    <row r="60" spans="1:52" ht="30" customHeight="1" x14ac:dyDescent="0.25">
      <c r="A60" s="982"/>
      <c r="B60" s="550" t="s">
        <v>168</v>
      </c>
      <c r="C60" s="680">
        <f t="shared" ref="C60:C79" si="16">$C$48</f>
        <v>0</v>
      </c>
      <c r="D60" s="571">
        <f t="shared" ref="D60:D79" si="17">$D$48</f>
        <v>0</v>
      </c>
      <c r="E60" s="572">
        <f t="shared" ref="E60:E79" si="18">$E$48</f>
        <v>0</v>
      </c>
      <c r="F60" s="573"/>
      <c r="G60" s="574">
        <v>1</v>
      </c>
      <c r="H60" s="575">
        <f t="shared" ref="H60:H79" si="19">$H$48</f>
        <v>0</v>
      </c>
      <c r="I60" s="572">
        <f t="shared" ref="I60:I79" si="20">$I$48</f>
        <v>0</v>
      </c>
      <c r="J60" s="576">
        <f t="shared" ref="J60:J79" si="21">$J$48</f>
        <v>0</v>
      </c>
      <c r="K60" s="158"/>
      <c r="L60" s="158"/>
      <c r="N60" s="489" t="s">
        <v>438</v>
      </c>
      <c r="O60" s="476" t="s">
        <v>381</v>
      </c>
      <c r="P60" s="476" t="s">
        <v>397</v>
      </c>
      <c r="Q60" s="476">
        <v>1913613</v>
      </c>
      <c r="R60" s="476">
        <v>2</v>
      </c>
      <c r="S60" s="476" t="s">
        <v>424</v>
      </c>
      <c r="T60" s="508">
        <v>43806</v>
      </c>
      <c r="U60" s="513">
        <v>2000</v>
      </c>
      <c r="V60" s="479">
        <v>4</v>
      </c>
      <c r="W60" s="479">
        <v>3.3</v>
      </c>
      <c r="X60" s="509">
        <v>7950</v>
      </c>
      <c r="Y60" s="476">
        <v>140</v>
      </c>
      <c r="Z60" s="510">
        <f t="shared" si="9"/>
        <v>0.89216172299489449</v>
      </c>
      <c r="AA60" s="511" t="s">
        <v>425</v>
      </c>
      <c r="AR60" s="158"/>
      <c r="AS60" s="158"/>
      <c r="AT60" s="158"/>
      <c r="AU60" s="158"/>
      <c r="AV60" s="158"/>
      <c r="AW60" s="158"/>
      <c r="AX60" s="158"/>
      <c r="AY60" s="158"/>
      <c r="AZ60" s="158"/>
    </row>
    <row r="61" spans="1:52" ht="30" customHeight="1" x14ac:dyDescent="0.25">
      <c r="A61" s="158"/>
      <c r="B61" s="704" t="s">
        <v>169</v>
      </c>
      <c r="C61" s="680">
        <f t="shared" si="16"/>
        <v>0</v>
      </c>
      <c r="D61" s="571">
        <f t="shared" si="17"/>
        <v>0</v>
      </c>
      <c r="E61" s="572">
        <f t="shared" si="18"/>
        <v>0</v>
      </c>
      <c r="F61" s="573"/>
      <c r="G61" s="574">
        <v>2</v>
      </c>
      <c r="H61" s="575">
        <f t="shared" si="19"/>
        <v>0</v>
      </c>
      <c r="I61" s="572">
        <f t="shared" si="20"/>
        <v>0</v>
      </c>
      <c r="J61" s="576">
        <f t="shared" si="21"/>
        <v>0</v>
      </c>
      <c r="K61" s="158"/>
      <c r="L61" s="158"/>
      <c r="N61" s="489" t="s">
        <v>435</v>
      </c>
      <c r="O61" s="476" t="s">
        <v>381</v>
      </c>
      <c r="P61" s="476" t="s">
        <v>397</v>
      </c>
      <c r="Q61" s="476">
        <v>1913613</v>
      </c>
      <c r="R61" s="476" t="s">
        <v>421</v>
      </c>
      <c r="S61" s="476" t="s">
        <v>424</v>
      </c>
      <c r="T61" s="508">
        <v>43806</v>
      </c>
      <c r="U61" s="513">
        <v>2000</v>
      </c>
      <c r="V61" s="476">
        <v>1.4</v>
      </c>
      <c r="W61" s="479">
        <v>3.3</v>
      </c>
      <c r="X61" s="509">
        <v>7950</v>
      </c>
      <c r="Y61" s="476">
        <v>140</v>
      </c>
      <c r="Z61" s="510">
        <f t="shared" si="9"/>
        <v>0.89216172299489449</v>
      </c>
      <c r="AA61" s="511" t="s">
        <v>425</v>
      </c>
      <c r="AP61" s="158"/>
      <c r="AQ61" s="160"/>
      <c r="AR61" s="158"/>
      <c r="AS61" s="158"/>
      <c r="AT61" s="158"/>
      <c r="AU61" s="158"/>
      <c r="AV61" s="158"/>
      <c r="AW61" s="158"/>
      <c r="AX61" s="158"/>
      <c r="AY61" s="158"/>
      <c r="AZ61" s="158"/>
    </row>
    <row r="62" spans="1:52" ht="30" customHeight="1" thickBot="1" x14ac:dyDescent="0.3">
      <c r="A62" s="158"/>
      <c r="B62" s="704" t="s">
        <v>170</v>
      </c>
      <c r="C62" s="680">
        <f t="shared" si="16"/>
        <v>0</v>
      </c>
      <c r="D62" s="571">
        <f t="shared" si="17"/>
        <v>0</v>
      </c>
      <c r="E62" s="572">
        <f t="shared" si="18"/>
        <v>0</v>
      </c>
      <c r="F62" s="573"/>
      <c r="G62" s="574">
        <v>2</v>
      </c>
      <c r="H62" s="575">
        <f t="shared" si="19"/>
        <v>0</v>
      </c>
      <c r="I62" s="572">
        <f t="shared" si="20"/>
        <v>0</v>
      </c>
      <c r="J62" s="576">
        <f t="shared" si="21"/>
        <v>0</v>
      </c>
      <c r="K62" s="158"/>
      <c r="L62" s="158"/>
      <c r="N62" s="496" t="s">
        <v>436</v>
      </c>
      <c r="O62" s="514" t="s">
        <v>381</v>
      </c>
      <c r="P62" s="514" t="s">
        <v>397</v>
      </c>
      <c r="Q62" s="514">
        <v>1913613</v>
      </c>
      <c r="R62" s="514">
        <v>5</v>
      </c>
      <c r="S62" s="514" t="s">
        <v>424</v>
      </c>
      <c r="T62" s="515">
        <v>43806</v>
      </c>
      <c r="U62" s="513">
        <v>5000</v>
      </c>
      <c r="V62" s="514">
        <v>-0.9</v>
      </c>
      <c r="W62" s="516">
        <v>8.3000000000000007</v>
      </c>
      <c r="X62" s="513">
        <v>7950</v>
      </c>
      <c r="Y62" s="514">
        <v>140</v>
      </c>
      <c r="Z62" s="517">
        <f t="shared" si="9"/>
        <v>0.89216172299489449</v>
      </c>
      <c r="AA62" s="518" t="s">
        <v>425</v>
      </c>
      <c r="AP62" s="158"/>
      <c r="AQ62" s="160"/>
      <c r="AR62" s="158"/>
      <c r="AS62" s="158"/>
      <c r="AT62" s="158"/>
      <c r="AU62" s="158"/>
      <c r="AV62" s="158"/>
      <c r="AW62" s="158"/>
      <c r="AX62" s="158"/>
      <c r="AY62" s="158"/>
      <c r="AZ62" s="158"/>
    </row>
    <row r="63" spans="1:52" ht="30" customHeight="1" x14ac:dyDescent="0.25">
      <c r="A63" s="158"/>
      <c r="B63" s="704" t="s">
        <v>171</v>
      </c>
      <c r="C63" s="680">
        <f t="shared" si="16"/>
        <v>0</v>
      </c>
      <c r="D63" s="571">
        <f t="shared" si="17"/>
        <v>0</v>
      </c>
      <c r="E63" s="572">
        <f t="shared" si="18"/>
        <v>0</v>
      </c>
      <c r="F63" s="573"/>
      <c r="G63" s="574">
        <v>5</v>
      </c>
      <c r="H63" s="575">
        <f t="shared" si="19"/>
        <v>0</v>
      </c>
      <c r="I63" s="572">
        <f t="shared" si="20"/>
        <v>0</v>
      </c>
      <c r="J63" s="576">
        <f t="shared" si="21"/>
        <v>0</v>
      </c>
      <c r="K63" s="158"/>
      <c r="L63" s="158"/>
      <c r="N63" s="723" t="s">
        <v>375</v>
      </c>
      <c r="O63" s="725" t="s">
        <v>376</v>
      </c>
      <c r="P63" s="725" t="s">
        <v>377</v>
      </c>
      <c r="Q63" s="725" t="s">
        <v>378</v>
      </c>
      <c r="R63" s="725" t="s">
        <v>103</v>
      </c>
      <c r="S63" s="725" t="s">
        <v>388</v>
      </c>
      <c r="T63" s="741">
        <v>43818</v>
      </c>
      <c r="U63" s="742">
        <v>20000</v>
      </c>
      <c r="V63" s="743">
        <v>9</v>
      </c>
      <c r="W63" s="744">
        <v>10</v>
      </c>
      <c r="X63" s="745">
        <v>8000</v>
      </c>
      <c r="Y63" s="725">
        <v>100</v>
      </c>
      <c r="Z63" s="746">
        <f>(0.34848*((951.3+951.4)/2)-0.009*((44.5+46.6)/2)*EXP(0.0612*((22.2+22.3)/2)))/(273.15+((22.2+22.3)/2))</f>
        <v>1.1168804533887862</v>
      </c>
      <c r="AA63" s="747" t="s">
        <v>379</v>
      </c>
      <c r="AP63" s="158"/>
      <c r="AQ63" s="160"/>
      <c r="AR63" s="158"/>
      <c r="AS63" s="158"/>
      <c r="AT63" s="158"/>
      <c r="AU63" s="158"/>
      <c r="AV63" s="158"/>
      <c r="AW63" s="158"/>
      <c r="AX63" s="158"/>
      <c r="AY63" s="158"/>
      <c r="AZ63" s="158"/>
    </row>
    <row r="64" spans="1:52" ht="30" customHeight="1" x14ac:dyDescent="0.25">
      <c r="A64" s="158"/>
      <c r="B64" s="704" t="s">
        <v>172</v>
      </c>
      <c r="C64" s="680">
        <f t="shared" si="16"/>
        <v>0</v>
      </c>
      <c r="D64" s="571">
        <f t="shared" si="17"/>
        <v>0</v>
      </c>
      <c r="E64" s="572">
        <f t="shared" si="18"/>
        <v>0</v>
      </c>
      <c r="F64" s="573"/>
      <c r="G64" s="574">
        <v>10</v>
      </c>
      <c r="H64" s="575">
        <f t="shared" si="19"/>
        <v>0</v>
      </c>
      <c r="I64" s="572">
        <f t="shared" si="20"/>
        <v>0</v>
      </c>
      <c r="J64" s="576">
        <f t="shared" si="21"/>
        <v>0</v>
      </c>
      <c r="K64" s="158"/>
      <c r="L64" s="158"/>
      <c r="N64" s="724" t="s">
        <v>380</v>
      </c>
      <c r="O64" s="722" t="s">
        <v>381</v>
      </c>
      <c r="P64" s="722" t="s">
        <v>377</v>
      </c>
      <c r="Q64" s="722" t="s">
        <v>385</v>
      </c>
      <c r="R64" s="722">
        <v>20</v>
      </c>
      <c r="S64" s="722" t="s">
        <v>389</v>
      </c>
      <c r="T64" s="748">
        <v>43755</v>
      </c>
      <c r="U64" s="749">
        <v>20000</v>
      </c>
      <c r="V64" s="722">
        <v>31</v>
      </c>
      <c r="W64" s="750">
        <v>30</v>
      </c>
      <c r="X64" s="751">
        <v>8000</v>
      </c>
      <c r="Y64" s="722">
        <v>100</v>
      </c>
      <c r="Z64" s="727">
        <f>(0.34848*((949+949.2)/2)-0.009*((46.5+46.7)/2)*EXP(0.0612*((22+22.2)/2)))/(273.15+((22+22.2)/2))</f>
        <v>1.1147179736646964</v>
      </c>
      <c r="AA64" s="752" t="s">
        <v>382</v>
      </c>
      <c r="AP64" s="158"/>
      <c r="AQ64" s="160"/>
      <c r="AR64" s="158"/>
      <c r="AS64" s="158"/>
      <c r="AT64" s="158"/>
      <c r="AU64" s="158"/>
      <c r="AV64" s="158"/>
      <c r="AW64" s="158"/>
      <c r="AX64" s="158"/>
      <c r="AY64" s="158"/>
      <c r="AZ64" s="158"/>
    </row>
    <row r="65" spans="1:52" ht="30" customHeight="1" x14ac:dyDescent="0.25">
      <c r="A65" s="158"/>
      <c r="B65" s="705" t="s">
        <v>173</v>
      </c>
      <c r="C65" s="680">
        <f t="shared" si="16"/>
        <v>0</v>
      </c>
      <c r="D65" s="571">
        <f t="shared" si="17"/>
        <v>0</v>
      </c>
      <c r="E65" s="572">
        <f t="shared" si="18"/>
        <v>0</v>
      </c>
      <c r="F65" s="573"/>
      <c r="G65" s="574">
        <v>20</v>
      </c>
      <c r="H65" s="575">
        <f t="shared" si="19"/>
        <v>0</v>
      </c>
      <c r="I65" s="572">
        <f t="shared" si="20"/>
        <v>0</v>
      </c>
      <c r="J65" s="576">
        <f t="shared" si="21"/>
        <v>0</v>
      </c>
      <c r="K65" s="158"/>
      <c r="L65" s="158"/>
      <c r="N65" s="724" t="s">
        <v>383</v>
      </c>
      <c r="O65" s="722" t="s">
        <v>381</v>
      </c>
      <c r="P65" s="722" t="s">
        <v>377</v>
      </c>
      <c r="Q65" s="722" t="s">
        <v>386</v>
      </c>
      <c r="R65" s="722" t="s">
        <v>384</v>
      </c>
      <c r="S65" s="722" t="s">
        <v>387</v>
      </c>
      <c r="T65" s="748">
        <v>43755</v>
      </c>
      <c r="U65" s="749">
        <v>20000</v>
      </c>
      <c r="V65" s="722">
        <v>3</v>
      </c>
      <c r="W65" s="750">
        <v>30</v>
      </c>
      <c r="X65" s="751">
        <v>8000</v>
      </c>
      <c r="Y65" s="722">
        <v>100</v>
      </c>
      <c r="Z65" s="727">
        <f>(0.34848*((949+949.1)/2)-0.009*((47+47.2)/2)*EXP(0.0612*((22.1+22.2)/2)))/(273.15+((22.1+22.2)/2))</f>
        <v>1.1143942824443431</v>
      </c>
      <c r="AA65" s="752" t="s">
        <v>390</v>
      </c>
      <c r="AP65" s="158"/>
      <c r="AQ65" s="160"/>
      <c r="AR65" s="158"/>
      <c r="AS65" s="158"/>
      <c r="AT65" s="158"/>
      <c r="AU65" s="158"/>
      <c r="AV65" s="158"/>
      <c r="AW65" s="158"/>
      <c r="AX65" s="158"/>
      <c r="AY65" s="158"/>
      <c r="AZ65" s="158"/>
    </row>
    <row r="66" spans="1:52" ht="30" customHeight="1" x14ac:dyDescent="0.25">
      <c r="A66" s="158"/>
      <c r="B66" s="706" t="s">
        <v>174</v>
      </c>
      <c r="C66" s="680">
        <f t="shared" si="16"/>
        <v>0</v>
      </c>
      <c r="D66" s="571">
        <f t="shared" si="17"/>
        <v>0</v>
      </c>
      <c r="E66" s="572">
        <f t="shared" si="18"/>
        <v>0</v>
      </c>
      <c r="F66" s="573"/>
      <c r="G66" s="574">
        <v>20</v>
      </c>
      <c r="H66" s="575">
        <f t="shared" si="19"/>
        <v>0</v>
      </c>
      <c r="I66" s="572">
        <f t="shared" si="20"/>
        <v>0</v>
      </c>
      <c r="J66" s="576">
        <f t="shared" si="21"/>
        <v>0</v>
      </c>
      <c r="K66" s="158"/>
      <c r="L66" s="158"/>
      <c r="N66" s="724" t="s">
        <v>391</v>
      </c>
      <c r="O66" s="722" t="s">
        <v>381</v>
      </c>
      <c r="P66" s="722" t="s">
        <v>377</v>
      </c>
      <c r="Q66" s="722" t="s">
        <v>392</v>
      </c>
      <c r="R66" s="722" t="s">
        <v>393</v>
      </c>
      <c r="S66" s="722" t="s">
        <v>394</v>
      </c>
      <c r="T66" s="748">
        <v>43755</v>
      </c>
      <c r="U66" s="749">
        <v>20000</v>
      </c>
      <c r="V66" s="722">
        <v>37</v>
      </c>
      <c r="W66" s="750">
        <v>30</v>
      </c>
      <c r="X66" s="751">
        <v>8000</v>
      </c>
      <c r="Y66" s="722">
        <v>100</v>
      </c>
      <c r="Z66" s="727">
        <f>(0.34848*((949.1+949.3)/2)-0.009*((46.5+46.7)/2)*EXP(0.0612*((22+22.2)/2)))/(273.15+((22+22.2)/2))</f>
        <v>1.1148360024538582</v>
      </c>
      <c r="AA66" s="752" t="s">
        <v>395</v>
      </c>
      <c r="AP66" s="158"/>
      <c r="AQ66" s="160"/>
      <c r="AR66" s="158"/>
      <c r="AS66" s="158"/>
      <c r="AT66" s="158"/>
      <c r="AU66" s="158"/>
      <c r="AV66" s="158"/>
      <c r="AW66" s="158"/>
      <c r="AX66" s="158"/>
      <c r="AY66" s="158"/>
      <c r="AZ66" s="158"/>
    </row>
    <row r="67" spans="1:52" ht="30" customHeight="1" x14ac:dyDescent="0.25">
      <c r="A67" s="158"/>
      <c r="B67" s="705" t="s">
        <v>175</v>
      </c>
      <c r="C67" s="680">
        <f t="shared" si="16"/>
        <v>0</v>
      </c>
      <c r="D67" s="571">
        <f t="shared" si="17"/>
        <v>0</v>
      </c>
      <c r="E67" s="572">
        <f t="shared" si="18"/>
        <v>0</v>
      </c>
      <c r="F67" s="573"/>
      <c r="G67" s="574">
        <v>50</v>
      </c>
      <c r="H67" s="575">
        <f t="shared" si="19"/>
        <v>0</v>
      </c>
      <c r="I67" s="572">
        <f t="shared" si="20"/>
        <v>0</v>
      </c>
      <c r="J67" s="576">
        <f t="shared" si="21"/>
        <v>0</v>
      </c>
      <c r="K67" s="158"/>
      <c r="L67" s="158"/>
      <c r="N67" s="724" t="s">
        <v>396</v>
      </c>
      <c r="O67" s="722" t="s">
        <v>381</v>
      </c>
      <c r="P67" s="722" t="s">
        <v>397</v>
      </c>
      <c r="Q67" s="722">
        <v>1913624</v>
      </c>
      <c r="R67" s="722" t="s">
        <v>398</v>
      </c>
      <c r="S67" s="722" t="s">
        <v>399</v>
      </c>
      <c r="T67" s="748">
        <v>43799</v>
      </c>
      <c r="U67" s="749">
        <v>10000</v>
      </c>
      <c r="V67" s="722">
        <v>13</v>
      </c>
      <c r="W67" s="750">
        <v>17</v>
      </c>
      <c r="X67" s="751">
        <v>7950</v>
      </c>
      <c r="Y67" s="722">
        <v>140</v>
      </c>
      <c r="Z67" s="727">
        <f>(0.34848*((754.8+754.9)/2)-0.009*((46.1+46.9)/2)*EXP(0.0612*((18.6+18.6)/2)))/(273.15+((18.6+18.6)/2))</f>
        <v>0.89715088932948095</v>
      </c>
      <c r="AA67" s="752" t="s">
        <v>400</v>
      </c>
      <c r="AP67" s="158"/>
      <c r="AQ67" s="160"/>
      <c r="AR67" s="158"/>
      <c r="AS67" s="158"/>
      <c r="AT67" s="158"/>
      <c r="AU67" s="158"/>
      <c r="AV67" s="158"/>
      <c r="AW67" s="158"/>
      <c r="AX67" s="158"/>
      <c r="AY67" s="158"/>
      <c r="AZ67" s="158"/>
    </row>
    <row r="68" spans="1:52" ht="30" customHeight="1" x14ac:dyDescent="0.25">
      <c r="A68" s="158"/>
      <c r="B68" s="705" t="s">
        <v>176</v>
      </c>
      <c r="C68" s="680">
        <f t="shared" si="16"/>
        <v>0</v>
      </c>
      <c r="D68" s="571">
        <f t="shared" si="17"/>
        <v>0</v>
      </c>
      <c r="E68" s="572">
        <f t="shared" si="18"/>
        <v>0</v>
      </c>
      <c r="F68" s="573"/>
      <c r="G68" s="574">
        <v>100</v>
      </c>
      <c r="H68" s="575">
        <f t="shared" si="19"/>
        <v>0</v>
      </c>
      <c r="I68" s="572">
        <f t="shared" si="20"/>
        <v>0</v>
      </c>
      <c r="J68" s="576">
        <f t="shared" si="21"/>
        <v>0</v>
      </c>
      <c r="K68" s="158"/>
      <c r="L68" s="158"/>
      <c r="N68" s="724" t="s">
        <v>401</v>
      </c>
      <c r="O68" s="722" t="s">
        <v>381</v>
      </c>
      <c r="P68" s="722" t="s">
        <v>397</v>
      </c>
      <c r="Q68" s="722">
        <v>1913626</v>
      </c>
      <c r="R68" s="722" t="s">
        <v>402</v>
      </c>
      <c r="S68" s="722" t="s">
        <v>407</v>
      </c>
      <c r="T68" s="748">
        <v>43799</v>
      </c>
      <c r="U68" s="749">
        <v>10000</v>
      </c>
      <c r="V68" s="722">
        <v>8.1</v>
      </c>
      <c r="W68" s="750">
        <v>17</v>
      </c>
      <c r="X68" s="751">
        <v>7950</v>
      </c>
      <c r="Y68" s="722">
        <v>140</v>
      </c>
      <c r="Z68" s="727">
        <f>(0.34848*((754.8+754.9)/2)-0.009*((43.9+46.6)/2)*EXP(0.0612*((18.5+18.6)/2)))/(273.15+((18.5+18.6)/2))</f>
        <v>0.89743837197535847</v>
      </c>
      <c r="AA68" s="752" t="s">
        <v>403</v>
      </c>
      <c r="AP68" s="158"/>
      <c r="AQ68" s="160"/>
      <c r="AR68" s="158"/>
      <c r="AS68" s="158"/>
      <c r="AT68" s="158"/>
      <c r="AU68" s="158"/>
      <c r="AV68" s="158"/>
      <c r="AW68" s="158"/>
      <c r="AX68" s="158"/>
      <c r="AY68" s="158"/>
      <c r="AZ68" s="158"/>
    </row>
    <row r="69" spans="1:52" ht="30" customHeight="1" thickBot="1" x14ac:dyDescent="0.3">
      <c r="A69" s="158"/>
      <c r="B69" s="705" t="s">
        <v>177</v>
      </c>
      <c r="C69" s="680">
        <f t="shared" si="16"/>
        <v>0</v>
      </c>
      <c r="D69" s="571">
        <f t="shared" si="17"/>
        <v>0</v>
      </c>
      <c r="E69" s="572">
        <f t="shared" si="18"/>
        <v>0</v>
      </c>
      <c r="F69" s="573"/>
      <c r="G69" s="574">
        <v>200</v>
      </c>
      <c r="H69" s="575">
        <f t="shared" si="19"/>
        <v>0</v>
      </c>
      <c r="I69" s="572">
        <f t="shared" si="20"/>
        <v>0</v>
      </c>
      <c r="J69" s="576">
        <f t="shared" si="21"/>
        <v>0</v>
      </c>
      <c r="K69" s="158"/>
      <c r="L69" s="158"/>
      <c r="N69" s="734" t="s">
        <v>404</v>
      </c>
      <c r="O69" s="735" t="s">
        <v>381</v>
      </c>
      <c r="P69" s="735" t="s">
        <v>397</v>
      </c>
      <c r="Q69" s="735">
        <v>1913622</v>
      </c>
      <c r="R69" s="735" t="s">
        <v>405</v>
      </c>
      <c r="S69" s="735" t="s">
        <v>406</v>
      </c>
      <c r="T69" s="736">
        <v>43799</v>
      </c>
      <c r="U69" s="738">
        <v>5000</v>
      </c>
      <c r="V69" s="735">
        <v>6.6</v>
      </c>
      <c r="W69" s="755">
        <v>8.3000000000000007</v>
      </c>
      <c r="X69" s="738">
        <v>7950</v>
      </c>
      <c r="Y69" s="735">
        <v>140</v>
      </c>
      <c r="Z69" s="739">
        <f>(0.34848*((754.8+754.9)/2)-0.009*((42.9+43.9)/2)*EXP(0.0612*((18.6+18.6)/2)))/(273.15+((18.6+18.6)/2))</f>
        <v>0.89744939970665871</v>
      </c>
      <c r="AA69" s="740" t="s">
        <v>408</v>
      </c>
      <c r="AP69" s="158"/>
      <c r="AQ69" s="160"/>
      <c r="AR69" s="158"/>
      <c r="AS69" s="158"/>
      <c r="AT69" s="158"/>
      <c r="AU69" s="158"/>
      <c r="AV69" s="158"/>
      <c r="AW69" s="158"/>
      <c r="AX69" s="158"/>
      <c r="AY69" s="158"/>
      <c r="AZ69" s="158"/>
    </row>
    <row r="70" spans="1:52" ht="30" customHeight="1" x14ac:dyDescent="0.25">
      <c r="A70" s="158"/>
      <c r="B70" s="706" t="s">
        <v>178</v>
      </c>
      <c r="C70" s="680">
        <f t="shared" si="16"/>
        <v>0</v>
      </c>
      <c r="D70" s="571">
        <f t="shared" si="17"/>
        <v>0</v>
      </c>
      <c r="E70" s="572">
        <f t="shared" si="18"/>
        <v>0</v>
      </c>
      <c r="F70" s="573"/>
      <c r="G70" s="574">
        <v>200</v>
      </c>
      <c r="H70" s="575">
        <f t="shared" si="19"/>
        <v>0</v>
      </c>
      <c r="I70" s="572">
        <f t="shared" si="20"/>
        <v>0</v>
      </c>
      <c r="J70" s="576">
        <f t="shared" si="21"/>
        <v>0</v>
      </c>
      <c r="K70" s="158"/>
      <c r="L70" s="158"/>
      <c r="N70" s="520" t="s">
        <v>464</v>
      </c>
      <c r="O70" s="520" t="s">
        <v>105</v>
      </c>
      <c r="P70" s="520" t="s">
        <v>465</v>
      </c>
      <c r="Q70" s="520" t="s">
        <v>466</v>
      </c>
      <c r="R70" s="520" t="s">
        <v>103</v>
      </c>
      <c r="S70" s="520">
        <v>1392</v>
      </c>
      <c r="T70" s="521">
        <v>43228</v>
      </c>
      <c r="U70" s="520">
        <v>1</v>
      </c>
      <c r="V70" s="520">
        <v>0.04</v>
      </c>
      <c r="W70" s="522">
        <v>3.3000000000000002E-2</v>
      </c>
      <c r="X70" s="753">
        <v>7950</v>
      </c>
      <c r="Y70" s="520">
        <v>140</v>
      </c>
      <c r="Z70" s="754">
        <f>(0.34848*((751.2+755.7)/2)-0.009*((48.4+57.9)/2)*EXP(0.0612*((19.5+20.7)/2)))/(273.15+((19.5+20.7)/2))</f>
        <v>0.88977157529109774</v>
      </c>
      <c r="AA70" s="520" t="s">
        <v>483</v>
      </c>
      <c r="AP70" s="158"/>
      <c r="AQ70" s="160"/>
      <c r="AR70" s="158"/>
      <c r="AS70" s="158"/>
      <c r="AT70" s="158"/>
      <c r="AU70" s="158"/>
      <c r="AV70" s="158"/>
      <c r="AW70" s="158"/>
      <c r="AX70" s="158"/>
      <c r="AY70" s="158"/>
      <c r="AZ70" s="158"/>
    </row>
    <row r="71" spans="1:52" ht="30" customHeight="1" x14ac:dyDescent="0.25">
      <c r="A71" s="158"/>
      <c r="B71" s="705" t="s">
        <v>179</v>
      </c>
      <c r="C71" s="680">
        <f t="shared" si="16"/>
        <v>0</v>
      </c>
      <c r="D71" s="571">
        <f t="shared" si="17"/>
        <v>0</v>
      </c>
      <c r="E71" s="572">
        <f t="shared" si="18"/>
        <v>0</v>
      </c>
      <c r="F71" s="573"/>
      <c r="G71" s="574">
        <v>500</v>
      </c>
      <c r="H71" s="575">
        <f t="shared" si="19"/>
        <v>0</v>
      </c>
      <c r="I71" s="572">
        <f t="shared" si="20"/>
        <v>0</v>
      </c>
      <c r="J71" s="576">
        <f t="shared" si="21"/>
        <v>0</v>
      </c>
      <c r="K71" s="158"/>
      <c r="L71" s="158"/>
      <c r="N71" s="476" t="s">
        <v>467</v>
      </c>
      <c r="O71" s="476" t="s">
        <v>105</v>
      </c>
      <c r="P71" s="476" t="s">
        <v>465</v>
      </c>
      <c r="Q71" s="476" t="s">
        <v>466</v>
      </c>
      <c r="R71" s="476" t="s">
        <v>103</v>
      </c>
      <c r="S71" s="476">
        <v>1392</v>
      </c>
      <c r="T71" s="508">
        <v>43228</v>
      </c>
      <c r="U71" s="476">
        <v>2</v>
      </c>
      <c r="V71" s="476">
        <v>0.04</v>
      </c>
      <c r="W71" s="476">
        <v>0.04</v>
      </c>
      <c r="X71" s="509">
        <v>7950</v>
      </c>
      <c r="Y71" s="476">
        <v>140</v>
      </c>
      <c r="Z71" s="510">
        <f>(0.34848*((751.2+755.7)/2)-0.009*((48.4+57.9)/2)*EXP(0.0612*((19.5+20.7)/2)))/(273.15+((19.5+20.7)/2))</f>
        <v>0.88977157529109774</v>
      </c>
      <c r="AA71" s="476" t="s">
        <v>483</v>
      </c>
      <c r="AP71" s="158"/>
      <c r="AQ71" s="160"/>
      <c r="AR71" s="158"/>
      <c r="AS71" s="158"/>
      <c r="AT71" s="158"/>
      <c r="AU71" s="158"/>
      <c r="AV71" s="158"/>
      <c r="AW71" s="158"/>
      <c r="AX71" s="158"/>
      <c r="AY71" s="158"/>
      <c r="AZ71" s="158"/>
    </row>
    <row r="72" spans="1:52" ht="30" customHeight="1" x14ac:dyDescent="0.25">
      <c r="A72" s="158"/>
      <c r="B72" s="707" t="s">
        <v>140</v>
      </c>
      <c r="C72" s="680">
        <f t="shared" si="16"/>
        <v>0</v>
      </c>
      <c r="D72" s="571">
        <f t="shared" si="17"/>
        <v>0</v>
      </c>
      <c r="E72" s="572">
        <f t="shared" si="18"/>
        <v>0</v>
      </c>
      <c r="F72" s="573"/>
      <c r="G72" s="574" t="s">
        <v>533</v>
      </c>
      <c r="H72" s="575">
        <f t="shared" si="19"/>
        <v>0</v>
      </c>
      <c r="I72" s="572">
        <f t="shared" si="20"/>
        <v>0</v>
      </c>
      <c r="J72" s="576">
        <f t="shared" si="21"/>
        <v>0</v>
      </c>
      <c r="K72" s="158"/>
      <c r="L72" s="158"/>
      <c r="N72" s="476" t="s">
        <v>468</v>
      </c>
      <c r="O72" s="476" t="s">
        <v>105</v>
      </c>
      <c r="P72" s="476" t="s">
        <v>465</v>
      </c>
      <c r="Q72" s="476" t="s">
        <v>466</v>
      </c>
      <c r="R72" s="476" t="s">
        <v>469</v>
      </c>
      <c r="S72" s="476">
        <v>1392</v>
      </c>
      <c r="T72" s="508">
        <v>43228</v>
      </c>
      <c r="U72" s="476">
        <v>2</v>
      </c>
      <c r="V72" s="476">
        <v>0.05</v>
      </c>
      <c r="W72" s="476">
        <v>0.04</v>
      </c>
      <c r="X72" s="509">
        <v>7950</v>
      </c>
      <c r="Y72" s="476">
        <v>140</v>
      </c>
      <c r="Z72" s="510">
        <f t="shared" ref="Z72:Z85" si="22">(0.34848*((751.2+755.7)/2)-0.009*((48.4+57.9)/2)*EXP(0.0612*((19.5+20.7)/2)))/(273.15+((19.5+20.7)/2))</f>
        <v>0.88977157529109774</v>
      </c>
      <c r="AA72" s="476" t="s">
        <v>483</v>
      </c>
      <c r="AP72" s="158"/>
      <c r="AQ72" s="160"/>
      <c r="AR72" s="158"/>
      <c r="AS72" s="158"/>
      <c r="AT72" s="158"/>
      <c r="AU72" s="158"/>
      <c r="AV72" s="158"/>
      <c r="AW72" s="158"/>
      <c r="AX72" s="158"/>
      <c r="AY72" s="158"/>
      <c r="AZ72" s="158"/>
    </row>
    <row r="73" spans="1:52" ht="30" customHeight="1" x14ac:dyDescent="0.25">
      <c r="A73" s="158"/>
      <c r="B73" s="708" t="s">
        <v>141</v>
      </c>
      <c r="C73" s="680">
        <f t="shared" si="16"/>
        <v>0</v>
      </c>
      <c r="D73" s="571">
        <f t="shared" si="17"/>
        <v>0</v>
      </c>
      <c r="E73" s="572">
        <f t="shared" si="18"/>
        <v>0</v>
      </c>
      <c r="F73" s="573"/>
      <c r="G73" s="574" t="s">
        <v>534</v>
      </c>
      <c r="H73" s="575">
        <f t="shared" si="19"/>
        <v>0</v>
      </c>
      <c r="I73" s="572">
        <f t="shared" si="20"/>
        <v>0</v>
      </c>
      <c r="J73" s="576">
        <f t="shared" si="21"/>
        <v>0</v>
      </c>
      <c r="K73" s="158"/>
      <c r="L73" s="158"/>
      <c r="N73" s="476" t="s">
        <v>470</v>
      </c>
      <c r="O73" s="476" t="s">
        <v>105</v>
      </c>
      <c r="P73" s="476" t="s">
        <v>465</v>
      </c>
      <c r="Q73" s="476" t="s">
        <v>466</v>
      </c>
      <c r="R73" s="476" t="s">
        <v>103</v>
      </c>
      <c r="S73" s="476">
        <v>1392</v>
      </c>
      <c r="T73" s="508">
        <v>43228</v>
      </c>
      <c r="U73" s="476">
        <v>5</v>
      </c>
      <c r="V73" s="476">
        <v>7.0000000000000007E-2</v>
      </c>
      <c r="W73" s="512">
        <v>5.2999999999999999E-2</v>
      </c>
      <c r="X73" s="509">
        <v>7840</v>
      </c>
      <c r="Y73" s="476">
        <v>140</v>
      </c>
      <c r="Z73" s="510">
        <f t="shared" si="22"/>
        <v>0.88977157529109774</v>
      </c>
      <c r="AA73" s="476" t="s">
        <v>483</v>
      </c>
      <c r="AP73" s="158"/>
      <c r="AQ73" s="160"/>
      <c r="AR73" s="158"/>
      <c r="AS73" s="158"/>
      <c r="AT73" s="158"/>
      <c r="AU73" s="158"/>
      <c r="AV73" s="158"/>
      <c r="AW73" s="158"/>
      <c r="AX73" s="158"/>
      <c r="AY73" s="158"/>
      <c r="AZ73" s="158"/>
    </row>
    <row r="74" spans="1:52" ht="30" customHeight="1" x14ac:dyDescent="0.25">
      <c r="A74" s="158"/>
      <c r="B74" s="709" t="s">
        <v>180</v>
      </c>
      <c r="C74" s="680">
        <f t="shared" si="16"/>
        <v>0</v>
      </c>
      <c r="D74" s="571">
        <f t="shared" si="17"/>
        <v>0</v>
      </c>
      <c r="E74" s="572">
        <f t="shared" si="18"/>
        <v>0</v>
      </c>
      <c r="F74" s="573"/>
      <c r="G74" s="574" t="s">
        <v>534</v>
      </c>
      <c r="H74" s="575">
        <f t="shared" si="19"/>
        <v>0</v>
      </c>
      <c r="I74" s="572">
        <f t="shared" si="20"/>
        <v>0</v>
      </c>
      <c r="J74" s="576">
        <f t="shared" si="21"/>
        <v>0</v>
      </c>
      <c r="K74" s="158"/>
      <c r="L74" s="158"/>
      <c r="N74" s="476" t="s">
        <v>471</v>
      </c>
      <c r="O74" s="476" t="s">
        <v>105</v>
      </c>
      <c r="P74" s="476" t="s">
        <v>465</v>
      </c>
      <c r="Q74" s="476" t="s">
        <v>466</v>
      </c>
      <c r="R74" s="476" t="s">
        <v>103</v>
      </c>
      <c r="S74" s="476">
        <v>1392</v>
      </c>
      <c r="T74" s="508">
        <v>43228</v>
      </c>
      <c r="U74" s="476">
        <v>10</v>
      </c>
      <c r="V74" s="476">
        <v>0.09</v>
      </c>
      <c r="W74" s="476">
        <v>0.06</v>
      </c>
      <c r="X74" s="509">
        <v>7840</v>
      </c>
      <c r="Y74" s="476">
        <v>140</v>
      </c>
      <c r="Z74" s="510">
        <f t="shared" si="22"/>
        <v>0.88977157529109774</v>
      </c>
      <c r="AA74" s="476" t="s">
        <v>483</v>
      </c>
      <c r="AP74" s="158"/>
      <c r="AQ74" s="160"/>
      <c r="AR74" s="158"/>
      <c r="AS74" s="158"/>
      <c r="AT74" s="158"/>
      <c r="AU74" s="158"/>
      <c r="AV74" s="158"/>
      <c r="AW74" s="158"/>
      <c r="AX74" s="158"/>
      <c r="AY74" s="158"/>
      <c r="AZ74" s="158"/>
    </row>
    <row r="75" spans="1:52" ht="30" customHeight="1" x14ac:dyDescent="0.25">
      <c r="A75" s="158"/>
      <c r="B75" s="710" t="s">
        <v>142</v>
      </c>
      <c r="C75" s="680">
        <f t="shared" si="16"/>
        <v>0</v>
      </c>
      <c r="D75" s="571">
        <f t="shared" si="17"/>
        <v>0</v>
      </c>
      <c r="E75" s="572">
        <f t="shared" si="18"/>
        <v>0</v>
      </c>
      <c r="F75" s="573"/>
      <c r="G75" s="574" t="s">
        <v>535</v>
      </c>
      <c r="H75" s="575">
        <f t="shared" si="19"/>
        <v>0</v>
      </c>
      <c r="I75" s="572">
        <f t="shared" si="20"/>
        <v>0</v>
      </c>
      <c r="J75" s="576">
        <f t="shared" si="21"/>
        <v>0</v>
      </c>
      <c r="K75" s="158"/>
      <c r="L75" s="158"/>
      <c r="N75" s="476" t="s">
        <v>472</v>
      </c>
      <c r="O75" s="476" t="s">
        <v>105</v>
      </c>
      <c r="P75" s="476" t="s">
        <v>465</v>
      </c>
      <c r="Q75" s="476" t="s">
        <v>466</v>
      </c>
      <c r="R75" s="476" t="s">
        <v>103</v>
      </c>
      <c r="S75" s="476">
        <v>1392</v>
      </c>
      <c r="T75" s="508">
        <v>43228</v>
      </c>
      <c r="U75" s="476">
        <v>20</v>
      </c>
      <c r="V75" s="476">
        <v>0.11</v>
      </c>
      <c r="W75" s="512">
        <v>8.3000000000000004E-2</v>
      </c>
      <c r="X75" s="509">
        <v>7840</v>
      </c>
      <c r="Y75" s="476">
        <v>140</v>
      </c>
      <c r="Z75" s="510">
        <f t="shared" si="22"/>
        <v>0.88977157529109774</v>
      </c>
      <c r="AA75" s="476" t="s">
        <v>483</v>
      </c>
      <c r="AP75" s="158"/>
      <c r="AQ75" s="160"/>
      <c r="AR75" s="158"/>
      <c r="AS75" s="158"/>
      <c r="AT75" s="158"/>
      <c r="AU75" s="158"/>
      <c r="AV75" s="158"/>
      <c r="AW75" s="158"/>
      <c r="AX75" s="158"/>
      <c r="AY75" s="158"/>
      <c r="AZ75" s="158"/>
    </row>
    <row r="76" spans="1:52" ht="30" customHeight="1" x14ac:dyDescent="0.25">
      <c r="A76" s="158"/>
      <c r="B76" s="711" t="s">
        <v>143</v>
      </c>
      <c r="C76" s="680">
        <f t="shared" si="16"/>
        <v>0</v>
      </c>
      <c r="D76" s="571">
        <f t="shared" si="17"/>
        <v>0</v>
      </c>
      <c r="E76" s="572">
        <f t="shared" si="18"/>
        <v>0</v>
      </c>
      <c r="F76" s="573"/>
      <c r="G76" s="574" t="s">
        <v>536</v>
      </c>
      <c r="H76" s="575">
        <f t="shared" si="19"/>
        <v>0</v>
      </c>
      <c r="I76" s="572">
        <f t="shared" si="20"/>
        <v>0</v>
      </c>
      <c r="J76" s="576">
        <f t="shared" si="21"/>
        <v>0</v>
      </c>
      <c r="K76" s="158"/>
      <c r="L76" s="158"/>
      <c r="N76" s="476" t="s">
        <v>473</v>
      </c>
      <c r="O76" s="476" t="s">
        <v>105</v>
      </c>
      <c r="P76" s="476" t="s">
        <v>465</v>
      </c>
      <c r="Q76" s="476" t="s">
        <v>466</v>
      </c>
      <c r="R76" s="476" t="s">
        <v>469</v>
      </c>
      <c r="S76" s="476">
        <v>1392</v>
      </c>
      <c r="T76" s="508">
        <v>43228</v>
      </c>
      <c r="U76" s="476">
        <v>20</v>
      </c>
      <c r="V76" s="476">
        <v>0.1</v>
      </c>
      <c r="W76" s="512">
        <v>8.3000000000000004E-2</v>
      </c>
      <c r="X76" s="509">
        <v>7840</v>
      </c>
      <c r="Y76" s="476">
        <v>140</v>
      </c>
      <c r="Z76" s="510">
        <f t="shared" si="22"/>
        <v>0.88977157529109774</v>
      </c>
      <c r="AA76" s="476" t="s">
        <v>483</v>
      </c>
      <c r="AP76" s="158"/>
      <c r="AQ76" s="160"/>
      <c r="AR76" s="158"/>
      <c r="AS76" s="158"/>
      <c r="AT76" s="158"/>
      <c r="AU76" s="158"/>
      <c r="AV76" s="158"/>
      <c r="AW76" s="158"/>
      <c r="AX76" s="158"/>
      <c r="AY76" s="158"/>
      <c r="AZ76" s="158"/>
    </row>
    <row r="77" spans="1:52" ht="30" customHeight="1" x14ac:dyDescent="0.25">
      <c r="A77" s="158"/>
      <c r="B77" s="712" t="s">
        <v>181</v>
      </c>
      <c r="C77" s="680">
        <f t="shared" si="16"/>
        <v>0</v>
      </c>
      <c r="D77" s="571">
        <f t="shared" si="17"/>
        <v>0</v>
      </c>
      <c r="E77" s="572">
        <f t="shared" si="18"/>
        <v>0</v>
      </c>
      <c r="F77" s="573"/>
      <c r="G77" s="574" t="s">
        <v>535</v>
      </c>
      <c r="H77" s="575">
        <f t="shared" si="19"/>
        <v>0</v>
      </c>
      <c r="I77" s="572">
        <f t="shared" si="20"/>
        <v>0</v>
      </c>
      <c r="J77" s="576">
        <f t="shared" si="21"/>
        <v>0</v>
      </c>
      <c r="K77" s="158"/>
      <c r="L77" s="158"/>
      <c r="N77" s="476" t="s">
        <v>474</v>
      </c>
      <c r="O77" s="476" t="s">
        <v>105</v>
      </c>
      <c r="P77" s="476" t="s">
        <v>465</v>
      </c>
      <c r="Q77" s="476" t="s">
        <v>466</v>
      </c>
      <c r="R77" s="476" t="s">
        <v>103</v>
      </c>
      <c r="S77" s="476">
        <v>1392</v>
      </c>
      <c r="T77" s="508">
        <v>43228</v>
      </c>
      <c r="U77" s="476">
        <v>50</v>
      </c>
      <c r="V77" s="476">
        <v>0.1</v>
      </c>
      <c r="W77" s="512">
        <v>0.1</v>
      </c>
      <c r="X77" s="509">
        <v>7840</v>
      </c>
      <c r="Y77" s="476">
        <v>140</v>
      </c>
      <c r="Z77" s="510">
        <f t="shared" si="22"/>
        <v>0.88977157529109774</v>
      </c>
      <c r="AA77" s="476" t="s">
        <v>483</v>
      </c>
      <c r="AP77" s="158"/>
      <c r="AQ77" s="160"/>
      <c r="AR77" s="158"/>
      <c r="AS77" s="158"/>
      <c r="AT77" s="158"/>
      <c r="AU77" s="158"/>
      <c r="AV77" s="158"/>
      <c r="AW77" s="158"/>
      <c r="AX77" s="158"/>
      <c r="AY77" s="158"/>
      <c r="AZ77" s="158"/>
    </row>
    <row r="78" spans="1:52" ht="30" customHeight="1" x14ac:dyDescent="0.25">
      <c r="A78" s="158"/>
      <c r="B78" s="713" t="s">
        <v>182</v>
      </c>
      <c r="C78" s="680">
        <f t="shared" si="16"/>
        <v>0</v>
      </c>
      <c r="D78" s="571">
        <f t="shared" si="17"/>
        <v>0</v>
      </c>
      <c r="E78" s="572">
        <f t="shared" si="18"/>
        <v>0</v>
      </c>
      <c r="F78" s="573"/>
      <c r="G78" s="574" t="s">
        <v>536</v>
      </c>
      <c r="H78" s="575">
        <f t="shared" si="19"/>
        <v>0</v>
      </c>
      <c r="I78" s="572">
        <f t="shared" si="20"/>
        <v>0</v>
      </c>
      <c r="J78" s="576">
        <f t="shared" si="21"/>
        <v>0</v>
      </c>
      <c r="K78" s="158"/>
      <c r="L78" s="158"/>
      <c r="N78" s="476" t="s">
        <v>475</v>
      </c>
      <c r="O78" s="476" t="s">
        <v>105</v>
      </c>
      <c r="P78" s="476" t="s">
        <v>465</v>
      </c>
      <c r="Q78" s="476" t="s">
        <v>466</v>
      </c>
      <c r="R78" s="476" t="s">
        <v>103</v>
      </c>
      <c r="S78" s="476">
        <v>1392</v>
      </c>
      <c r="T78" s="508">
        <v>43228</v>
      </c>
      <c r="U78" s="476">
        <v>100</v>
      </c>
      <c r="V78" s="476">
        <v>0.12</v>
      </c>
      <c r="W78" s="476">
        <v>0.16</v>
      </c>
      <c r="X78" s="509">
        <v>7840</v>
      </c>
      <c r="Y78" s="476">
        <v>140</v>
      </c>
      <c r="Z78" s="510">
        <f t="shared" si="22"/>
        <v>0.88977157529109774</v>
      </c>
      <c r="AA78" s="476" t="s">
        <v>483</v>
      </c>
      <c r="AP78" s="158"/>
      <c r="AQ78" s="160"/>
      <c r="AR78" s="158"/>
      <c r="AS78" s="158"/>
      <c r="AT78" s="158"/>
      <c r="AU78" s="158"/>
      <c r="AV78" s="158"/>
      <c r="AW78" s="158"/>
      <c r="AX78" s="158"/>
      <c r="AY78" s="158"/>
      <c r="AZ78" s="158"/>
    </row>
    <row r="79" spans="1:52" ht="30" customHeight="1" thickBot="1" x14ac:dyDescent="0.3">
      <c r="A79" s="158"/>
      <c r="B79" s="714" t="s">
        <v>183</v>
      </c>
      <c r="C79" s="715">
        <f t="shared" si="16"/>
        <v>0</v>
      </c>
      <c r="D79" s="716">
        <f t="shared" si="17"/>
        <v>0</v>
      </c>
      <c r="E79" s="717">
        <f t="shared" si="18"/>
        <v>0</v>
      </c>
      <c r="F79" s="577"/>
      <c r="G79" s="718" t="s">
        <v>537</v>
      </c>
      <c r="H79" s="719">
        <f t="shared" si="19"/>
        <v>0</v>
      </c>
      <c r="I79" s="717">
        <f t="shared" si="20"/>
        <v>0</v>
      </c>
      <c r="J79" s="720">
        <f t="shared" si="21"/>
        <v>0</v>
      </c>
      <c r="K79" s="158"/>
      <c r="L79" s="158"/>
      <c r="N79" s="476" t="s">
        <v>476</v>
      </c>
      <c r="O79" s="476" t="s">
        <v>105</v>
      </c>
      <c r="P79" s="476" t="s">
        <v>465</v>
      </c>
      <c r="Q79" s="476" t="s">
        <v>466</v>
      </c>
      <c r="R79" s="476" t="s">
        <v>103</v>
      </c>
      <c r="S79" s="476">
        <v>1392</v>
      </c>
      <c r="T79" s="508">
        <v>43228</v>
      </c>
      <c r="U79" s="476">
        <v>200</v>
      </c>
      <c r="V79" s="476">
        <v>0.3</v>
      </c>
      <c r="W79" s="476">
        <v>0.33</v>
      </c>
      <c r="X79" s="509">
        <v>7840</v>
      </c>
      <c r="Y79" s="476">
        <v>140</v>
      </c>
      <c r="Z79" s="510">
        <f t="shared" si="22"/>
        <v>0.88977157529109774</v>
      </c>
      <c r="AA79" s="476" t="s">
        <v>483</v>
      </c>
      <c r="AP79" s="158"/>
      <c r="AQ79" s="160"/>
      <c r="AR79" s="158"/>
      <c r="AS79" s="158"/>
      <c r="AT79" s="158"/>
      <c r="AU79" s="158"/>
      <c r="AV79" s="158"/>
      <c r="AW79" s="158"/>
      <c r="AX79" s="158"/>
      <c r="AY79" s="158"/>
      <c r="AZ79" s="158"/>
    </row>
    <row r="80" spans="1:52" ht="69" customHeight="1" thickBot="1" x14ac:dyDescent="0.3">
      <c r="A80" s="158"/>
      <c r="B80" s="679" t="s">
        <v>12</v>
      </c>
      <c r="C80" s="578">
        <f>COUNTA(F48:F79)</f>
        <v>0</v>
      </c>
      <c r="K80" s="158"/>
      <c r="L80" s="158"/>
      <c r="N80" s="478" t="s">
        <v>477</v>
      </c>
      <c r="O80" s="476" t="s">
        <v>105</v>
      </c>
      <c r="P80" s="476" t="s">
        <v>465</v>
      </c>
      <c r="Q80" s="476" t="s">
        <v>466</v>
      </c>
      <c r="R80" s="476" t="s">
        <v>469</v>
      </c>
      <c r="S80" s="476">
        <v>1392</v>
      </c>
      <c r="T80" s="508">
        <v>43228</v>
      </c>
      <c r="U80" s="476">
        <v>200</v>
      </c>
      <c r="V80" s="476">
        <v>0.4</v>
      </c>
      <c r="W80" s="476">
        <v>0.33</v>
      </c>
      <c r="X80" s="509">
        <v>7840</v>
      </c>
      <c r="Y80" s="476">
        <v>140</v>
      </c>
      <c r="Z80" s="510">
        <f t="shared" si="22"/>
        <v>0.88977157529109774</v>
      </c>
      <c r="AA80" s="476" t="s">
        <v>483</v>
      </c>
      <c r="AP80" s="158"/>
      <c r="AQ80" s="160"/>
      <c r="AR80" s="158"/>
      <c r="AS80" s="158"/>
      <c r="AT80" s="158"/>
      <c r="AU80" s="158"/>
      <c r="AV80" s="158"/>
      <c r="AW80" s="158"/>
      <c r="AX80" s="158"/>
      <c r="AY80" s="158"/>
      <c r="AZ80" s="158"/>
    </row>
    <row r="81" spans="1:52" ht="30" customHeight="1" x14ac:dyDescent="0.25">
      <c r="A81" s="158"/>
      <c r="K81" s="158"/>
      <c r="L81" s="158"/>
      <c r="N81" s="476" t="s">
        <v>478</v>
      </c>
      <c r="O81" s="476" t="s">
        <v>105</v>
      </c>
      <c r="P81" s="476" t="s">
        <v>465</v>
      </c>
      <c r="Q81" s="476" t="s">
        <v>466</v>
      </c>
      <c r="R81" s="476" t="s">
        <v>103</v>
      </c>
      <c r="S81" s="476">
        <v>1392</v>
      </c>
      <c r="T81" s="508">
        <v>43228</v>
      </c>
      <c r="U81" s="476">
        <v>500</v>
      </c>
      <c r="V81" s="476">
        <v>0.9</v>
      </c>
      <c r="W81" s="476">
        <v>0.83</v>
      </c>
      <c r="X81" s="509">
        <v>7840</v>
      </c>
      <c r="Y81" s="476">
        <v>140</v>
      </c>
      <c r="Z81" s="510">
        <f t="shared" si="22"/>
        <v>0.88977157529109774</v>
      </c>
      <c r="AA81" s="476" t="s">
        <v>483</v>
      </c>
      <c r="AP81" s="158"/>
      <c r="AQ81" s="160"/>
      <c r="AR81" s="158"/>
      <c r="AS81" s="158"/>
      <c r="AT81" s="158"/>
      <c r="AU81" s="158"/>
      <c r="AV81" s="158"/>
      <c r="AW81" s="158"/>
      <c r="AX81" s="158"/>
      <c r="AY81" s="158"/>
      <c r="AZ81" s="158"/>
    </row>
    <row r="82" spans="1:52" ht="30" customHeight="1" x14ac:dyDescent="0.25">
      <c r="A82" s="158"/>
      <c r="K82" s="158"/>
      <c r="L82" s="158"/>
      <c r="N82" s="476" t="s">
        <v>479</v>
      </c>
      <c r="O82" s="476" t="s">
        <v>105</v>
      </c>
      <c r="P82" s="476" t="s">
        <v>465</v>
      </c>
      <c r="Q82" s="476" t="s">
        <v>466</v>
      </c>
      <c r="R82" s="476" t="s">
        <v>103</v>
      </c>
      <c r="S82" s="476">
        <v>1392</v>
      </c>
      <c r="T82" s="508">
        <v>43228</v>
      </c>
      <c r="U82" s="476">
        <v>1000</v>
      </c>
      <c r="V82" s="476">
        <v>-0.5</v>
      </c>
      <c r="W82" s="476">
        <v>1.6</v>
      </c>
      <c r="X82" s="509">
        <v>7840</v>
      </c>
      <c r="Y82" s="476">
        <v>140</v>
      </c>
      <c r="Z82" s="510">
        <f t="shared" si="22"/>
        <v>0.88977157529109774</v>
      </c>
      <c r="AA82" s="476" t="s">
        <v>483</v>
      </c>
      <c r="AP82" s="158"/>
      <c r="AQ82" s="160"/>
      <c r="AR82" s="158"/>
      <c r="AS82" s="158"/>
      <c r="AT82" s="158"/>
      <c r="AU82" s="158"/>
      <c r="AV82" s="158"/>
      <c r="AW82" s="158"/>
      <c r="AX82" s="158"/>
      <c r="AY82" s="158"/>
      <c r="AZ82" s="158"/>
    </row>
    <row r="83" spans="1:52" ht="30" customHeight="1" x14ac:dyDescent="0.25">
      <c r="A83" s="158"/>
      <c r="K83" s="158"/>
      <c r="L83" s="158"/>
      <c r="N83" s="476" t="s">
        <v>480</v>
      </c>
      <c r="O83" s="476" t="s">
        <v>105</v>
      </c>
      <c r="P83" s="476" t="s">
        <v>465</v>
      </c>
      <c r="Q83" s="476" t="s">
        <v>466</v>
      </c>
      <c r="R83" s="476" t="s">
        <v>103</v>
      </c>
      <c r="S83" s="476">
        <v>1392</v>
      </c>
      <c r="T83" s="508">
        <v>43228</v>
      </c>
      <c r="U83" s="476">
        <v>2000</v>
      </c>
      <c r="V83" s="476">
        <v>3.1</v>
      </c>
      <c r="W83" s="479">
        <v>3</v>
      </c>
      <c r="X83" s="509">
        <v>7840</v>
      </c>
      <c r="Y83" s="476">
        <v>140</v>
      </c>
      <c r="Z83" s="510">
        <f t="shared" si="22"/>
        <v>0.88977157529109774</v>
      </c>
      <c r="AA83" s="476" t="s">
        <v>483</v>
      </c>
      <c r="AP83" s="158"/>
      <c r="AQ83" s="160"/>
      <c r="AR83" s="158"/>
      <c r="AS83" s="158"/>
      <c r="AT83" s="158"/>
      <c r="AU83" s="158"/>
      <c r="AV83" s="158"/>
      <c r="AW83" s="158"/>
      <c r="AX83" s="158"/>
      <c r="AY83" s="158"/>
      <c r="AZ83" s="158"/>
    </row>
    <row r="84" spans="1:52" ht="30" customHeight="1" x14ac:dyDescent="0.25">
      <c r="A84" s="158"/>
      <c r="K84" s="158"/>
      <c r="L84" s="158"/>
      <c r="N84" s="478" t="s">
        <v>481</v>
      </c>
      <c r="O84" s="476" t="s">
        <v>105</v>
      </c>
      <c r="P84" s="476" t="s">
        <v>465</v>
      </c>
      <c r="Q84" s="476" t="s">
        <v>466</v>
      </c>
      <c r="R84" s="476" t="s">
        <v>469</v>
      </c>
      <c r="S84" s="476">
        <v>1392</v>
      </c>
      <c r="T84" s="508">
        <v>43228</v>
      </c>
      <c r="U84" s="476">
        <v>2000</v>
      </c>
      <c r="V84" s="476">
        <v>3.2</v>
      </c>
      <c r="W84" s="479">
        <v>3</v>
      </c>
      <c r="X84" s="509">
        <v>7840</v>
      </c>
      <c r="Y84" s="476">
        <v>140</v>
      </c>
      <c r="Z84" s="510">
        <f t="shared" si="22"/>
        <v>0.88977157529109774</v>
      </c>
      <c r="AA84" s="476" t="s">
        <v>483</v>
      </c>
      <c r="AP84" s="158"/>
      <c r="AQ84" s="160"/>
      <c r="AR84" s="158"/>
      <c r="AS84" s="158"/>
      <c r="AT84" s="158"/>
      <c r="AU84" s="158"/>
      <c r="AV84" s="158"/>
      <c r="AW84" s="158"/>
      <c r="AX84" s="158"/>
      <c r="AY84" s="158"/>
      <c r="AZ84" s="158"/>
    </row>
    <row r="85" spans="1:52" ht="30" customHeight="1" thickBot="1" x14ac:dyDescent="0.3">
      <c r="A85" s="158"/>
      <c r="K85" s="158"/>
      <c r="L85" s="158"/>
      <c r="N85" s="514" t="s">
        <v>482</v>
      </c>
      <c r="O85" s="514" t="s">
        <v>105</v>
      </c>
      <c r="P85" s="514" t="s">
        <v>465</v>
      </c>
      <c r="Q85" s="514" t="s">
        <v>466</v>
      </c>
      <c r="R85" s="514" t="s">
        <v>103</v>
      </c>
      <c r="S85" s="514">
        <v>1392</v>
      </c>
      <c r="T85" s="515">
        <v>43228</v>
      </c>
      <c r="U85" s="514">
        <v>5000</v>
      </c>
      <c r="V85" s="514">
        <v>7.9</v>
      </c>
      <c r="W85" s="516">
        <v>8</v>
      </c>
      <c r="X85" s="514">
        <v>7840</v>
      </c>
      <c r="Y85" s="514">
        <v>140</v>
      </c>
      <c r="Z85" s="517">
        <f t="shared" si="22"/>
        <v>0.88977157529109774</v>
      </c>
      <c r="AA85" s="514" t="s">
        <v>483</v>
      </c>
      <c r="AP85" s="158"/>
      <c r="AQ85" s="160"/>
      <c r="AR85" s="158"/>
      <c r="AS85" s="158"/>
      <c r="AT85" s="158"/>
      <c r="AU85" s="158"/>
      <c r="AV85" s="158"/>
      <c r="AW85" s="158"/>
      <c r="AX85" s="158"/>
      <c r="AY85" s="158"/>
      <c r="AZ85" s="158"/>
    </row>
    <row r="86" spans="1:52" ht="30" customHeight="1" x14ac:dyDescent="0.25">
      <c r="A86" s="158"/>
      <c r="K86" s="158"/>
      <c r="L86" s="158"/>
      <c r="N86" s="723" t="s">
        <v>505</v>
      </c>
      <c r="O86" s="725" t="s">
        <v>381</v>
      </c>
      <c r="P86" s="759" t="s">
        <v>99</v>
      </c>
      <c r="Q86" s="759">
        <v>11119515</v>
      </c>
      <c r="R86" s="759" t="s">
        <v>103</v>
      </c>
      <c r="S86" s="759" t="s">
        <v>204</v>
      </c>
      <c r="T86" s="760">
        <v>43252</v>
      </c>
      <c r="U86" s="725">
        <v>1</v>
      </c>
      <c r="V86" s="759">
        <v>5.0000000000000001E-3</v>
      </c>
      <c r="W86" s="761">
        <v>6.0000000000000001E-3</v>
      </c>
      <c r="X86" s="925">
        <v>7950</v>
      </c>
      <c r="Y86" s="759">
        <v>140</v>
      </c>
      <c r="Z86" s="746">
        <f t="shared" ref="Z86:Z97" si="23">(0.34848*((750.7+754.5)/2)-0.009*((52.2+58.7)/2)*EXP(0.0612*((20+20.6)/2)))/(273.15+((20+20.6)/2))</f>
        <v>0.88784273101984279</v>
      </c>
      <c r="AA86" s="762" t="s">
        <v>137</v>
      </c>
      <c r="AP86" s="158"/>
      <c r="AQ86" s="160"/>
      <c r="AR86" s="158"/>
      <c r="AS86" s="158"/>
      <c r="AT86" s="158"/>
      <c r="AU86" s="158"/>
      <c r="AV86" s="158"/>
      <c r="AW86" s="158"/>
      <c r="AX86" s="158"/>
      <c r="AY86" s="158"/>
      <c r="AZ86" s="158"/>
    </row>
    <row r="87" spans="1:52" ht="30" customHeight="1" x14ac:dyDescent="0.25">
      <c r="A87" s="158"/>
      <c r="K87" s="158"/>
      <c r="L87" s="158"/>
      <c r="N87" s="724" t="s">
        <v>506</v>
      </c>
      <c r="O87" s="688" t="s">
        <v>381</v>
      </c>
      <c r="P87" s="688" t="s">
        <v>99</v>
      </c>
      <c r="Q87" s="688">
        <v>11119515</v>
      </c>
      <c r="R87" s="688" t="s">
        <v>103</v>
      </c>
      <c r="S87" s="688" t="s">
        <v>204</v>
      </c>
      <c r="T87" s="689">
        <v>43252</v>
      </c>
      <c r="U87" s="722">
        <v>2</v>
      </c>
      <c r="V87" s="688">
        <v>7.0000000000000001E-3</v>
      </c>
      <c r="W87" s="726">
        <v>6.0000000000000001E-3</v>
      </c>
      <c r="X87" s="945">
        <v>7950</v>
      </c>
      <c r="Y87" s="688">
        <v>140</v>
      </c>
      <c r="Z87" s="727">
        <f t="shared" si="23"/>
        <v>0.88784273101984279</v>
      </c>
      <c r="AA87" s="693" t="s">
        <v>137</v>
      </c>
      <c r="AP87" s="158"/>
      <c r="AQ87" s="160"/>
      <c r="AR87" s="158"/>
      <c r="AS87" s="158"/>
      <c r="AT87" s="158"/>
      <c r="AU87" s="158"/>
      <c r="AV87" s="158"/>
      <c r="AW87" s="158"/>
      <c r="AX87" s="158"/>
      <c r="AY87" s="158"/>
      <c r="AZ87" s="158"/>
    </row>
    <row r="88" spans="1:52" ht="30" customHeight="1" x14ac:dyDescent="0.25">
      <c r="A88" s="158"/>
      <c r="K88" s="158"/>
      <c r="L88" s="158"/>
      <c r="N88" s="724" t="s">
        <v>507</v>
      </c>
      <c r="O88" s="688" t="s">
        <v>381</v>
      </c>
      <c r="P88" s="688" t="s">
        <v>99</v>
      </c>
      <c r="Q88" s="688">
        <v>11119515</v>
      </c>
      <c r="R88" s="688" t="s">
        <v>517</v>
      </c>
      <c r="S88" s="688" t="s">
        <v>204</v>
      </c>
      <c r="T88" s="689">
        <v>43252</v>
      </c>
      <c r="U88" s="722">
        <v>2</v>
      </c>
      <c r="V88" s="688">
        <v>6.0000000000000001E-3</v>
      </c>
      <c r="W88" s="726">
        <v>6.0000000000000001E-3</v>
      </c>
      <c r="X88" s="945">
        <v>7950</v>
      </c>
      <c r="Y88" s="688">
        <v>140</v>
      </c>
      <c r="Z88" s="727">
        <f t="shared" si="23"/>
        <v>0.88784273101984279</v>
      </c>
      <c r="AA88" s="693" t="s">
        <v>137</v>
      </c>
      <c r="AP88" s="158"/>
      <c r="AQ88" s="160"/>
      <c r="AR88" s="158"/>
      <c r="AS88" s="158"/>
      <c r="AT88" s="158"/>
      <c r="AU88" s="158"/>
      <c r="AV88" s="158"/>
      <c r="AW88" s="158"/>
      <c r="AX88" s="158"/>
      <c r="AY88" s="158"/>
      <c r="AZ88" s="158"/>
    </row>
    <row r="89" spans="1:52" ht="30" customHeight="1" x14ac:dyDescent="0.25">
      <c r="A89" s="158"/>
      <c r="K89" s="158"/>
      <c r="L89" s="158"/>
      <c r="N89" s="724" t="s">
        <v>508</v>
      </c>
      <c r="O89" s="688" t="s">
        <v>381</v>
      </c>
      <c r="P89" s="688" t="s">
        <v>99</v>
      </c>
      <c r="Q89" s="688">
        <v>11119515</v>
      </c>
      <c r="R89" s="688" t="s">
        <v>103</v>
      </c>
      <c r="S89" s="688" t="s">
        <v>204</v>
      </c>
      <c r="T89" s="689">
        <v>43252</v>
      </c>
      <c r="U89" s="722">
        <v>5</v>
      </c>
      <c r="V89" s="688">
        <v>3.0000000000000001E-3</v>
      </c>
      <c r="W89" s="726">
        <v>6.0000000000000001E-3</v>
      </c>
      <c r="X89" s="945">
        <v>7950</v>
      </c>
      <c r="Y89" s="688">
        <v>140</v>
      </c>
      <c r="Z89" s="727">
        <f t="shared" si="23"/>
        <v>0.88784273101984279</v>
      </c>
      <c r="AA89" s="693" t="s">
        <v>137</v>
      </c>
      <c r="AP89" s="158"/>
      <c r="AQ89" s="160"/>
      <c r="AR89" s="158"/>
      <c r="AS89" s="158"/>
      <c r="AT89" s="158"/>
      <c r="AU89" s="158"/>
      <c r="AV89" s="158"/>
      <c r="AW89" s="158"/>
      <c r="AX89" s="158"/>
      <c r="AY89" s="158"/>
      <c r="AZ89" s="158"/>
    </row>
    <row r="90" spans="1:52" ht="30" customHeight="1" x14ac:dyDescent="0.25">
      <c r="A90" s="158"/>
      <c r="K90" s="158"/>
      <c r="L90" s="158"/>
      <c r="N90" s="724" t="s">
        <v>509</v>
      </c>
      <c r="O90" s="688" t="s">
        <v>381</v>
      </c>
      <c r="P90" s="688" t="s">
        <v>99</v>
      </c>
      <c r="Q90" s="688">
        <v>11119515</v>
      </c>
      <c r="R90" s="688" t="s">
        <v>103</v>
      </c>
      <c r="S90" s="688" t="s">
        <v>204</v>
      </c>
      <c r="T90" s="689">
        <v>43252</v>
      </c>
      <c r="U90" s="722">
        <v>10</v>
      </c>
      <c r="V90" s="688">
        <v>4.0000000000000001E-3</v>
      </c>
      <c r="W90" s="726">
        <v>8.0000000000000002E-3</v>
      </c>
      <c r="X90" s="945">
        <v>7950</v>
      </c>
      <c r="Y90" s="688">
        <v>140</v>
      </c>
      <c r="Z90" s="727">
        <f t="shared" si="23"/>
        <v>0.88784273101984279</v>
      </c>
      <c r="AA90" s="693" t="s">
        <v>137</v>
      </c>
      <c r="AP90" s="158"/>
      <c r="AQ90" s="160"/>
      <c r="AR90" s="158"/>
      <c r="AS90" s="158"/>
      <c r="AT90" s="158"/>
      <c r="AU90" s="158"/>
      <c r="AV90" s="158"/>
      <c r="AW90" s="158"/>
      <c r="AX90" s="158"/>
      <c r="AY90" s="158"/>
      <c r="AZ90" s="158"/>
    </row>
    <row r="91" spans="1:52" ht="30" customHeight="1" x14ac:dyDescent="0.25">
      <c r="A91" s="158"/>
      <c r="K91" s="158"/>
      <c r="L91" s="158"/>
      <c r="N91" s="724" t="s">
        <v>510</v>
      </c>
      <c r="O91" s="688" t="s">
        <v>381</v>
      </c>
      <c r="P91" s="688" t="s">
        <v>99</v>
      </c>
      <c r="Q91" s="688">
        <v>11119515</v>
      </c>
      <c r="R91" s="688" t="s">
        <v>103</v>
      </c>
      <c r="S91" s="688" t="s">
        <v>204</v>
      </c>
      <c r="T91" s="689">
        <v>43252</v>
      </c>
      <c r="U91" s="722">
        <v>20</v>
      </c>
      <c r="V91" s="688">
        <v>8.9999999999999993E-3</v>
      </c>
      <c r="W91" s="726">
        <v>0.01</v>
      </c>
      <c r="X91" s="945">
        <v>7950</v>
      </c>
      <c r="Y91" s="688">
        <v>140</v>
      </c>
      <c r="Z91" s="727">
        <f t="shared" si="23"/>
        <v>0.88784273101984279</v>
      </c>
      <c r="AA91" s="693" t="s">
        <v>137</v>
      </c>
      <c r="AP91" s="158"/>
      <c r="AQ91" s="160"/>
      <c r="AR91" s="158"/>
      <c r="AS91" s="158"/>
      <c r="AT91" s="158"/>
      <c r="AU91" s="158"/>
      <c r="AV91" s="158"/>
      <c r="AW91" s="158"/>
      <c r="AX91" s="158"/>
      <c r="AY91" s="158"/>
      <c r="AZ91" s="158"/>
    </row>
    <row r="92" spans="1:52" ht="30" customHeight="1" x14ac:dyDescent="0.25">
      <c r="A92" s="158"/>
      <c r="K92" s="158"/>
      <c r="L92" s="158"/>
      <c r="N92" s="724" t="s">
        <v>511</v>
      </c>
      <c r="O92" s="688" t="s">
        <v>381</v>
      </c>
      <c r="P92" s="688" t="s">
        <v>99</v>
      </c>
      <c r="Q92" s="688">
        <v>11119515</v>
      </c>
      <c r="R92" s="688" t="s">
        <v>517</v>
      </c>
      <c r="S92" s="688" t="s">
        <v>204</v>
      </c>
      <c r="T92" s="689">
        <v>43252</v>
      </c>
      <c r="U92" s="722">
        <v>20</v>
      </c>
      <c r="V92" s="688">
        <v>8.9999999999999993E-3</v>
      </c>
      <c r="W92" s="726">
        <v>0.01</v>
      </c>
      <c r="X92" s="945">
        <v>7950</v>
      </c>
      <c r="Y92" s="688">
        <v>140</v>
      </c>
      <c r="Z92" s="727">
        <f t="shared" si="23"/>
        <v>0.88784273101984279</v>
      </c>
      <c r="AA92" s="693" t="s">
        <v>137</v>
      </c>
      <c r="AP92" s="158"/>
      <c r="AQ92" s="160"/>
      <c r="AR92" s="158"/>
      <c r="AS92" s="158"/>
      <c r="AT92" s="158"/>
      <c r="AU92" s="158"/>
      <c r="AV92" s="158"/>
      <c r="AW92" s="158"/>
      <c r="AX92" s="158"/>
      <c r="AY92" s="158"/>
      <c r="AZ92" s="158"/>
    </row>
    <row r="93" spans="1:52" ht="30" customHeight="1" x14ac:dyDescent="0.25">
      <c r="A93" s="158"/>
      <c r="B93" s="158"/>
      <c r="C93" s="158"/>
      <c r="D93" s="158"/>
      <c r="E93" s="158"/>
      <c r="F93" s="158"/>
      <c r="G93" s="158"/>
      <c r="H93" s="158"/>
      <c r="I93" s="158"/>
      <c r="J93" s="158"/>
      <c r="K93" s="158"/>
      <c r="L93" s="158"/>
      <c r="N93" s="724" t="s">
        <v>512</v>
      </c>
      <c r="O93" s="688" t="s">
        <v>381</v>
      </c>
      <c r="P93" s="688" t="s">
        <v>99</v>
      </c>
      <c r="Q93" s="688">
        <v>11119515</v>
      </c>
      <c r="R93" s="688" t="s">
        <v>103</v>
      </c>
      <c r="S93" s="688" t="s">
        <v>204</v>
      </c>
      <c r="T93" s="689">
        <v>43252</v>
      </c>
      <c r="U93" s="722">
        <v>50</v>
      </c>
      <c r="V93" s="688">
        <v>1.2999999999999999E-2</v>
      </c>
      <c r="W93" s="726">
        <v>1.2E-2</v>
      </c>
      <c r="X93" s="945">
        <v>7950</v>
      </c>
      <c r="Y93" s="688">
        <v>140</v>
      </c>
      <c r="Z93" s="727">
        <f t="shared" si="23"/>
        <v>0.88784273101984279</v>
      </c>
      <c r="AA93" s="693" t="s">
        <v>137</v>
      </c>
      <c r="AP93" s="158"/>
      <c r="AQ93" s="160"/>
      <c r="AR93" s="158"/>
      <c r="AS93" s="158"/>
      <c r="AT93" s="158"/>
      <c r="AU93" s="158"/>
      <c r="AV93" s="158"/>
      <c r="AW93" s="158"/>
      <c r="AX93" s="158"/>
      <c r="AY93" s="158"/>
      <c r="AZ93" s="158"/>
    </row>
    <row r="94" spans="1:52" ht="30" customHeight="1" x14ac:dyDescent="0.25">
      <c r="A94" s="158"/>
      <c r="B94" s="158"/>
      <c r="C94" s="158"/>
      <c r="D94" s="158"/>
      <c r="E94" s="158"/>
      <c r="F94" s="158"/>
      <c r="G94" s="158"/>
      <c r="H94" s="158"/>
      <c r="I94" s="158"/>
      <c r="J94" s="158"/>
      <c r="K94" s="158"/>
      <c r="L94" s="158"/>
      <c r="N94" s="724" t="s">
        <v>513</v>
      </c>
      <c r="O94" s="688" t="s">
        <v>381</v>
      </c>
      <c r="P94" s="688" t="s">
        <v>99</v>
      </c>
      <c r="Q94" s="688">
        <v>11119515</v>
      </c>
      <c r="R94" s="688" t="s">
        <v>103</v>
      </c>
      <c r="S94" s="688" t="s">
        <v>204</v>
      </c>
      <c r="T94" s="689">
        <v>43252</v>
      </c>
      <c r="U94" s="722">
        <v>100</v>
      </c>
      <c r="V94" s="688">
        <v>-1E-3</v>
      </c>
      <c r="W94" s="726">
        <v>1.6E-2</v>
      </c>
      <c r="X94" s="945">
        <v>7950</v>
      </c>
      <c r="Y94" s="688">
        <v>140</v>
      </c>
      <c r="Z94" s="727">
        <f t="shared" si="23"/>
        <v>0.88784273101984279</v>
      </c>
      <c r="AA94" s="693" t="s">
        <v>137</v>
      </c>
      <c r="AP94" s="158"/>
      <c r="AQ94" s="160"/>
      <c r="AR94" s="158"/>
      <c r="AS94" s="158"/>
      <c r="AT94" s="158"/>
      <c r="AU94" s="158"/>
      <c r="AV94" s="158"/>
      <c r="AW94" s="158"/>
      <c r="AX94" s="158"/>
      <c r="AY94" s="158"/>
      <c r="AZ94" s="158"/>
    </row>
    <row r="95" spans="1:52" ht="30" customHeight="1" x14ac:dyDescent="0.25">
      <c r="A95" s="158"/>
      <c r="B95" s="158"/>
      <c r="C95" s="158"/>
      <c r="D95" s="158"/>
      <c r="E95" s="158"/>
      <c r="F95" s="158"/>
      <c r="G95" s="158"/>
      <c r="H95" s="158"/>
      <c r="I95" s="158"/>
      <c r="J95" s="158"/>
      <c r="K95" s="158"/>
      <c r="L95" s="158"/>
      <c r="N95" s="724" t="s">
        <v>514</v>
      </c>
      <c r="O95" s="688" t="s">
        <v>381</v>
      </c>
      <c r="P95" s="688" t="s">
        <v>99</v>
      </c>
      <c r="Q95" s="688">
        <v>11119515</v>
      </c>
      <c r="R95" s="688" t="s">
        <v>103</v>
      </c>
      <c r="S95" s="688" t="s">
        <v>204</v>
      </c>
      <c r="T95" s="689">
        <v>43252</v>
      </c>
      <c r="U95" s="722">
        <v>200</v>
      </c>
      <c r="V95" s="688">
        <v>-6.0000000000000001E-3</v>
      </c>
      <c r="W95" s="726">
        <v>0.02</v>
      </c>
      <c r="X95" s="945">
        <v>7950</v>
      </c>
      <c r="Y95" s="688">
        <v>140</v>
      </c>
      <c r="Z95" s="727">
        <f t="shared" si="23"/>
        <v>0.88784273101984279</v>
      </c>
      <c r="AA95" s="693" t="s">
        <v>137</v>
      </c>
      <c r="AP95" s="158"/>
      <c r="AQ95" s="160"/>
      <c r="AR95" s="158"/>
      <c r="AS95" s="158"/>
      <c r="AT95" s="158"/>
      <c r="AU95" s="158"/>
      <c r="AV95" s="158"/>
      <c r="AW95" s="158"/>
      <c r="AX95" s="158"/>
      <c r="AY95" s="158"/>
      <c r="AZ95" s="158"/>
    </row>
    <row r="96" spans="1:52" ht="30" customHeight="1" x14ac:dyDescent="0.25">
      <c r="A96" s="158"/>
      <c r="B96" s="158"/>
      <c r="C96" s="158"/>
      <c r="D96" s="158"/>
      <c r="E96" s="158"/>
      <c r="F96" s="158"/>
      <c r="G96" s="158"/>
      <c r="H96" s="158"/>
      <c r="I96" s="158"/>
      <c r="J96" s="158"/>
      <c r="K96" s="158"/>
      <c r="L96" s="158"/>
      <c r="N96" s="724" t="s">
        <v>515</v>
      </c>
      <c r="O96" s="688" t="s">
        <v>381</v>
      </c>
      <c r="P96" s="688" t="s">
        <v>99</v>
      </c>
      <c r="Q96" s="688">
        <v>11119515</v>
      </c>
      <c r="R96" s="688" t="s">
        <v>517</v>
      </c>
      <c r="S96" s="688" t="s">
        <v>204</v>
      </c>
      <c r="T96" s="689">
        <v>43252</v>
      </c>
      <c r="U96" s="722">
        <v>200</v>
      </c>
      <c r="V96" s="688">
        <v>1.2999999999999999E-2</v>
      </c>
      <c r="W96" s="726">
        <v>0.02</v>
      </c>
      <c r="X96" s="945">
        <v>7950</v>
      </c>
      <c r="Y96" s="688">
        <v>140</v>
      </c>
      <c r="Z96" s="727">
        <f t="shared" si="23"/>
        <v>0.88784273101984279</v>
      </c>
      <c r="AA96" s="693" t="s">
        <v>137</v>
      </c>
      <c r="AP96" s="158"/>
      <c r="AQ96" s="160"/>
      <c r="AR96" s="158"/>
      <c r="AS96" s="158"/>
      <c r="AT96" s="158"/>
      <c r="AU96" s="158"/>
      <c r="AV96" s="158"/>
      <c r="AW96" s="158"/>
      <c r="AX96" s="158"/>
      <c r="AY96" s="158"/>
      <c r="AZ96" s="158"/>
    </row>
    <row r="97" spans="1:52" ht="30" customHeight="1" thickBot="1" x14ac:dyDescent="0.3">
      <c r="A97" s="158"/>
      <c r="B97" s="158"/>
      <c r="C97" s="158"/>
      <c r="D97" s="158"/>
      <c r="E97" s="158"/>
      <c r="F97" s="158"/>
      <c r="G97" s="158"/>
      <c r="H97" s="158"/>
      <c r="I97" s="158"/>
      <c r="J97" s="158"/>
      <c r="K97" s="158"/>
      <c r="L97" s="158"/>
      <c r="N97" s="734" t="s">
        <v>516</v>
      </c>
      <c r="O97" s="695" t="s">
        <v>381</v>
      </c>
      <c r="P97" s="695" t="s">
        <v>99</v>
      </c>
      <c r="Q97" s="695">
        <v>11119515</v>
      </c>
      <c r="R97" s="695" t="s">
        <v>103</v>
      </c>
      <c r="S97" s="695" t="s">
        <v>204</v>
      </c>
      <c r="T97" s="696">
        <v>43252</v>
      </c>
      <c r="U97" s="735">
        <v>500</v>
      </c>
      <c r="V97" s="695">
        <v>1.7999999999999999E-2</v>
      </c>
      <c r="W97" s="763">
        <v>2.5000000000000001E-2</v>
      </c>
      <c r="X97" s="946">
        <v>7950</v>
      </c>
      <c r="Y97" s="695">
        <v>140</v>
      </c>
      <c r="Z97" s="739">
        <f t="shared" si="23"/>
        <v>0.88784273101984279</v>
      </c>
      <c r="AA97" s="698" t="s">
        <v>137</v>
      </c>
      <c r="AP97" s="158"/>
      <c r="AQ97" s="160"/>
      <c r="AR97" s="158"/>
      <c r="AS97" s="158"/>
      <c r="AT97" s="158"/>
      <c r="AU97" s="158"/>
      <c r="AV97" s="158"/>
      <c r="AW97" s="158"/>
      <c r="AX97" s="158"/>
      <c r="AY97" s="158"/>
      <c r="AZ97" s="158"/>
    </row>
    <row r="98" spans="1:52" ht="30" customHeight="1" x14ac:dyDescent="0.25">
      <c r="A98" s="158"/>
      <c r="B98" s="158"/>
      <c r="C98" s="158"/>
      <c r="D98" s="158"/>
      <c r="E98" s="158"/>
      <c r="F98" s="158"/>
      <c r="G98" s="158"/>
      <c r="H98" s="158"/>
      <c r="I98" s="158"/>
      <c r="J98" s="158"/>
      <c r="K98" s="158"/>
      <c r="L98" s="158"/>
      <c r="N98" s="723" t="s">
        <v>518</v>
      </c>
      <c r="O98" s="759" t="s">
        <v>381</v>
      </c>
      <c r="P98" s="759" t="s">
        <v>397</v>
      </c>
      <c r="Q98" s="759">
        <v>1913610</v>
      </c>
      <c r="R98" s="759" t="s">
        <v>103</v>
      </c>
      <c r="S98" s="759" t="s">
        <v>530</v>
      </c>
      <c r="T98" s="760">
        <v>43799</v>
      </c>
      <c r="U98" s="725">
        <v>1</v>
      </c>
      <c r="V98" s="759">
        <v>4.8999999999999998E-3</v>
      </c>
      <c r="W98" s="766">
        <v>6.7000000000000002E-3</v>
      </c>
      <c r="X98" s="925">
        <v>7950</v>
      </c>
      <c r="Y98" s="759">
        <v>140</v>
      </c>
      <c r="Z98" s="746">
        <f>(0.34848*((750.8+751.1)/2)-0.009*((43.9+48.6)/2)*EXP(0.0612*((18.5+18.6)/2)))/(273.15+(18.5+18.6)/2)</f>
        <v>0.89268321310330279</v>
      </c>
      <c r="AA98" s="762" t="s">
        <v>531</v>
      </c>
      <c r="AP98" s="158"/>
      <c r="AQ98" s="160"/>
      <c r="AR98" s="158"/>
      <c r="AS98" s="158"/>
      <c r="AT98" s="158"/>
      <c r="AU98" s="158"/>
      <c r="AV98" s="158"/>
      <c r="AW98" s="158"/>
      <c r="AX98" s="158"/>
      <c r="AY98" s="158"/>
      <c r="AZ98" s="158"/>
    </row>
    <row r="99" spans="1:52" ht="30" customHeight="1" x14ac:dyDescent="0.25">
      <c r="A99" s="158"/>
      <c r="B99" s="158"/>
      <c r="C99" s="158"/>
      <c r="D99" s="158"/>
      <c r="E99" s="158"/>
      <c r="F99" s="158"/>
      <c r="G99" s="158"/>
      <c r="H99" s="158"/>
      <c r="I99" s="158"/>
      <c r="J99" s="158"/>
      <c r="K99" s="158"/>
      <c r="L99" s="158"/>
      <c r="N99" s="724" t="s">
        <v>519</v>
      </c>
      <c r="O99" s="688" t="s">
        <v>381</v>
      </c>
      <c r="P99" s="688" t="s">
        <v>397</v>
      </c>
      <c r="Q99" s="688">
        <v>1913610</v>
      </c>
      <c r="R99" s="688" t="s">
        <v>103</v>
      </c>
      <c r="S99" s="688" t="s">
        <v>530</v>
      </c>
      <c r="T99" s="689">
        <v>43799</v>
      </c>
      <c r="U99" s="722">
        <v>2</v>
      </c>
      <c r="V99" s="688">
        <v>4.7999999999999996E-3</v>
      </c>
      <c r="W99" s="692">
        <v>6.7000000000000002E-3</v>
      </c>
      <c r="X99" s="945">
        <v>7950</v>
      </c>
      <c r="Y99" s="688">
        <v>140</v>
      </c>
      <c r="Z99" s="692">
        <v>0.89268321310330279</v>
      </c>
      <c r="AA99" s="693" t="s">
        <v>531</v>
      </c>
      <c r="AP99" s="158"/>
      <c r="AQ99" s="160"/>
      <c r="AR99" s="158"/>
      <c r="AS99" s="158"/>
      <c r="AT99" s="158"/>
      <c r="AU99" s="158"/>
      <c r="AV99" s="158"/>
      <c r="AW99" s="158"/>
      <c r="AX99" s="158"/>
      <c r="AY99" s="158"/>
      <c r="AZ99" s="158"/>
    </row>
    <row r="100" spans="1:52" ht="30" customHeight="1" x14ac:dyDescent="0.25">
      <c r="A100" s="158"/>
      <c r="B100" s="158"/>
      <c r="C100" s="158"/>
      <c r="D100" s="158"/>
      <c r="E100" s="158"/>
      <c r="F100" s="158"/>
      <c r="G100" s="158"/>
      <c r="H100" s="158"/>
      <c r="I100" s="158"/>
      <c r="J100" s="158"/>
      <c r="K100" s="158"/>
      <c r="L100" s="158"/>
      <c r="N100" s="724" t="s">
        <v>520</v>
      </c>
      <c r="O100" s="688" t="s">
        <v>381</v>
      </c>
      <c r="P100" s="688" t="s">
        <v>397</v>
      </c>
      <c r="Q100" s="688">
        <v>1913610</v>
      </c>
      <c r="R100" s="688" t="s">
        <v>517</v>
      </c>
      <c r="S100" s="688" t="s">
        <v>530</v>
      </c>
      <c r="T100" s="689">
        <v>43799</v>
      </c>
      <c r="U100" s="722">
        <v>2</v>
      </c>
      <c r="V100" s="688">
        <v>2.3E-3</v>
      </c>
      <c r="W100" s="692">
        <v>6.7000000000000002E-3</v>
      </c>
      <c r="X100" s="945">
        <v>7950</v>
      </c>
      <c r="Y100" s="688">
        <v>140</v>
      </c>
      <c r="Z100" s="692">
        <v>0.89268321310330279</v>
      </c>
      <c r="AA100" s="693" t="s">
        <v>531</v>
      </c>
      <c r="AP100" s="158"/>
      <c r="AQ100" s="160"/>
      <c r="AR100" s="158"/>
      <c r="AS100" s="158"/>
      <c r="AT100" s="158"/>
      <c r="AU100" s="158"/>
      <c r="AV100" s="158"/>
      <c r="AW100" s="158"/>
      <c r="AX100" s="158"/>
      <c r="AY100" s="158"/>
      <c r="AZ100" s="158"/>
    </row>
    <row r="101" spans="1:52" ht="30" customHeight="1" x14ac:dyDescent="0.25">
      <c r="A101" s="158"/>
      <c r="D101" s="158"/>
      <c r="E101" s="158"/>
      <c r="F101" s="158"/>
      <c r="G101" s="158"/>
      <c r="H101" s="158"/>
      <c r="I101" s="158"/>
      <c r="J101" s="158"/>
      <c r="K101" s="158"/>
      <c r="L101" s="158"/>
      <c r="N101" s="724" t="s">
        <v>521</v>
      </c>
      <c r="O101" s="688" t="s">
        <v>381</v>
      </c>
      <c r="P101" s="688" t="s">
        <v>397</v>
      </c>
      <c r="Q101" s="688">
        <v>1913610</v>
      </c>
      <c r="R101" s="688" t="s">
        <v>103</v>
      </c>
      <c r="S101" s="688" t="s">
        <v>530</v>
      </c>
      <c r="T101" s="689">
        <v>43799</v>
      </c>
      <c r="U101" s="722">
        <v>5</v>
      </c>
      <c r="V101" s="688">
        <v>1.1000000000000001E-3</v>
      </c>
      <c r="W101" s="692">
        <v>6.7000000000000002E-3</v>
      </c>
      <c r="X101" s="945">
        <v>7950</v>
      </c>
      <c r="Y101" s="688">
        <v>140</v>
      </c>
      <c r="Z101" s="692">
        <v>0.89268321310330279</v>
      </c>
      <c r="AA101" s="693" t="s">
        <v>531</v>
      </c>
      <c r="AP101" s="158"/>
      <c r="AQ101" s="160"/>
      <c r="AR101" s="158"/>
      <c r="AS101" s="158"/>
      <c r="AT101" s="158"/>
      <c r="AU101" s="158"/>
      <c r="AV101" s="158"/>
      <c r="AW101" s="158"/>
      <c r="AX101" s="158"/>
      <c r="AY101" s="158"/>
      <c r="AZ101" s="158"/>
    </row>
    <row r="102" spans="1:52" ht="30" customHeight="1" x14ac:dyDescent="0.25">
      <c r="A102" s="158"/>
      <c r="B102" s="158"/>
      <c r="C102" s="158"/>
      <c r="D102" s="158"/>
      <c r="E102" s="158"/>
      <c r="F102" s="158"/>
      <c r="G102" s="158"/>
      <c r="H102" s="158"/>
      <c r="I102" s="158"/>
      <c r="J102" s="158"/>
      <c r="K102" s="158"/>
      <c r="L102" s="158"/>
      <c r="N102" s="687" t="s">
        <v>522</v>
      </c>
      <c r="O102" s="688" t="s">
        <v>381</v>
      </c>
      <c r="P102" s="688" t="s">
        <v>397</v>
      </c>
      <c r="Q102" s="688">
        <v>1913610</v>
      </c>
      <c r="R102" s="688" t="s">
        <v>103</v>
      </c>
      <c r="S102" s="688" t="s">
        <v>530</v>
      </c>
      <c r="T102" s="689">
        <v>43799</v>
      </c>
      <c r="U102" s="722">
        <v>10</v>
      </c>
      <c r="V102" s="688">
        <v>-4.8999999999999998E-3</v>
      </c>
      <c r="W102" s="692">
        <v>8.3000000000000001E-3</v>
      </c>
      <c r="X102" s="945">
        <v>7950</v>
      </c>
      <c r="Y102" s="688">
        <v>140</v>
      </c>
      <c r="Z102" s="692">
        <v>0.89268321310330279</v>
      </c>
      <c r="AA102" s="693" t="s">
        <v>531</v>
      </c>
      <c r="AP102" s="158"/>
      <c r="AQ102" s="160"/>
      <c r="AR102" s="158"/>
      <c r="AS102" s="158"/>
      <c r="AT102" s="158"/>
      <c r="AU102" s="158"/>
      <c r="AV102" s="158"/>
      <c r="AW102" s="158"/>
      <c r="AX102" s="158"/>
      <c r="AY102" s="158"/>
      <c r="AZ102" s="158"/>
    </row>
    <row r="103" spans="1:52" ht="30" customHeight="1" x14ac:dyDescent="0.25">
      <c r="A103" s="158"/>
      <c r="B103" s="158"/>
      <c r="C103" s="158"/>
      <c r="D103" s="158"/>
      <c r="E103" s="158"/>
      <c r="F103" s="158"/>
      <c r="G103" s="158"/>
      <c r="H103" s="158"/>
      <c r="I103" s="158"/>
      <c r="J103" s="158"/>
      <c r="K103" s="158"/>
      <c r="L103" s="158"/>
      <c r="N103" s="687" t="s">
        <v>523</v>
      </c>
      <c r="O103" s="688" t="s">
        <v>381</v>
      </c>
      <c r="P103" s="688" t="s">
        <v>397</v>
      </c>
      <c r="Q103" s="688">
        <v>1913610</v>
      </c>
      <c r="R103" s="688" t="s">
        <v>103</v>
      </c>
      <c r="S103" s="688" t="s">
        <v>530</v>
      </c>
      <c r="T103" s="689">
        <v>43799</v>
      </c>
      <c r="U103" s="722">
        <v>20</v>
      </c>
      <c r="V103" s="688">
        <v>-6.0000000000000001E-3</v>
      </c>
      <c r="W103" s="726">
        <v>0.01</v>
      </c>
      <c r="X103" s="945">
        <v>7950</v>
      </c>
      <c r="Y103" s="688">
        <v>140</v>
      </c>
      <c r="Z103" s="692">
        <v>0.89268321310330279</v>
      </c>
      <c r="AA103" s="693" t="s">
        <v>531</v>
      </c>
      <c r="AP103" s="158"/>
      <c r="AQ103" s="160"/>
      <c r="AR103" s="158"/>
      <c r="AS103" s="158"/>
      <c r="AT103" s="158"/>
      <c r="AU103" s="158"/>
      <c r="AV103" s="158"/>
      <c r="AW103" s="158"/>
      <c r="AX103" s="158"/>
      <c r="AY103" s="158"/>
      <c r="AZ103" s="158"/>
    </row>
    <row r="104" spans="1:52" ht="30" customHeight="1" x14ac:dyDescent="0.25">
      <c r="A104" s="158"/>
      <c r="B104" s="158"/>
      <c r="C104" s="158"/>
      <c r="D104" s="158"/>
      <c r="E104" s="158"/>
      <c r="F104" s="158"/>
      <c r="G104" s="158"/>
      <c r="H104" s="158"/>
      <c r="I104" s="158"/>
      <c r="J104" s="158"/>
      <c r="K104" s="158"/>
      <c r="L104" s="158"/>
      <c r="N104" s="687" t="s">
        <v>524</v>
      </c>
      <c r="O104" s="688" t="s">
        <v>381</v>
      </c>
      <c r="P104" s="688" t="s">
        <v>397</v>
      </c>
      <c r="Q104" s="688">
        <v>1913610</v>
      </c>
      <c r="R104" s="688" t="s">
        <v>517</v>
      </c>
      <c r="S104" s="688" t="s">
        <v>530</v>
      </c>
      <c r="T104" s="689">
        <v>43799</v>
      </c>
      <c r="U104" s="722">
        <v>20</v>
      </c>
      <c r="V104" s="688">
        <v>-2E-3</v>
      </c>
      <c r="W104" s="726">
        <v>0.01</v>
      </c>
      <c r="X104" s="945">
        <v>7950</v>
      </c>
      <c r="Y104" s="688">
        <v>140</v>
      </c>
      <c r="Z104" s="692">
        <v>0.89268321310330279</v>
      </c>
      <c r="AA104" s="693" t="s">
        <v>531</v>
      </c>
      <c r="AP104" s="158"/>
      <c r="AQ104" s="160"/>
      <c r="AR104" s="158"/>
      <c r="AS104" s="158"/>
      <c r="AT104" s="158"/>
      <c r="AU104" s="158"/>
      <c r="AV104" s="158"/>
      <c r="AW104" s="158"/>
      <c r="AX104" s="158"/>
      <c r="AY104" s="158"/>
      <c r="AZ104" s="158"/>
    </row>
    <row r="105" spans="1:52" ht="30" customHeight="1" x14ac:dyDescent="0.25">
      <c r="A105" s="158"/>
      <c r="B105" s="158"/>
      <c r="C105" s="158"/>
      <c r="D105" s="158"/>
      <c r="E105" s="158"/>
      <c r="F105" s="158"/>
      <c r="G105" s="158"/>
      <c r="H105" s="158"/>
      <c r="I105" s="158"/>
      <c r="J105" s="158"/>
      <c r="K105" s="158"/>
      <c r="L105" s="158"/>
      <c r="N105" s="687" t="s">
        <v>525</v>
      </c>
      <c r="O105" s="688" t="s">
        <v>381</v>
      </c>
      <c r="P105" s="688" t="s">
        <v>397</v>
      </c>
      <c r="Q105" s="688">
        <v>1913610</v>
      </c>
      <c r="R105" s="688" t="s">
        <v>103</v>
      </c>
      <c r="S105" s="688" t="s">
        <v>530</v>
      </c>
      <c r="T105" s="689">
        <v>43799</v>
      </c>
      <c r="U105" s="722">
        <v>50</v>
      </c>
      <c r="V105" s="688">
        <v>-4.0000000000000001E-3</v>
      </c>
      <c r="W105" s="726">
        <v>1.2999999999999999E-2</v>
      </c>
      <c r="X105" s="945">
        <v>7950</v>
      </c>
      <c r="Y105" s="688">
        <v>140</v>
      </c>
      <c r="Z105" s="692">
        <v>0.89268321310330279</v>
      </c>
      <c r="AA105" s="693" t="s">
        <v>531</v>
      </c>
      <c r="AP105" s="158"/>
      <c r="AQ105" s="160"/>
      <c r="AR105" s="158"/>
      <c r="AS105" s="158"/>
      <c r="AT105" s="158"/>
      <c r="AU105" s="158"/>
      <c r="AV105" s="158"/>
      <c r="AW105" s="158"/>
      <c r="AX105" s="158"/>
      <c r="AY105" s="158"/>
      <c r="AZ105" s="158"/>
    </row>
    <row r="106" spans="1:52" ht="30" customHeight="1" x14ac:dyDescent="0.25">
      <c r="A106" s="158"/>
      <c r="B106" s="158"/>
      <c r="C106" s="158"/>
      <c r="D106" s="158"/>
      <c r="E106" s="158"/>
      <c r="F106" s="158"/>
      <c r="G106" s="158"/>
      <c r="H106" s="158"/>
      <c r="I106" s="158"/>
      <c r="J106" s="158"/>
      <c r="K106" s="158"/>
      <c r="L106" s="158"/>
      <c r="N106" s="687" t="s">
        <v>526</v>
      </c>
      <c r="O106" s="688" t="s">
        <v>381</v>
      </c>
      <c r="P106" s="688" t="s">
        <v>397</v>
      </c>
      <c r="Q106" s="688">
        <v>1913610</v>
      </c>
      <c r="R106" s="688" t="s">
        <v>103</v>
      </c>
      <c r="S106" s="688" t="s">
        <v>530</v>
      </c>
      <c r="T106" s="689">
        <v>43799</v>
      </c>
      <c r="U106" s="722">
        <v>100</v>
      </c>
      <c r="V106" s="688">
        <v>-1E-3</v>
      </c>
      <c r="W106" s="726">
        <v>1.7000000000000001E-2</v>
      </c>
      <c r="X106" s="945">
        <v>7950</v>
      </c>
      <c r="Y106" s="688">
        <v>140</v>
      </c>
      <c r="Z106" s="692">
        <v>0.89268321310330279</v>
      </c>
      <c r="AA106" s="693" t="s">
        <v>531</v>
      </c>
      <c r="AP106" s="158"/>
      <c r="AQ106" s="160"/>
      <c r="AR106" s="158"/>
      <c r="AS106" s="158"/>
      <c r="AT106" s="158"/>
      <c r="AU106" s="158"/>
      <c r="AV106" s="158"/>
      <c r="AW106" s="158"/>
      <c r="AX106" s="158"/>
      <c r="AY106" s="158"/>
      <c r="AZ106" s="158"/>
    </row>
    <row r="107" spans="1:52" ht="30" customHeight="1" x14ac:dyDescent="0.25">
      <c r="A107" s="158"/>
      <c r="B107" s="158"/>
      <c r="C107" s="158"/>
      <c r="D107" s="158"/>
      <c r="E107" s="158"/>
      <c r="F107" s="158"/>
      <c r="G107" s="158"/>
      <c r="H107" s="158"/>
      <c r="I107" s="158"/>
      <c r="J107" s="158"/>
      <c r="K107" s="158"/>
      <c r="L107" s="158"/>
      <c r="N107" s="687" t="s">
        <v>527</v>
      </c>
      <c r="O107" s="688" t="s">
        <v>381</v>
      </c>
      <c r="P107" s="688" t="s">
        <v>397</v>
      </c>
      <c r="Q107" s="688">
        <v>1913610</v>
      </c>
      <c r="R107" s="688" t="s">
        <v>103</v>
      </c>
      <c r="S107" s="688" t="s">
        <v>530</v>
      </c>
      <c r="T107" s="689">
        <v>43799</v>
      </c>
      <c r="U107" s="722">
        <v>200</v>
      </c>
      <c r="V107" s="688">
        <v>1.0999999999999999E-2</v>
      </c>
      <c r="W107" s="726">
        <v>0.02</v>
      </c>
      <c r="X107" s="945">
        <v>7950</v>
      </c>
      <c r="Y107" s="688">
        <v>140</v>
      </c>
      <c r="Z107" s="692">
        <v>0.89268321310330279</v>
      </c>
      <c r="AA107" s="693" t="s">
        <v>531</v>
      </c>
      <c r="AP107" s="158"/>
      <c r="AQ107" s="160"/>
      <c r="AR107" s="158"/>
      <c r="AS107" s="158"/>
      <c r="AT107" s="158"/>
      <c r="AU107" s="158"/>
      <c r="AV107" s="158"/>
      <c r="AW107" s="158"/>
      <c r="AX107" s="158"/>
      <c r="AY107" s="158"/>
      <c r="AZ107" s="158"/>
    </row>
    <row r="108" spans="1:52" ht="30" customHeight="1" x14ac:dyDescent="0.25">
      <c r="A108" s="158"/>
      <c r="B108" s="158"/>
      <c r="C108" s="158"/>
      <c r="D108" s="158"/>
      <c r="E108" s="158"/>
      <c r="F108" s="158"/>
      <c r="G108" s="158"/>
      <c r="H108" s="158"/>
      <c r="I108" s="158"/>
      <c r="J108" s="158"/>
      <c r="K108" s="158"/>
      <c r="L108" s="158"/>
      <c r="N108" s="687" t="s">
        <v>528</v>
      </c>
      <c r="O108" s="688" t="s">
        <v>381</v>
      </c>
      <c r="P108" s="688" t="s">
        <v>397</v>
      </c>
      <c r="Q108" s="688">
        <v>1913610</v>
      </c>
      <c r="R108" s="688" t="s">
        <v>517</v>
      </c>
      <c r="S108" s="688" t="s">
        <v>530</v>
      </c>
      <c r="T108" s="689">
        <v>43799</v>
      </c>
      <c r="U108" s="722">
        <v>200</v>
      </c>
      <c r="V108" s="688">
        <v>-1E-3</v>
      </c>
      <c r="W108" s="726">
        <v>0.02</v>
      </c>
      <c r="X108" s="945">
        <v>7950</v>
      </c>
      <c r="Y108" s="688">
        <v>140</v>
      </c>
      <c r="Z108" s="692">
        <v>0.89268321310330279</v>
      </c>
      <c r="AA108" s="693" t="s">
        <v>531</v>
      </c>
      <c r="AP108" s="158"/>
      <c r="AQ108" s="160"/>
      <c r="AR108" s="158"/>
      <c r="AS108" s="158"/>
      <c r="AT108" s="158"/>
      <c r="AU108" s="158"/>
      <c r="AV108" s="158"/>
      <c r="AW108" s="158"/>
      <c r="AX108" s="158"/>
      <c r="AY108" s="158"/>
      <c r="AZ108" s="158"/>
    </row>
    <row r="109" spans="1:52" ht="30" customHeight="1" thickBot="1" x14ac:dyDescent="0.3">
      <c r="A109" s="158"/>
      <c r="B109" s="158"/>
      <c r="C109" s="158"/>
      <c r="D109" s="158"/>
      <c r="E109" s="158"/>
      <c r="F109" s="158"/>
      <c r="G109" s="158"/>
      <c r="H109" s="158"/>
      <c r="I109" s="158"/>
      <c r="J109" s="158"/>
      <c r="K109" s="158"/>
      <c r="L109" s="158"/>
      <c r="N109" s="694" t="s">
        <v>529</v>
      </c>
      <c r="O109" s="695" t="s">
        <v>381</v>
      </c>
      <c r="P109" s="695" t="s">
        <v>397</v>
      </c>
      <c r="Q109" s="695">
        <v>1913610</v>
      </c>
      <c r="R109" s="695" t="s">
        <v>103</v>
      </c>
      <c r="S109" s="695" t="s">
        <v>530</v>
      </c>
      <c r="T109" s="696">
        <v>43799</v>
      </c>
      <c r="U109" s="735">
        <v>500</v>
      </c>
      <c r="V109" s="763">
        <v>0.01</v>
      </c>
      <c r="W109" s="763">
        <v>2.7E-2</v>
      </c>
      <c r="X109" s="946">
        <v>7950</v>
      </c>
      <c r="Y109" s="695">
        <v>140</v>
      </c>
      <c r="Z109" s="697">
        <v>0.89268321310330279</v>
      </c>
      <c r="AA109" s="698" t="s">
        <v>531</v>
      </c>
      <c r="AP109" s="158"/>
      <c r="AQ109" s="160"/>
      <c r="AR109" s="158"/>
      <c r="AS109" s="158"/>
      <c r="AT109" s="158"/>
      <c r="AU109" s="158"/>
      <c r="AV109" s="158"/>
      <c r="AW109" s="158"/>
      <c r="AX109" s="158"/>
      <c r="AY109" s="158"/>
      <c r="AZ109" s="158"/>
    </row>
    <row r="110" spans="1:52" ht="30" customHeight="1" x14ac:dyDescent="0.25">
      <c r="A110" s="158"/>
      <c r="B110" s="158"/>
      <c r="C110" s="158"/>
      <c r="D110" s="158"/>
      <c r="E110" s="158"/>
      <c r="F110" s="158"/>
      <c r="G110" s="158"/>
      <c r="H110" s="158"/>
      <c r="I110" s="158"/>
      <c r="J110" s="158"/>
      <c r="K110" s="158"/>
      <c r="L110" s="158"/>
      <c r="N110" s="944"/>
      <c r="O110" s="756"/>
      <c r="P110" s="756"/>
      <c r="Q110" s="756"/>
      <c r="R110" s="756"/>
      <c r="S110" s="756"/>
      <c r="T110" s="757"/>
      <c r="U110" s="758"/>
      <c r="V110" s="756"/>
      <c r="W110" s="765"/>
      <c r="X110" s="758"/>
      <c r="Y110" s="756"/>
      <c r="Z110" s="764"/>
      <c r="AA110" s="943"/>
      <c r="AP110" s="158"/>
      <c r="AQ110" s="160"/>
      <c r="AR110" s="158"/>
      <c r="AS110" s="158"/>
      <c r="AT110" s="158"/>
      <c r="AU110" s="158"/>
      <c r="AV110" s="158"/>
      <c r="AW110" s="158"/>
      <c r="AX110" s="158"/>
      <c r="AY110" s="158"/>
      <c r="AZ110" s="158"/>
    </row>
    <row r="111" spans="1:52" ht="30" customHeight="1" x14ac:dyDescent="0.25">
      <c r="A111" s="158"/>
      <c r="B111" s="158"/>
      <c r="C111" s="158"/>
      <c r="D111" s="158"/>
      <c r="E111" s="158"/>
      <c r="F111" s="158"/>
      <c r="G111" s="158"/>
      <c r="H111" s="158"/>
      <c r="I111" s="158"/>
      <c r="J111" s="158"/>
      <c r="K111" s="158"/>
      <c r="L111" s="158"/>
      <c r="N111" s="687"/>
      <c r="O111" s="688"/>
      <c r="P111" s="688"/>
      <c r="Q111" s="688"/>
      <c r="R111" s="688"/>
      <c r="S111" s="688"/>
      <c r="T111" s="689"/>
      <c r="U111" s="690"/>
      <c r="V111" s="688"/>
      <c r="W111" s="691"/>
      <c r="X111" s="690"/>
      <c r="Y111" s="688"/>
      <c r="Z111" s="692"/>
      <c r="AA111" s="693"/>
      <c r="AP111" s="158"/>
      <c r="AQ111" s="160"/>
      <c r="AR111" s="158"/>
      <c r="AS111" s="158"/>
      <c r="AT111" s="158"/>
      <c r="AU111" s="158"/>
      <c r="AV111" s="158"/>
      <c r="AW111" s="158"/>
      <c r="AX111" s="158"/>
      <c r="AY111" s="158"/>
      <c r="AZ111" s="158"/>
    </row>
    <row r="112" spans="1:52" ht="30" customHeight="1" x14ac:dyDescent="0.25">
      <c r="A112" s="158"/>
      <c r="B112" s="158"/>
      <c r="C112" s="158"/>
      <c r="D112" s="158"/>
      <c r="E112" s="158"/>
      <c r="F112" s="158"/>
      <c r="G112" s="158"/>
      <c r="H112" s="158"/>
      <c r="I112" s="158"/>
      <c r="J112" s="158"/>
      <c r="K112" s="158"/>
      <c r="L112" s="158"/>
      <c r="N112" s="687"/>
      <c r="O112" s="688"/>
      <c r="P112" s="688"/>
      <c r="Q112" s="688"/>
      <c r="R112" s="688"/>
      <c r="S112" s="688"/>
      <c r="T112" s="689"/>
      <c r="U112" s="690"/>
      <c r="V112" s="688"/>
      <c r="W112" s="691"/>
      <c r="X112" s="690"/>
      <c r="Y112" s="688"/>
      <c r="Z112" s="692"/>
      <c r="AA112" s="693"/>
      <c r="AP112" s="158"/>
      <c r="AQ112" s="160"/>
      <c r="AR112" s="158"/>
      <c r="AS112" s="158"/>
      <c r="AT112" s="158"/>
      <c r="AU112" s="158"/>
      <c r="AV112" s="158"/>
      <c r="AW112" s="158"/>
      <c r="AX112" s="158"/>
      <c r="AY112" s="158"/>
      <c r="AZ112" s="158"/>
    </row>
    <row r="113" spans="1:52" ht="30" customHeight="1" thickBot="1" x14ac:dyDescent="0.3">
      <c r="A113" s="158"/>
      <c r="B113" s="158"/>
      <c r="C113" s="158"/>
      <c r="D113" s="158"/>
      <c r="E113" s="158"/>
      <c r="F113" s="158"/>
      <c r="G113" s="158"/>
      <c r="H113" s="158"/>
      <c r="I113" s="158"/>
      <c r="J113" s="158"/>
      <c r="K113" s="158"/>
      <c r="L113" s="158"/>
      <c r="N113" s="694"/>
      <c r="O113" s="695"/>
      <c r="P113" s="695"/>
      <c r="Q113" s="695"/>
      <c r="R113" s="695"/>
      <c r="S113" s="695"/>
      <c r="T113" s="696"/>
      <c r="U113" s="941"/>
      <c r="V113" s="695"/>
      <c r="W113" s="942"/>
      <c r="X113" s="941"/>
      <c r="Y113" s="695"/>
      <c r="Z113" s="697"/>
      <c r="AA113" s="698"/>
      <c r="AP113" s="158"/>
      <c r="AQ113" s="160"/>
      <c r="AR113" s="158"/>
      <c r="AS113" s="158"/>
      <c r="AT113" s="158"/>
      <c r="AU113" s="158"/>
      <c r="AV113" s="158"/>
      <c r="AW113" s="158"/>
      <c r="AX113" s="158"/>
      <c r="AY113" s="158"/>
      <c r="AZ113" s="158"/>
    </row>
    <row r="114" spans="1:52" ht="30" customHeight="1" x14ac:dyDescent="0.25">
      <c r="A114" s="158"/>
      <c r="B114" s="158"/>
      <c r="C114" s="158"/>
      <c r="D114" s="158"/>
      <c r="E114" s="158"/>
      <c r="F114" s="158"/>
      <c r="G114" s="158"/>
      <c r="H114" s="158"/>
      <c r="I114" s="158"/>
      <c r="J114" s="158"/>
      <c r="K114" s="158"/>
      <c r="L114" s="158"/>
      <c r="M114" s="158"/>
      <c r="N114" s="158"/>
      <c r="O114" s="158"/>
      <c r="P114" s="158"/>
      <c r="Q114" s="158"/>
      <c r="R114" s="158"/>
      <c r="S114" s="158"/>
      <c r="T114" s="158"/>
      <c r="U114" s="158"/>
      <c r="V114" s="158"/>
      <c r="W114" s="158"/>
      <c r="X114" s="158"/>
      <c r="Y114" s="158"/>
      <c r="Z114" s="158"/>
      <c r="AA114" s="158"/>
      <c r="AB114" s="158"/>
      <c r="AC114" s="158"/>
      <c r="AD114" s="158"/>
      <c r="AE114" s="158"/>
      <c r="AF114" s="158"/>
      <c r="AG114" s="158"/>
      <c r="AH114" s="158"/>
      <c r="AI114" s="158"/>
      <c r="AJ114" s="158"/>
      <c r="AK114" s="158"/>
      <c r="AL114" s="158"/>
      <c r="AM114" s="158"/>
      <c r="AN114" s="160"/>
      <c r="AO114" s="160"/>
      <c r="AP114" s="160"/>
      <c r="AQ114" s="160"/>
      <c r="AR114" s="158"/>
      <c r="AS114" s="158"/>
      <c r="AT114" s="158"/>
      <c r="AU114" s="158"/>
      <c r="AV114" s="158"/>
      <c r="AW114" s="158"/>
      <c r="AX114" s="158"/>
      <c r="AY114" s="158"/>
      <c r="AZ114" s="158"/>
    </row>
    <row r="115" spans="1:52" ht="30" customHeight="1" thickBot="1" x14ac:dyDescent="0.25">
      <c r="A115" s="158"/>
      <c r="B115" s="158"/>
      <c r="C115" s="158"/>
      <c r="D115" s="164"/>
      <c r="E115" s="164"/>
      <c r="F115" s="164"/>
      <c r="G115" s="164"/>
      <c r="H115" s="164"/>
      <c r="I115" s="164"/>
      <c r="J115" s="164"/>
      <c r="K115" s="164"/>
      <c r="L115" s="164"/>
      <c r="M115" s="164"/>
      <c r="N115" s="164"/>
      <c r="O115" s="164"/>
      <c r="P115" s="164"/>
      <c r="Q115" s="164"/>
      <c r="R115" s="164"/>
      <c r="S115" s="164"/>
      <c r="T115" s="158"/>
      <c r="U115" s="158"/>
      <c r="V115" s="158"/>
      <c r="AB115" s="158"/>
      <c r="AC115" s="158"/>
      <c r="AD115" s="158"/>
      <c r="AE115" s="158"/>
      <c r="AF115" s="158"/>
      <c r="AG115" s="158"/>
      <c r="AH115" s="158"/>
      <c r="AI115" s="158"/>
      <c r="AJ115" s="158"/>
      <c r="AK115" s="158"/>
      <c r="AL115" s="158"/>
      <c r="AM115" s="158"/>
      <c r="AN115" s="158"/>
      <c r="AO115" s="158"/>
      <c r="AP115" s="158"/>
      <c r="AQ115" s="158"/>
      <c r="AR115" s="158"/>
      <c r="AS115" s="158"/>
      <c r="AT115" s="158"/>
      <c r="AU115" s="158"/>
      <c r="AV115" s="158"/>
      <c r="AW115" s="158"/>
      <c r="AX115" s="158"/>
      <c r="AY115" s="158"/>
      <c r="AZ115" s="158"/>
    </row>
    <row r="116" spans="1:52" ht="30" customHeight="1" x14ac:dyDescent="0.25">
      <c r="A116" s="1657" t="s">
        <v>259</v>
      </c>
      <c r="B116" s="1658"/>
      <c r="C116" s="1658"/>
      <c r="D116" s="1658"/>
      <c r="E116" s="1658"/>
      <c r="F116" s="1658"/>
      <c r="G116" s="1658"/>
      <c r="H116" s="1658"/>
      <c r="I116" s="1658"/>
      <c r="J116" s="1658"/>
      <c r="K116" s="1658"/>
      <c r="L116" s="1658"/>
      <c r="M116" s="1658"/>
      <c r="N116" s="1658"/>
      <c r="O116" s="1658"/>
      <c r="P116" s="1658"/>
      <c r="Q116" s="1658"/>
      <c r="R116" s="1658"/>
      <c r="S116" s="1659"/>
      <c r="T116" s="158"/>
      <c r="V116" s="1518" t="s">
        <v>260</v>
      </c>
      <c r="W116" s="1519"/>
      <c r="X116" s="1519"/>
      <c r="Y116" s="1519"/>
      <c r="Z116" s="1520"/>
      <c r="AE116" s="158"/>
      <c r="AF116" s="158"/>
      <c r="AL116" s="158"/>
      <c r="AM116" s="158"/>
      <c r="AN116" s="158"/>
      <c r="AO116" s="158"/>
      <c r="AP116" s="158"/>
      <c r="AQ116" s="158"/>
      <c r="AR116" s="158"/>
      <c r="AS116" s="158"/>
      <c r="AT116" s="158"/>
      <c r="AU116" s="158"/>
      <c r="AV116" s="158"/>
      <c r="AW116" s="158"/>
      <c r="AX116" s="158"/>
      <c r="AY116" s="158"/>
      <c r="AZ116" s="158"/>
    </row>
    <row r="117" spans="1:52" ht="30" customHeight="1" thickBot="1" x14ac:dyDescent="0.3">
      <c r="A117" s="1660"/>
      <c r="B117" s="1661"/>
      <c r="C117" s="1661"/>
      <c r="D117" s="1661"/>
      <c r="E117" s="1661"/>
      <c r="F117" s="1661"/>
      <c r="G117" s="1661"/>
      <c r="H117" s="1661"/>
      <c r="I117" s="1661"/>
      <c r="J117" s="1661"/>
      <c r="K117" s="1661"/>
      <c r="L117" s="1661"/>
      <c r="M117" s="1661"/>
      <c r="N117" s="1661"/>
      <c r="O117" s="1661"/>
      <c r="P117" s="1661"/>
      <c r="Q117" s="1661"/>
      <c r="R117" s="1661"/>
      <c r="S117" s="1662"/>
      <c r="T117" s="158"/>
      <c r="V117" s="1521"/>
      <c r="W117" s="1522"/>
      <c r="X117" s="1522"/>
      <c r="Y117" s="1522"/>
      <c r="Z117" s="1523"/>
      <c r="AL117" s="158"/>
      <c r="AM117" s="158"/>
      <c r="AN117" s="158"/>
      <c r="AO117" s="158"/>
      <c r="AP117" s="158"/>
      <c r="AQ117" s="158"/>
      <c r="AR117" s="158"/>
      <c r="AS117" s="158"/>
      <c r="AT117" s="158"/>
      <c r="AU117" s="158"/>
      <c r="AV117" s="158"/>
      <c r="AW117" s="158"/>
      <c r="AX117" s="158"/>
      <c r="AY117" s="158"/>
      <c r="AZ117" s="158"/>
    </row>
    <row r="118" spans="1:52" ht="30" customHeight="1" thickBot="1" x14ac:dyDescent="0.3">
      <c r="A118" s="1651" t="s">
        <v>500</v>
      </c>
      <c r="B118" s="1652"/>
      <c r="C118" s="1652"/>
      <c r="D118" s="1652"/>
      <c r="E118" s="1652"/>
      <c r="F118" s="1652"/>
      <c r="G118" s="1652"/>
      <c r="H118" s="1652"/>
      <c r="I118" s="1652"/>
      <c r="J118" s="1652"/>
      <c r="K118" s="1652"/>
      <c r="L118" s="1652"/>
      <c r="M118" s="1652"/>
      <c r="N118" s="1652"/>
      <c r="O118" s="1652"/>
      <c r="P118" s="1652"/>
      <c r="Q118" s="1652"/>
      <c r="R118" s="1652"/>
      <c r="S118" s="1653"/>
      <c r="T118" s="158"/>
      <c r="V118" s="1645" t="s">
        <v>4</v>
      </c>
      <c r="W118" s="1647" t="s">
        <v>10</v>
      </c>
      <c r="X118" s="1647" t="s">
        <v>22</v>
      </c>
      <c r="Y118" s="1649" t="s">
        <v>501</v>
      </c>
      <c r="Z118" s="1627" t="s">
        <v>210</v>
      </c>
      <c r="AM118" s="158"/>
      <c r="AN118" s="158"/>
      <c r="AO118" s="158"/>
      <c r="AP118" s="158"/>
      <c r="AQ118" s="158"/>
      <c r="AR118" s="158"/>
      <c r="AS118" s="158"/>
      <c r="AT118" s="158"/>
      <c r="AU118" s="158"/>
      <c r="AV118" s="158"/>
      <c r="AW118" s="158"/>
      <c r="AX118" s="158"/>
      <c r="AY118" s="158"/>
      <c r="AZ118" s="158"/>
    </row>
    <row r="119" spans="1:52" ht="30" customHeight="1" thickBot="1" x14ac:dyDescent="0.25">
      <c r="A119" s="1633" t="s">
        <v>214</v>
      </c>
      <c r="B119" s="1635"/>
      <c r="C119" s="1629" t="s">
        <v>210</v>
      </c>
      <c r="D119" s="1629" t="s">
        <v>10</v>
      </c>
      <c r="E119" s="1631" t="s">
        <v>147</v>
      </c>
      <c r="F119" s="1631" t="s">
        <v>148</v>
      </c>
      <c r="G119" s="1631" t="s">
        <v>149</v>
      </c>
      <c r="H119" s="1631" t="s">
        <v>150</v>
      </c>
      <c r="I119" s="1631" t="s">
        <v>151</v>
      </c>
      <c r="J119" s="1631" t="s">
        <v>152</v>
      </c>
      <c r="K119" s="1631" t="s">
        <v>15</v>
      </c>
      <c r="L119" s="1641" t="s">
        <v>153</v>
      </c>
      <c r="M119" s="165"/>
      <c r="N119" s="1643" t="s">
        <v>210</v>
      </c>
      <c r="O119" s="1633" t="s">
        <v>151</v>
      </c>
      <c r="P119" s="1634"/>
      <c r="Q119" s="1635"/>
      <c r="R119" s="1639" t="s">
        <v>15</v>
      </c>
      <c r="S119" s="1641" t="s">
        <v>153</v>
      </c>
      <c r="T119" s="158"/>
      <c r="V119" s="1646"/>
      <c r="W119" s="1648"/>
      <c r="X119" s="1648"/>
      <c r="Y119" s="1650"/>
      <c r="Z119" s="1628"/>
      <c r="AM119" s="158"/>
      <c r="AN119" s="158"/>
      <c r="AO119" s="158"/>
      <c r="AP119" s="158"/>
      <c r="AQ119" s="158"/>
      <c r="AR119" s="158"/>
      <c r="AS119" s="158"/>
      <c r="AT119" s="158"/>
      <c r="AU119" s="158"/>
      <c r="AV119" s="158"/>
      <c r="AW119" s="158"/>
      <c r="AX119" s="158"/>
      <c r="AY119" s="158"/>
      <c r="AZ119" s="158"/>
    </row>
    <row r="120" spans="1:52" ht="39.950000000000003" customHeight="1" thickBot="1" x14ac:dyDescent="0.25">
      <c r="A120" s="1636"/>
      <c r="B120" s="1638"/>
      <c r="C120" s="1630"/>
      <c r="D120" s="1630"/>
      <c r="E120" s="1632"/>
      <c r="F120" s="1632"/>
      <c r="G120" s="1632"/>
      <c r="H120" s="1632"/>
      <c r="I120" s="1632"/>
      <c r="J120" s="1632"/>
      <c r="K120" s="1632"/>
      <c r="L120" s="1642"/>
      <c r="M120" s="165"/>
      <c r="N120" s="1644"/>
      <c r="O120" s="1636"/>
      <c r="P120" s="1637"/>
      <c r="Q120" s="1638"/>
      <c r="R120" s="1640"/>
      <c r="S120" s="1642"/>
      <c r="T120" s="158"/>
      <c r="V120" s="166"/>
      <c r="W120" s="167"/>
      <c r="X120" s="167"/>
      <c r="Y120" s="167"/>
      <c r="Z120" s="168"/>
      <c r="AM120" s="158"/>
      <c r="AN120" s="158"/>
      <c r="AO120" s="158"/>
      <c r="AP120" s="158"/>
      <c r="AQ120" s="158"/>
      <c r="AR120" s="158"/>
      <c r="AS120" s="158"/>
      <c r="AT120" s="158"/>
      <c r="AU120" s="158"/>
      <c r="AV120" s="158"/>
      <c r="AW120" s="158"/>
      <c r="AX120" s="158"/>
      <c r="AY120" s="158"/>
      <c r="AZ120" s="158"/>
    </row>
    <row r="121" spans="1:52" ht="30" customHeight="1" thickBot="1" x14ac:dyDescent="0.25">
      <c r="A121" s="169"/>
      <c r="B121" s="579"/>
      <c r="C121" s="580"/>
      <c r="D121" s="170"/>
      <c r="E121" s="170"/>
      <c r="F121" s="170"/>
      <c r="G121" s="170"/>
      <c r="H121" s="170"/>
      <c r="I121" s="165"/>
      <c r="J121" s="165"/>
      <c r="K121" s="165"/>
      <c r="L121" s="165"/>
      <c r="M121" s="165"/>
      <c r="N121" s="169"/>
      <c r="O121" s="171"/>
      <c r="P121" s="171"/>
      <c r="Q121" s="171"/>
      <c r="R121" s="171"/>
      <c r="S121" s="172"/>
      <c r="V121" s="528">
        <v>1</v>
      </c>
      <c r="W121" s="173" t="s">
        <v>75</v>
      </c>
      <c r="X121" s="173">
        <v>31301284</v>
      </c>
      <c r="Y121" s="173">
        <v>1E-3</v>
      </c>
      <c r="Z121" s="221" t="s">
        <v>131</v>
      </c>
      <c r="AM121" s="158"/>
      <c r="AN121" s="158"/>
      <c r="AO121" s="158"/>
      <c r="AP121" s="158"/>
      <c r="AQ121" s="158"/>
      <c r="AR121" s="158"/>
      <c r="AS121" s="158"/>
      <c r="AT121" s="158"/>
      <c r="AU121" s="158"/>
      <c r="AV121" s="158"/>
      <c r="AW121" s="158"/>
      <c r="AX121" s="158"/>
      <c r="AY121" s="158"/>
      <c r="AZ121" s="158"/>
    </row>
    <row r="122" spans="1:52" ht="30" customHeight="1" x14ac:dyDescent="0.2">
      <c r="A122" s="1507" t="s">
        <v>186</v>
      </c>
      <c r="B122" s="1508"/>
      <c r="C122" s="1515" t="s">
        <v>165</v>
      </c>
      <c r="D122" s="1553" t="s">
        <v>154</v>
      </c>
      <c r="E122" s="1622" t="s">
        <v>187</v>
      </c>
      <c r="F122" s="581">
        <v>15.3</v>
      </c>
      <c r="G122" s="582">
        <v>0.1</v>
      </c>
      <c r="H122" s="583">
        <v>0</v>
      </c>
      <c r="I122" s="584">
        <v>0.3</v>
      </c>
      <c r="J122" s="1625">
        <v>2</v>
      </c>
      <c r="K122" s="1626">
        <v>44019</v>
      </c>
      <c r="L122" s="1614" t="s">
        <v>354</v>
      </c>
      <c r="M122" s="165"/>
      <c r="N122" s="585"/>
      <c r="O122" s="451" t="s">
        <v>163</v>
      </c>
      <c r="P122" s="452" t="s">
        <v>318</v>
      </c>
      <c r="Q122" s="452" t="s">
        <v>164</v>
      </c>
      <c r="R122" s="1575" t="s">
        <v>357</v>
      </c>
      <c r="S122" s="1533" t="s">
        <v>358</v>
      </c>
      <c r="V122" s="528">
        <v>2</v>
      </c>
      <c r="W122" s="173" t="s">
        <v>99</v>
      </c>
      <c r="X122" s="173" t="s">
        <v>78</v>
      </c>
      <c r="Y122" s="173">
        <v>1.0000000000000001E-5</v>
      </c>
      <c r="Z122" s="221" t="s">
        <v>132</v>
      </c>
      <c r="AM122" s="158"/>
      <c r="AN122" s="158"/>
      <c r="AO122" s="158"/>
      <c r="AP122" s="158"/>
      <c r="AQ122" s="158"/>
      <c r="AR122" s="158"/>
      <c r="AS122" s="158"/>
      <c r="AT122" s="158"/>
      <c r="AU122" s="158"/>
      <c r="AV122" s="158"/>
      <c r="AW122" s="158"/>
      <c r="AX122" s="158"/>
      <c r="AY122" s="158"/>
      <c r="AZ122" s="158"/>
    </row>
    <row r="123" spans="1:52" ht="30" customHeight="1" x14ac:dyDescent="0.2">
      <c r="A123" s="1509"/>
      <c r="B123" s="1510"/>
      <c r="C123" s="1551"/>
      <c r="D123" s="1554"/>
      <c r="E123" s="1623"/>
      <c r="F123" s="586">
        <v>24.7</v>
      </c>
      <c r="G123" s="587">
        <v>0.1</v>
      </c>
      <c r="H123" s="588">
        <v>0</v>
      </c>
      <c r="I123" s="589">
        <v>0.2</v>
      </c>
      <c r="J123" s="1617"/>
      <c r="K123" s="1609"/>
      <c r="L123" s="1615"/>
      <c r="M123" s="165"/>
      <c r="N123" s="590" t="s">
        <v>188</v>
      </c>
      <c r="O123" s="453">
        <f>MAX(I122:I124)</f>
        <v>0.3</v>
      </c>
      <c r="P123" s="453">
        <f>MAX(I125:I127)</f>
        <v>1.7</v>
      </c>
      <c r="Q123" s="454">
        <f>MAX(I128:I130)</f>
        <v>9.6000000000000002E-2</v>
      </c>
      <c r="R123" s="1576"/>
      <c r="S123" s="1534"/>
      <c r="V123" s="528">
        <v>3</v>
      </c>
      <c r="W123" s="173" t="s">
        <v>75</v>
      </c>
      <c r="X123" s="173">
        <v>31301283</v>
      </c>
      <c r="Y123" s="174">
        <v>1E-3</v>
      </c>
      <c r="Z123" s="221" t="s">
        <v>133</v>
      </c>
      <c r="AM123" s="158"/>
      <c r="AN123" s="158"/>
      <c r="AO123" s="158"/>
      <c r="AP123" s="158"/>
      <c r="AQ123" s="158"/>
      <c r="AR123" s="158"/>
      <c r="AS123" s="158"/>
      <c r="AT123" s="158"/>
      <c r="AU123" s="158"/>
      <c r="AV123" s="158"/>
      <c r="AW123" s="158"/>
      <c r="AX123" s="158"/>
      <c r="AY123" s="158"/>
      <c r="AZ123" s="158"/>
    </row>
    <row r="124" spans="1:52" ht="30" customHeight="1" thickBot="1" x14ac:dyDescent="0.25">
      <c r="A124" s="1511"/>
      <c r="B124" s="1512"/>
      <c r="C124" s="1551"/>
      <c r="D124" s="1554"/>
      <c r="E124" s="1623"/>
      <c r="F124" s="591">
        <v>29.5</v>
      </c>
      <c r="G124" s="592">
        <v>0.1</v>
      </c>
      <c r="H124" s="593">
        <v>-0.1</v>
      </c>
      <c r="I124" s="594">
        <v>0.2</v>
      </c>
      <c r="J124" s="1617"/>
      <c r="K124" s="1618"/>
      <c r="L124" s="1616"/>
      <c r="M124" s="165"/>
      <c r="N124" s="595"/>
      <c r="O124" s="455"/>
      <c r="P124" s="456"/>
      <c r="Q124" s="456"/>
      <c r="R124" s="1577"/>
      <c r="S124" s="1535"/>
      <c r="V124" s="528">
        <v>4</v>
      </c>
      <c r="W124" s="173" t="s">
        <v>75</v>
      </c>
      <c r="X124" s="173">
        <v>34508523</v>
      </c>
      <c r="Y124" s="173">
        <v>0.01</v>
      </c>
      <c r="Z124" s="221" t="s">
        <v>155</v>
      </c>
      <c r="AM124" s="158"/>
      <c r="AN124" s="158"/>
      <c r="AO124" s="158"/>
      <c r="AP124" s="158"/>
      <c r="AQ124" s="158"/>
      <c r="AR124" s="158"/>
      <c r="AS124" s="158"/>
      <c r="AT124" s="158"/>
      <c r="AU124" s="158"/>
      <c r="AV124" s="158"/>
      <c r="AW124" s="158"/>
      <c r="AX124" s="158"/>
      <c r="AY124" s="158"/>
      <c r="AZ124" s="158"/>
    </row>
    <row r="125" spans="1:52" ht="30" customHeight="1" x14ac:dyDescent="0.2">
      <c r="A125" s="1507" t="s">
        <v>189</v>
      </c>
      <c r="B125" s="1508"/>
      <c r="C125" s="1551"/>
      <c r="D125" s="1554"/>
      <c r="E125" s="1623"/>
      <c r="F125" s="581">
        <v>33.299999999999997</v>
      </c>
      <c r="G125" s="582">
        <v>0.1</v>
      </c>
      <c r="H125" s="582">
        <v>-3.3</v>
      </c>
      <c r="I125" s="584">
        <v>1.7</v>
      </c>
      <c r="J125" s="1617">
        <v>2</v>
      </c>
      <c r="K125" s="1608">
        <v>44020</v>
      </c>
      <c r="L125" s="1619" t="s">
        <v>355</v>
      </c>
      <c r="M125" s="165"/>
      <c r="N125" s="169"/>
      <c r="O125" s="165"/>
      <c r="P125" s="165"/>
      <c r="Q125" s="165"/>
      <c r="R125" s="165"/>
      <c r="S125" s="175"/>
      <c r="V125" s="528">
        <v>5</v>
      </c>
      <c r="W125" s="173" t="s">
        <v>75</v>
      </c>
      <c r="X125" s="173">
        <v>29605076</v>
      </c>
      <c r="Y125" s="176">
        <v>0.1</v>
      </c>
      <c r="Z125" s="221" t="s">
        <v>134</v>
      </c>
      <c r="AM125" s="158"/>
      <c r="AN125" s="158"/>
      <c r="AO125" s="158"/>
      <c r="AP125" s="158"/>
      <c r="AQ125" s="158"/>
      <c r="AR125" s="158"/>
      <c r="AS125" s="158"/>
      <c r="AT125" s="158"/>
      <c r="AU125" s="158"/>
      <c r="AV125" s="158"/>
      <c r="AW125" s="158"/>
      <c r="AX125" s="158"/>
      <c r="AY125" s="158"/>
      <c r="AZ125" s="158"/>
    </row>
    <row r="126" spans="1:52" ht="30" customHeight="1" thickBot="1" x14ac:dyDescent="0.25">
      <c r="A126" s="1509"/>
      <c r="B126" s="1510"/>
      <c r="C126" s="1551"/>
      <c r="D126" s="1554"/>
      <c r="E126" s="1623"/>
      <c r="F126" s="596">
        <v>51.2</v>
      </c>
      <c r="G126" s="587">
        <v>0.1</v>
      </c>
      <c r="H126" s="588">
        <v>-1.3</v>
      </c>
      <c r="I126" s="589">
        <v>1.7</v>
      </c>
      <c r="J126" s="1617"/>
      <c r="K126" s="1609"/>
      <c r="L126" s="1620"/>
      <c r="M126" s="165"/>
      <c r="N126" s="169"/>
      <c r="O126" s="165"/>
      <c r="P126" s="165"/>
      <c r="Q126" s="165"/>
      <c r="R126" s="165"/>
      <c r="S126" s="175"/>
      <c r="V126" s="526">
        <v>6</v>
      </c>
      <c r="W126" s="177" t="s">
        <v>75</v>
      </c>
      <c r="X126" s="177">
        <v>29605077</v>
      </c>
      <c r="Y126" s="177">
        <v>0.1</v>
      </c>
      <c r="Z126" s="220" t="s">
        <v>135</v>
      </c>
      <c r="AM126" s="158"/>
      <c r="AN126" s="158"/>
      <c r="AO126" s="158"/>
      <c r="AP126" s="158"/>
      <c r="AQ126" s="158"/>
      <c r="AR126" s="158"/>
      <c r="AS126" s="158"/>
      <c r="AT126" s="158"/>
      <c r="AU126" s="158"/>
      <c r="AV126" s="158"/>
      <c r="AW126" s="158"/>
      <c r="AX126" s="158"/>
      <c r="AY126" s="158"/>
      <c r="AZ126" s="158"/>
    </row>
    <row r="127" spans="1:52" ht="30" customHeight="1" thickBot="1" x14ac:dyDescent="0.25">
      <c r="A127" s="1511"/>
      <c r="B127" s="1512"/>
      <c r="C127" s="1551"/>
      <c r="D127" s="1554"/>
      <c r="E127" s="1623"/>
      <c r="F127" s="597">
        <v>77.099999999999994</v>
      </c>
      <c r="G127" s="592">
        <v>0.1</v>
      </c>
      <c r="H127" s="593">
        <v>3</v>
      </c>
      <c r="I127" s="594">
        <v>1.7</v>
      </c>
      <c r="J127" s="1617"/>
      <c r="K127" s="1618"/>
      <c r="L127" s="1621"/>
      <c r="M127" s="165"/>
      <c r="N127" s="169"/>
      <c r="O127" s="165"/>
      <c r="P127" s="165"/>
      <c r="Q127" s="165"/>
      <c r="R127" s="165"/>
      <c r="S127" s="175"/>
      <c r="AM127" s="158"/>
      <c r="AN127" s="158"/>
      <c r="AO127" s="158"/>
      <c r="AP127" s="158"/>
      <c r="AQ127" s="158"/>
      <c r="AR127" s="158"/>
      <c r="AS127" s="158"/>
      <c r="AT127" s="158"/>
      <c r="AU127" s="158"/>
      <c r="AV127" s="158"/>
      <c r="AW127" s="158"/>
      <c r="AX127" s="158"/>
      <c r="AY127" s="158"/>
      <c r="AZ127" s="158"/>
    </row>
    <row r="128" spans="1:52" ht="30" customHeight="1" thickBot="1" x14ac:dyDescent="0.25">
      <c r="A128" s="1507" t="s">
        <v>261</v>
      </c>
      <c r="B128" s="1508"/>
      <c r="C128" s="1551"/>
      <c r="D128" s="1554"/>
      <c r="E128" s="1623"/>
      <c r="F128" s="581">
        <v>598.03200000000004</v>
      </c>
      <c r="G128" s="582">
        <v>0.1</v>
      </c>
      <c r="H128" s="598">
        <v>1.534</v>
      </c>
      <c r="I128" s="599">
        <v>0.08</v>
      </c>
      <c r="J128" s="1536">
        <v>2</v>
      </c>
      <c r="K128" s="1608">
        <v>43980</v>
      </c>
      <c r="L128" s="1611" t="s">
        <v>356</v>
      </c>
      <c r="M128" s="165"/>
      <c r="N128" s="169"/>
      <c r="O128" s="165"/>
      <c r="P128" s="165"/>
      <c r="Q128" s="165"/>
      <c r="R128" s="165"/>
      <c r="S128" s="175"/>
      <c r="AM128" s="158"/>
      <c r="AN128" s="158"/>
      <c r="AY128" s="158"/>
      <c r="AZ128" s="158"/>
    </row>
    <row r="129" spans="1:52" ht="30" customHeight="1" x14ac:dyDescent="0.2">
      <c r="A129" s="1509"/>
      <c r="B129" s="1510"/>
      <c r="C129" s="1551"/>
      <c r="D129" s="1554"/>
      <c r="E129" s="1623"/>
      <c r="F129" s="586">
        <v>752.71299999999997</v>
      </c>
      <c r="G129" s="587">
        <v>0.1</v>
      </c>
      <c r="H129" s="600">
        <v>1.0549999999999999</v>
      </c>
      <c r="I129" s="601">
        <v>8.4000000000000005E-2</v>
      </c>
      <c r="J129" s="1537"/>
      <c r="K129" s="1609"/>
      <c r="L129" s="1612"/>
      <c r="M129" s="165"/>
      <c r="N129" s="169"/>
      <c r="O129" s="165"/>
      <c r="P129" s="165"/>
      <c r="Q129" s="165"/>
      <c r="R129" s="165"/>
      <c r="S129" s="175"/>
      <c r="V129" s="1518" t="s">
        <v>160</v>
      </c>
      <c r="W129" s="1519"/>
      <c r="X129" s="1520"/>
      <c r="Y129" s="1518" t="s">
        <v>160</v>
      </c>
      <c r="Z129" s="1519"/>
      <c r="AA129" s="1520"/>
      <c r="AM129" s="158"/>
      <c r="AN129" s="158"/>
      <c r="AY129" s="158"/>
      <c r="AZ129" s="158"/>
    </row>
    <row r="130" spans="1:52" ht="30" customHeight="1" thickBot="1" x14ac:dyDescent="0.25">
      <c r="A130" s="1511"/>
      <c r="B130" s="1512"/>
      <c r="C130" s="1552"/>
      <c r="D130" s="1555"/>
      <c r="E130" s="1624"/>
      <c r="F130" s="602">
        <v>848.5</v>
      </c>
      <c r="G130" s="592">
        <v>0.1</v>
      </c>
      <c r="H130" s="603">
        <v>0.77800000000000002</v>
      </c>
      <c r="I130" s="604">
        <v>9.6000000000000002E-2</v>
      </c>
      <c r="J130" s="1538"/>
      <c r="K130" s="1610"/>
      <c r="L130" s="1613"/>
      <c r="M130" s="165"/>
      <c r="N130" s="169"/>
      <c r="O130" s="165"/>
      <c r="P130" s="165"/>
      <c r="Q130" s="165"/>
      <c r="R130" s="165"/>
      <c r="S130" s="175"/>
      <c r="V130" s="1521"/>
      <c r="W130" s="1522"/>
      <c r="X130" s="1523"/>
      <c r="Y130" s="1521"/>
      <c r="Z130" s="1522"/>
      <c r="AA130" s="1523"/>
      <c r="AM130" s="158"/>
      <c r="AN130" s="158"/>
      <c r="AY130" s="158"/>
      <c r="AZ130" s="158"/>
    </row>
    <row r="131" spans="1:52" ht="30" customHeight="1" thickBot="1" x14ac:dyDescent="0.25">
      <c r="A131" s="169"/>
      <c r="B131" s="165"/>
      <c r="C131" s="165"/>
      <c r="D131" s="165"/>
      <c r="E131" s="165"/>
      <c r="F131" s="165"/>
      <c r="G131" s="165"/>
      <c r="H131" s="165"/>
      <c r="I131" s="165"/>
      <c r="J131" s="165"/>
      <c r="K131" s="165"/>
      <c r="L131" s="165"/>
      <c r="M131" s="165"/>
      <c r="N131" s="169"/>
      <c r="O131" s="165"/>
      <c r="P131" s="165"/>
      <c r="Q131" s="165"/>
      <c r="R131" s="165"/>
      <c r="S131" s="175"/>
      <c r="V131" s="1548" t="s">
        <v>208</v>
      </c>
      <c r="W131" s="1549"/>
      <c r="X131" s="1550"/>
      <c r="Y131" s="1548" t="s">
        <v>541</v>
      </c>
      <c r="Z131" s="1549"/>
      <c r="AA131" s="1550"/>
      <c r="AM131" s="158"/>
      <c r="AN131" s="158"/>
      <c r="AY131" s="158"/>
      <c r="AZ131" s="158"/>
    </row>
    <row r="132" spans="1:52" ht="30" customHeight="1" thickBot="1" x14ac:dyDescent="0.25">
      <c r="A132" s="1561" t="s">
        <v>186</v>
      </c>
      <c r="B132" s="1562"/>
      <c r="C132" s="1515" t="s">
        <v>190</v>
      </c>
      <c r="D132" s="1567" t="s">
        <v>154</v>
      </c>
      <c r="E132" s="1556">
        <v>19506160802033</v>
      </c>
      <c r="F132" s="605">
        <v>15.3</v>
      </c>
      <c r="G132" s="606">
        <v>0.1</v>
      </c>
      <c r="H132" s="606">
        <v>-0.1</v>
      </c>
      <c r="I132" s="607">
        <v>0.3</v>
      </c>
      <c r="J132" s="1570">
        <v>2</v>
      </c>
      <c r="K132" s="1575">
        <v>44000</v>
      </c>
      <c r="L132" s="1533" t="s">
        <v>359</v>
      </c>
      <c r="M132" s="165"/>
      <c r="N132" s="585"/>
      <c r="O132" s="457" t="s">
        <v>163</v>
      </c>
      <c r="P132" s="458" t="s">
        <v>318</v>
      </c>
      <c r="Q132" s="458" t="s">
        <v>164</v>
      </c>
      <c r="R132" s="1575" t="s">
        <v>362</v>
      </c>
      <c r="S132" s="1533" t="s">
        <v>363</v>
      </c>
      <c r="V132" s="608"/>
      <c r="W132" s="609"/>
      <c r="X132" s="610"/>
      <c r="Y132" s="608"/>
      <c r="Z132" s="609"/>
      <c r="AA132" s="610"/>
      <c r="AM132" s="158"/>
      <c r="AN132" s="158"/>
      <c r="AY132" s="158"/>
      <c r="AZ132" s="158"/>
    </row>
    <row r="133" spans="1:52" ht="30" customHeight="1" thickBot="1" x14ac:dyDescent="0.25">
      <c r="A133" s="1563"/>
      <c r="B133" s="1564"/>
      <c r="C133" s="1551"/>
      <c r="D133" s="1568"/>
      <c r="E133" s="1557"/>
      <c r="F133" s="611">
        <v>24.5</v>
      </c>
      <c r="G133" s="612">
        <v>0.1</v>
      </c>
      <c r="H133" s="612">
        <v>0.3</v>
      </c>
      <c r="I133" s="613">
        <v>0.3</v>
      </c>
      <c r="J133" s="1525"/>
      <c r="K133" s="1528"/>
      <c r="L133" s="1531"/>
      <c r="M133" s="165"/>
      <c r="N133" s="590" t="s">
        <v>191</v>
      </c>
      <c r="O133" s="453">
        <f>MAX(I132:I134)</f>
        <v>0.3</v>
      </c>
      <c r="P133" s="459">
        <f>MAX(I135:I137)</f>
        <v>1.7</v>
      </c>
      <c r="Q133" s="460">
        <f>MAX(I138:I140)</f>
        <v>0.15</v>
      </c>
      <c r="R133" s="1576"/>
      <c r="S133" s="1534"/>
      <c r="V133" s="314" t="s">
        <v>159</v>
      </c>
      <c r="W133" s="315" t="s">
        <v>202</v>
      </c>
      <c r="X133" s="316" t="s">
        <v>283</v>
      </c>
      <c r="Y133" s="314" t="s">
        <v>159</v>
      </c>
      <c r="Z133" s="315" t="s">
        <v>202</v>
      </c>
      <c r="AA133" s="316" t="s">
        <v>283</v>
      </c>
      <c r="AM133" s="158"/>
      <c r="AN133" s="158"/>
      <c r="AY133" s="158"/>
      <c r="AZ133" s="158"/>
    </row>
    <row r="134" spans="1:52" ht="30" customHeight="1" thickBot="1" x14ac:dyDescent="0.25">
      <c r="A134" s="1565"/>
      <c r="B134" s="1566"/>
      <c r="C134" s="1551"/>
      <c r="D134" s="1568"/>
      <c r="E134" s="1557"/>
      <c r="F134" s="614">
        <v>29.5</v>
      </c>
      <c r="G134" s="615">
        <v>0.1</v>
      </c>
      <c r="H134" s="615">
        <v>0.2</v>
      </c>
      <c r="I134" s="616">
        <v>0.3</v>
      </c>
      <c r="J134" s="1526"/>
      <c r="K134" s="1529"/>
      <c r="L134" s="1532"/>
      <c r="M134" s="165"/>
      <c r="N134" s="617"/>
      <c r="O134" s="455"/>
      <c r="P134" s="456"/>
      <c r="Q134" s="456"/>
      <c r="R134" s="1577"/>
      <c r="S134" s="1535"/>
      <c r="V134" s="317">
        <v>1</v>
      </c>
      <c r="W134" s="420">
        <v>0.33</v>
      </c>
      <c r="X134" s="866">
        <v>1</v>
      </c>
      <c r="Y134" s="870" t="s">
        <v>484</v>
      </c>
      <c r="Z134" s="931">
        <v>0.06</v>
      </c>
      <c r="AA134" s="929">
        <v>0.2</v>
      </c>
      <c r="AM134" s="158"/>
      <c r="AN134" s="158"/>
      <c r="AY134" s="158"/>
      <c r="AZ134" s="158"/>
    </row>
    <row r="135" spans="1:52" ht="30" customHeight="1" x14ac:dyDescent="0.2">
      <c r="A135" s="1507" t="s">
        <v>189</v>
      </c>
      <c r="B135" s="1508"/>
      <c r="C135" s="1551"/>
      <c r="D135" s="1568"/>
      <c r="E135" s="1557"/>
      <c r="F135" s="618">
        <v>32.4</v>
      </c>
      <c r="G135" s="619">
        <v>0.1</v>
      </c>
      <c r="H135" s="619">
        <v>-2.4</v>
      </c>
      <c r="I135" s="620">
        <v>1.7</v>
      </c>
      <c r="J135" s="1524">
        <v>2</v>
      </c>
      <c r="K135" s="1527">
        <v>44001</v>
      </c>
      <c r="L135" s="1530" t="s">
        <v>360</v>
      </c>
      <c r="M135" s="165"/>
      <c r="N135" s="178"/>
      <c r="O135" s="165"/>
      <c r="P135" s="165"/>
      <c r="Q135" s="165"/>
      <c r="R135" s="165"/>
      <c r="S135" s="179"/>
      <c r="V135" s="306">
        <v>2</v>
      </c>
      <c r="W135" s="421">
        <v>0.4</v>
      </c>
      <c r="X135" s="869">
        <v>1.2</v>
      </c>
      <c r="Y135" s="871" t="s">
        <v>485</v>
      </c>
      <c r="Z135" s="932">
        <v>0.06</v>
      </c>
      <c r="AA135" s="929">
        <v>0.2</v>
      </c>
      <c r="AM135" s="158"/>
      <c r="AN135" s="158"/>
      <c r="AO135" s="158"/>
      <c r="AP135" s="158"/>
      <c r="AQ135" s="158"/>
      <c r="AR135" s="158"/>
      <c r="AS135" s="158"/>
      <c r="AT135" s="158"/>
      <c r="AU135" s="158"/>
      <c r="AV135" s="158"/>
      <c r="AW135" s="158"/>
      <c r="AX135" s="158"/>
      <c r="AY135" s="158"/>
      <c r="AZ135" s="158"/>
    </row>
    <row r="136" spans="1:52" ht="30" customHeight="1" x14ac:dyDescent="0.2">
      <c r="A136" s="1509"/>
      <c r="B136" s="1510"/>
      <c r="C136" s="1551"/>
      <c r="D136" s="1568"/>
      <c r="E136" s="1557"/>
      <c r="F136" s="611">
        <v>50.2</v>
      </c>
      <c r="G136" s="621">
        <v>0.1</v>
      </c>
      <c r="H136" s="621">
        <v>-0.2</v>
      </c>
      <c r="I136" s="613">
        <v>1.7</v>
      </c>
      <c r="J136" s="1525"/>
      <c r="K136" s="1528"/>
      <c r="L136" s="1531"/>
      <c r="M136" s="165"/>
      <c r="N136" s="169"/>
      <c r="O136" s="165"/>
      <c r="P136" s="165"/>
      <c r="Q136" s="165"/>
      <c r="R136" s="165"/>
      <c r="S136" s="179"/>
      <c r="V136" s="306">
        <v>2</v>
      </c>
      <c r="W136" s="421">
        <v>0.4</v>
      </c>
      <c r="X136" s="867">
        <v>1.2</v>
      </c>
      <c r="Y136" s="871" t="s">
        <v>488</v>
      </c>
      <c r="Z136" s="932">
        <v>0.06</v>
      </c>
      <c r="AA136" s="929">
        <v>0.2</v>
      </c>
      <c r="AM136" s="158"/>
      <c r="AN136" s="158"/>
      <c r="AO136" s="158"/>
      <c r="AP136" s="158"/>
      <c r="AQ136" s="158"/>
      <c r="AR136" s="158"/>
      <c r="AS136" s="158"/>
      <c r="AT136" s="158"/>
      <c r="AU136" s="158"/>
      <c r="AV136" s="158"/>
      <c r="AW136" s="158"/>
      <c r="AX136" s="158"/>
      <c r="AY136" s="158"/>
      <c r="AZ136" s="158"/>
    </row>
    <row r="137" spans="1:52" ht="30" customHeight="1" thickBot="1" x14ac:dyDescent="0.25">
      <c r="A137" s="1511"/>
      <c r="B137" s="1512"/>
      <c r="C137" s="1551"/>
      <c r="D137" s="1568"/>
      <c r="E137" s="1557"/>
      <c r="F137" s="614">
        <v>76.099999999999994</v>
      </c>
      <c r="G137" s="622">
        <v>0.1</v>
      </c>
      <c r="H137" s="622">
        <v>3.9</v>
      </c>
      <c r="I137" s="616">
        <v>1.7</v>
      </c>
      <c r="J137" s="1526"/>
      <c r="K137" s="1529"/>
      <c r="L137" s="1532"/>
      <c r="M137" s="165"/>
      <c r="N137" s="169"/>
      <c r="O137" s="165"/>
      <c r="P137" s="165"/>
      <c r="Q137" s="165"/>
      <c r="R137" s="165"/>
      <c r="S137" s="179"/>
      <c r="V137" s="306">
        <v>5</v>
      </c>
      <c r="W137" s="421">
        <v>0.53</v>
      </c>
      <c r="X137" s="867">
        <v>1.6</v>
      </c>
      <c r="Y137" s="871" t="s">
        <v>486</v>
      </c>
      <c r="Z137" s="932">
        <v>0.06</v>
      </c>
      <c r="AA137" s="929">
        <v>0.2</v>
      </c>
      <c r="AM137" s="158"/>
      <c r="AN137" s="158"/>
      <c r="AO137" s="158"/>
      <c r="AP137" s="158"/>
      <c r="AQ137" s="158"/>
      <c r="AR137" s="158"/>
      <c r="AS137" s="158"/>
      <c r="AT137" s="158"/>
      <c r="AU137" s="158"/>
      <c r="AV137" s="158"/>
      <c r="AW137" s="158"/>
      <c r="AX137" s="158"/>
      <c r="AY137" s="158"/>
      <c r="AZ137" s="158"/>
    </row>
    <row r="138" spans="1:52" ht="30" customHeight="1" x14ac:dyDescent="0.2">
      <c r="A138" s="1507" t="s">
        <v>261</v>
      </c>
      <c r="B138" s="1508"/>
      <c r="C138" s="1551"/>
      <c r="D138" s="1568"/>
      <c r="E138" s="1557"/>
      <c r="F138" s="623">
        <v>397.70400000000001</v>
      </c>
      <c r="G138" s="624">
        <v>0.1</v>
      </c>
      <c r="H138" s="625">
        <v>2.25</v>
      </c>
      <c r="I138" s="626">
        <v>0.12</v>
      </c>
      <c r="J138" s="1524">
        <v>2</v>
      </c>
      <c r="K138" s="1527">
        <v>43980</v>
      </c>
      <c r="L138" s="1530" t="s">
        <v>361</v>
      </c>
      <c r="M138" s="165"/>
      <c r="N138" s="169"/>
      <c r="O138" s="165"/>
      <c r="P138" s="165"/>
      <c r="Q138" s="165"/>
      <c r="R138" s="165"/>
      <c r="S138" s="179"/>
      <c r="V138" s="306">
        <v>10</v>
      </c>
      <c r="W138" s="421">
        <v>0.67</v>
      </c>
      <c r="X138" s="867">
        <v>2</v>
      </c>
      <c r="Y138" s="871" t="s">
        <v>487</v>
      </c>
      <c r="Z138" s="932">
        <v>0.08</v>
      </c>
      <c r="AA138" s="929">
        <v>0.25</v>
      </c>
      <c r="AB138" s="158"/>
      <c r="AM138" s="158"/>
      <c r="AN138" s="158"/>
      <c r="AO138" s="158"/>
      <c r="AP138" s="158"/>
      <c r="AQ138" s="158"/>
      <c r="AR138" s="158"/>
      <c r="AS138" s="158"/>
      <c r="AT138" s="158"/>
      <c r="AU138" s="158"/>
      <c r="AV138" s="158"/>
      <c r="AW138" s="158"/>
      <c r="AX138" s="158"/>
      <c r="AY138" s="158"/>
      <c r="AZ138" s="158"/>
    </row>
    <row r="139" spans="1:52" ht="30" customHeight="1" x14ac:dyDescent="0.2">
      <c r="A139" s="1509"/>
      <c r="B139" s="1510"/>
      <c r="C139" s="1551"/>
      <c r="D139" s="1568"/>
      <c r="E139" s="1557"/>
      <c r="F139" s="611">
        <v>752.71299999999997</v>
      </c>
      <c r="G139" s="621">
        <v>0.1</v>
      </c>
      <c r="H139" s="627">
        <v>1.0549999999999999</v>
      </c>
      <c r="I139" s="628">
        <v>8.4000000000000005E-2</v>
      </c>
      <c r="J139" s="1525"/>
      <c r="K139" s="1528"/>
      <c r="L139" s="1531"/>
      <c r="M139" s="165"/>
      <c r="N139" s="169"/>
      <c r="O139" s="165"/>
      <c r="P139" s="165"/>
      <c r="Q139" s="165"/>
      <c r="R139" s="165"/>
      <c r="S139" s="179"/>
      <c r="V139" s="306">
        <v>20</v>
      </c>
      <c r="W139" s="421">
        <v>0.83</v>
      </c>
      <c r="X139" s="867">
        <v>2.5</v>
      </c>
      <c r="Y139" s="871" t="s">
        <v>489</v>
      </c>
      <c r="Z139" s="932">
        <v>0.1</v>
      </c>
      <c r="AA139" s="930">
        <v>0.3</v>
      </c>
      <c r="AB139" s="158"/>
      <c r="AM139" s="158"/>
      <c r="AN139" s="158"/>
      <c r="AO139" s="158"/>
      <c r="AV139" s="158"/>
      <c r="AW139" s="158"/>
      <c r="AX139" s="158"/>
      <c r="AY139" s="158"/>
      <c r="AZ139" s="158"/>
    </row>
    <row r="140" spans="1:52" ht="30" customHeight="1" thickBot="1" x14ac:dyDescent="0.25">
      <c r="A140" s="1511"/>
      <c r="B140" s="1512"/>
      <c r="C140" s="1552"/>
      <c r="D140" s="1569"/>
      <c r="E140" s="1558"/>
      <c r="F140" s="629">
        <v>1098.79</v>
      </c>
      <c r="G140" s="622">
        <v>0.1</v>
      </c>
      <c r="H140" s="630">
        <v>0.84</v>
      </c>
      <c r="I140" s="631">
        <v>0.15</v>
      </c>
      <c r="J140" s="1572"/>
      <c r="K140" s="1573"/>
      <c r="L140" s="1574"/>
      <c r="M140" s="165"/>
      <c r="N140" s="169"/>
      <c r="O140" s="165"/>
      <c r="P140" s="165"/>
      <c r="Q140" s="165"/>
      <c r="R140" s="165"/>
      <c r="S140" s="179"/>
      <c r="V140" s="306">
        <v>20</v>
      </c>
      <c r="W140" s="421">
        <v>0.83</v>
      </c>
      <c r="X140" s="867">
        <v>2.5</v>
      </c>
      <c r="Y140" s="871" t="s">
        <v>490</v>
      </c>
      <c r="Z140" s="932">
        <v>0.1</v>
      </c>
      <c r="AA140" s="930">
        <v>0.3</v>
      </c>
      <c r="AB140" s="158"/>
      <c r="AM140" s="158"/>
      <c r="AN140" s="158"/>
      <c r="AO140" s="158"/>
      <c r="AV140" s="158"/>
      <c r="AW140" s="158"/>
      <c r="AX140" s="158"/>
      <c r="AY140" s="158"/>
      <c r="AZ140" s="158"/>
    </row>
    <row r="141" spans="1:52" ht="30" customHeight="1" thickBot="1" x14ac:dyDescent="0.25">
      <c r="A141" s="632"/>
      <c r="B141" s="633"/>
      <c r="C141" s="180"/>
      <c r="D141" s="180"/>
      <c r="E141" s="634"/>
      <c r="F141" s="180"/>
      <c r="G141" s="180"/>
      <c r="H141" s="180"/>
      <c r="I141" s="180"/>
      <c r="J141" s="180"/>
      <c r="K141" s="635"/>
      <c r="L141" s="636"/>
      <c r="M141" s="165"/>
      <c r="N141" s="169"/>
      <c r="O141" s="165"/>
      <c r="P141" s="165"/>
      <c r="Q141" s="165"/>
      <c r="R141" s="165"/>
      <c r="S141" s="179"/>
      <c r="V141" s="306">
        <v>50</v>
      </c>
      <c r="W141" s="307">
        <v>1</v>
      </c>
      <c r="X141" s="867">
        <v>3</v>
      </c>
      <c r="Y141" s="871" t="s">
        <v>491</v>
      </c>
      <c r="Z141" s="932">
        <v>0.12</v>
      </c>
      <c r="AA141" s="930">
        <v>0.4</v>
      </c>
      <c r="AB141" s="158"/>
      <c r="AM141" s="158"/>
      <c r="AN141" s="158"/>
      <c r="AO141" s="158"/>
      <c r="AV141" s="158"/>
      <c r="AW141" s="158"/>
      <c r="AX141" s="158"/>
      <c r="AY141" s="158"/>
      <c r="AZ141" s="158"/>
    </row>
    <row r="142" spans="1:52" ht="30" customHeight="1" x14ac:dyDescent="0.2">
      <c r="A142" s="1507" t="s">
        <v>186</v>
      </c>
      <c r="B142" s="1508"/>
      <c r="C142" s="1515" t="s">
        <v>192</v>
      </c>
      <c r="D142" s="1553" t="s">
        <v>154</v>
      </c>
      <c r="E142" s="1556">
        <v>19406160802033</v>
      </c>
      <c r="F142" s="637">
        <v>15.3</v>
      </c>
      <c r="G142" s="638">
        <v>0.1</v>
      </c>
      <c r="H142" s="639">
        <v>-0.1</v>
      </c>
      <c r="I142" s="640">
        <v>0.3</v>
      </c>
      <c r="J142" s="1559">
        <v>2</v>
      </c>
      <c r="K142" s="1600">
        <v>43732</v>
      </c>
      <c r="L142" s="1601" t="s">
        <v>280</v>
      </c>
      <c r="M142" s="165"/>
      <c r="N142" s="585"/>
      <c r="O142" s="181" t="s">
        <v>163</v>
      </c>
      <c r="P142" s="182" t="s">
        <v>318</v>
      </c>
      <c r="Q142" s="182" t="s">
        <v>164</v>
      </c>
      <c r="R142" s="1605" t="s">
        <v>462</v>
      </c>
      <c r="S142" s="1602" t="s">
        <v>463</v>
      </c>
      <c r="U142" s="159" t="s">
        <v>282</v>
      </c>
      <c r="V142" s="306">
        <v>100</v>
      </c>
      <c r="W142" s="307">
        <v>1.7</v>
      </c>
      <c r="X142" s="867">
        <v>5</v>
      </c>
      <c r="Y142" s="871" t="s">
        <v>492</v>
      </c>
      <c r="Z142" s="932">
        <v>0.16</v>
      </c>
      <c r="AA142" s="930">
        <v>0.5</v>
      </c>
      <c r="AB142" s="158"/>
      <c r="AC142" s="158"/>
      <c r="AK142" s="158"/>
      <c r="AL142" s="158"/>
      <c r="AM142" s="158"/>
      <c r="AN142" s="158"/>
      <c r="AO142" s="158"/>
      <c r="AP142" s="158"/>
      <c r="AQ142" s="158"/>
      <c r="AR142" s="158"/>
      <c r="AS142" s="158"/>
      <c r="AT142" s="158"/>
      <c r="AU142" s="158"/>
      <c r="AV142" s="158"/>
      <c r="AW142" s="158"/>
      <c r="AX142" s="158"/>
      <c r="AY142" s="158"/>
      <c r="AZ142" s="158"/>
    </row>
    <row r="143" spans="1:52" ht="30" customHeight="1" x14ac:dyDescent="0.2">
      <c r="A143" s="1509"/>
      <c r="B143" s="1510"/>
      <c r="C143" s="1551"/>
      <c r="D143" s="1554"/>
      <c r="E143" s="1557"/>
      <c r="F143" s="641">
        <v>24.8</v>
      </c>
      <c r="G143" s="642">
        <v>0.1</v>
      </c>
      <c r="H143" s="643">
        <v>0</v>
      </c>
      <c r="I143" s="644">
        <v>0.3</v>
      </c>
      <c r="J143" s="1560"/>
      <c r="K143" s="1580"/>
      <c r="L143" s="1582"/>
      <c r="M143" s="165"/>
      <c r="N143" s="590" t="s">
        <v>193</v>
      </c>
      <c r="O143" s="183">
        <f>MAX(I142:I144)</f>
        <v>0.3</v>
      </c>
      <c r="P143" s="184">
        <f>MAX(I145:I147)</f>
        <v>1.7</v>
      </c>
      <c r="Q143" s="184">
        <f>MAX(I148:I150)</f>
        <v>0.14000000000000001</v>
      </c>
      <c r="R143" s="1606"/>
      <c r="S143" s="1603"/>
      <c r="V143" s="306">
        <v>200</v>
      </c>
      <c r="W143" s="307">
        <v>3.3</v>
      </c>
      <c r="X143" s="868">
        <v>10</v>
      </c>
      <c r="Y143" s="871" t="s">
        <v>493</v>
      </c>
      <c r="Z143" s="932">
        <v>0.2</v>
      </c>
      <c r="AA143" s="929">
        <v>0.6</v>
      </c>
      <c r="AB143" s="158"/>
      <c r="AC143" s="158"/>
      <c r="AK143" s="158"/>
      <c r="AL143" s="158"/>
      <c r="AM143" s="158"/>
      <c r="AN143" s="158"/>
      <c r="AO143" s="158"/>
      <c r="AP143" s="158"/>
      <c r="AQ143" s="158"/>
      <c r="AR143" s="158"/>
      <c r="AS143" s="158"/>
      <c r="AT143" s="158"/>
      <c r="AU143" s="158"/>
      <c r="AV143" s="158"/>
      <c r="AW143" s="158"/>
      <c r="AX143" s="158"/>
      <c r="AY143" s="158"/>
      <c r="AZ143" s="158"/>
    </row>
    <row r="144" spans="1:52" ht="30" customHeight="1" thickBot="1" x14ac:dyDescent="0.25">
      <c r="A144" s="1511"/>
      <c r="B144" s="1512"/>
      <c r="C144" s="1551"/>
      <c r="D144" s="1554"/>
      <c r="E144" s="1557"/>
      <c r="F144" s="645">
        <v>29.6</v>
      </c>
      <c r="G144" s="646">
        <v>0.1</v>
      </c>
      <c r="H144" s="647">
        <v>0.1</v>
      </c>
      <c r="I144" s="648">
        <v>0.3</v>
      </c>
      <c r="J144" s="1560"/>
      <c r="K144" s="1580"/>
      <c r="L144" s="1582"/>
      <c r="M144" s="165"/>
      <c r="N144" s="595"/>
      <c r="O144" s="185"/>
      <c r="P144" s="186"/>
      <c r="Q144" s="186"/>
      <c r="R144" s="1607"/>
      <c r="S144" s="1604"/>
      <c r="V144" s="306">
        <v>200</v>
      </c>
      <c r="W144" s="307">
        <v>3.3</v>
      </c>
      <c r="X144" s="868">
        <v>10</v>
      </c>
      <c r="Y144" s="871" t="s">
        <v>494</v>
      </c>
      <c r="Z144" s="932">
        <v>0.2</v>
      </c>
      <c r="AA144" s="929">
        <v>0.6</v>
      </c>
      <c r="AB144" s="158"/>
      <c r="AC144" s="158"/>
      <c r="AK144" s="158"/>
      <c r="AL144" s="158"/>
      <c r="AM144" s="158"/>
      <c r="AN144" s="158"/>
      <c r="AO144" s="158"/>
      <c r="AP144" s="158"/>
      <c r="AQ144" s="158"/>
      <c r="AR144" s="158"/>
      <c r="AS144" s="158"/>
      <c r="AT144" s="158"/>
      <c r="AU144" s="158"/>
      <c r="AV144" s="158"/>
      <c r="AW144" s="158"/>
      <c r="AX144" s="158"/>
      <c r="AY144" s="158"/>
      <c r="AZ144" s="158"/>
    </row>
    <row r="145" spans="1:52" ht="30" customHeight="1" thickBot="1" x14ac:dyDescent="0.25">
      <c r="A145" s="1507" t="s">
        <v>189</v>
      </c>
      <c r="B145" s="1508"/>
      <c r="C145" s="1551"/>
      <c r="D145" s="1554"/>
      <c r="E145" s="1557"/>
      <c r="F145" s="649">
        <v>32.299999999999997</v>
      </c>
      <c r="G145" s="638">
        <v>0.1</v>
      </c>
      <c r="H145" s="638">
        <v>-2.2999999999999998</v>
      </c>
      <c r="I145" s="640">
        <v>1.7</v>
      </c>
      <c r="J145" s="1578">
        <v>2</v>
      </c>
      <c r="K145" s="1579">
        <v>43733</v>
      </c>
      <c r="L145" s="1581" t="s">
        <v>281</v>
      </c>
      <c r="M145" s="165"/>
      <c r="N145" s="169"/>
      <c r="O145" s="165"/>
      <c r="P145" s="165"/>
      <c r="Q145" s="165"/>
      <c r="R145" s="165"/>
      <c r="S145" s="179"/>
      <c r="V145" s="306">
        <v>500</v>
      </c>
      <c r="W145" s="307">
        <v>8.3000000000000007</v>
      </c>
      <c r="X145" s="868">
        <v>25</v>
      </c>
      <c r="Y145" s="872" t="s">
        <v>495</v>
      </c>
      <c r="Z145" s="933">
        <v>0.25</v>
      </c>
      <c r="AA145" s="929">
        <v>0.8</v>
      </c>
      <c r="AB145" s="158"/>
      <c r="AC145" s="158"/>
      <c r="AK145" s="158"/>
      <c r="AL145" s="158"/>
      <c r="AM145" s="158"/>
      <c r="AN145" s="158"/>
      <c r="AO145" s="158"/>
      <c r="AP145" s="158"/>
      <c r="AQ145" s="158"/>
      <c r="AR145" s="158"/>
      <c r="AS145" s="158"/>
      <c r="AT145" s="158"/>
      <c r="AU145" s="158"/>
      <c r="AV145" s="158"/>
      <c r="AW145" s="158"/>
      <c r="AX145" s="158"/>
      <c r="AY145" s="158"/>
      <c r="AZ145" s="158"/>
    </row>
    <row r="146" spans="1:52" ht="30" customHeight="1" x14ac:dyDescent="0.2">
      <c r="A146" s="1509"/>
      <c r="B146" s="1510"/>
      <c r="C146" s="1551"/>
      <c r="D146" s="1554"/>
      <c r="E146" s="1557"/>
      <c r="F146" s="641">
        <v>50.6</v>
      </c>
      <c r="G146" s="642">
        <v>0.1</v>
      </c>
      <c r="H146" s="642">
        <v>-0.6</v>
      </c>
      <c r="I146" s="644">
        <v>1.7</v>
      </c>
      <c r="J146" s="1560">
        <v>2</v>
      </c>
      <c r="K146" s="1580"/>
      <c r="L146" s="1582"/>
      <c r="M146" s="165"/>
      <c r="N146" s="169"/>
      <c r="O146" s="165"/>
      <c r="P146" s="165"/>
      <c r="Q146" s="165"/>
      <c r="R146" s="165"/>
      <c r="S146" s="179"/>
      <c r="V146" s="309" t="s">
        <v>140</v>
      </c>
      <c r="W146" s="310">
        <v>17</v>
      </c>
      <c r="X146" s="308">
        <v>50</v>
      </c>
      <c r="AA146" s="158"/>
      <c r="AB146" s="158"/>
      <c r="AC146" s="158"/>
      <c r="AG146" s="158"/>
      <c r="AK146" s="158"/>
      <c r="AL146" s="158"/>
      <c r="AM146" s="158"/>
      <c r="AN146" s="158"/>
      <c r="AO146" s="158"/>
      <c r="AP146" s="158"/>
      <c r="AQ146" s="158"/>
      <c r="AR146" s="158"/>
      <c r="AS146" s="158"/>
      <c r="AT146" s="158"/>
      <c r="AU146" s="158"/>
      <c r="AV146" s="158"/>
      <c r="AW146" s="158"/>
      <c r="AX146" s="158"/>
      <c r="AY146" s="158"/>
      <c r="AZ146" s="158"/>
    </row>
    <row r="147" spans="1:52" ht="30" customHeight="1" thickBot="1" x14ac:dyDescent="0.25">
      <c r="A147" s="1511"/>
      <c r="B147" s="1512"/>
      <c r="C147" s="1551"/>
      <c r="D147" s="1554"/>
      <c r="E147" s="1557"/>
      <c r="F147" s="645">
        <v>68.599999999999994</v>
      </c>
      <c r="G147" s="647">
        <v>0.1</v>
      </c>
      <c r="H147" s="647">
        <v>1.4</v>
      </c>
      <c r="I147" s="648">
        <v>1.7</v>
      </c>
      <c r="J147" s="1560"/>
      <c r="K147" s="1580"/>
      <c r="L147" s="1582"/>
      <c r="M147" s="165"/>
      <c r="N147" s="169"/>
      <c r="O147" s="165"/>
      <c r="P147" s="165"/>
      <c r="Q147" s="165"/>
      <c r="R147" s="165"/>
      <c r="S147" s="179"/>
      <c r="V147" s="309" t="s">
        <v>141</v>
      </c>
      <c r="W147" s="310">
        <v>33</v>
      </c>
      <c r="X147" s="308">
        <v>100</v>
      </c>
      <c r="Z147" s="158"/>
      <c r="AA147" s="158"/>
      <c r="AB147" s="158"/>
      <c r="AC147" s="158"/>
      <c r="AG147" s="158"/>
      <c r="AK147" s="158"/>
      <c r="AL147" s="158"/>
      <c r="AM147" s="158"/>
      <c r="AN147" s="158"/>
      <c r="AO147" s="158"/>
      <c r="AP147" s="158"/>
      <c r="AQ147" s="158"/>
      <c r="AR147" s="158"/>
      <c r="AS147" s="158"/>
      <c r="AT147" s="158"/>
      <c r="AU147" s="158"/>
      <c r="AV147" s="158"/>
      <c r="AW147" s="158"/>
      <c r="AX147" s="158"/>
      <c r="AY147" s="158"/>
      <c r="AZ147" s="158"/>
    </row>
    <row r="148" spans="1:52" ht="30" customHeight="1" x14ac:dyDescent="0.2">
      <c r="A148" s="1507" t="s">
        <v>261</v>
      </c>
      <c r="B148" s="1508"/>
      <c r="C148" s="1551"/>
      <c r="D148" s="1554"/>
      <c r="E148" s="1557"/>
      <c r="F148" s="650">
        <v>397.74599999999998</v>
      </c>
      <c r="G148" s="651">
        <v>0.1</v>
      </c>
      <c r="H148" s="652">
        <v>2.33</v>
      </c>
      <c r="I148" s="653">
        <v>0.12</v>
      </c>
      <c r="J148" s="1539">
        <v>2</v>
      </c>
      <c r="K148" s="1542">
        <v>44106</v>
      </c>
      <c r="L148" s="1545" t="s">
        <v>461</v>
      </c>
      <c r="M148" s="165"/>
      <c r="N148" s="169"/>
      <c r="O148" s="165"/>
      <c r="P148" s="165"/>
      <c r="Q148" s="165"/>
      <c r="R148" s="165"/>
      <c r="S148" s="179"/>
      <c r="V148" s="309" t="s">
        <v>141</v>
      </c>
      <c r="W148" s="310">
        <v>33</v>
      </c>
      <c r="X148" s="308">
        <v>100</v>
      </c>
      <c r="Z148" s="158"/>
      <c r="AA148" s="158"/>
      <c r="AB148" s="158"/>
      <c r="AG148" s="158"/>
      <c r="AK148" s="158"/>
      <c r="AL148" s="158"/>
      <c r="AM148" s="158"/>
      <c r="AN148" s="158"/>
      <c r="AO148" s="158"/>
      <c r="AP148" s="158"/>
      <c r="AQ148" s="158"/>
      <c r="AR148" s="158"/>
      <c r="AS148" s="158"/>
      <c r="AT148" s="158"/>
      <c r="AU148" s="158"/>
      <c r="AV148" s="158"/>
      <c r="AW148" s="158"/>
      <c r="AX148" s="158"/>
      <c r="AY148" s="158"/>
      <c r="AZ148" s="158"/>
    </row>
    <row r="149" spans="1:52" ht="30" customHeight="1" x14ac:dyDescent="0.2">
      <c r="A149" s="1509"/>
      <c r="B149" s="1510"/>
      <c r="C149" s="1551"/>
      <c r="D149" s="1554"/>
      <c r="E149" s="1557"/>
      <c r="F149" s="586">
        <v>752.61900000000003</v>
      </c>
      <c r="G149" s="587">
        <v>0.1</v>
      </c>
      <c r="H149" s="600">
        <v>0.99099999999999999</v>
      </c>
      <c r="I149" s="654">
        <v>8.4000000000000005E-2</v>
      </c>
      <c r="J149" s="1540">
        <v>2</v>
      </c>
      <c r="K149" s="1543">
        <v>42671</v>
      </c>
      <c r="L149" s="1546" t="s">
        <v>194</v>
      </c>
      <c r="M149" s="165"/>
      <c r="N149" s="169"/>
      <c r="O149" s="165"/>
      <c r="P149" s="165"/>
      <c r="Q149" s="165"/>
      <c r="R149" s="165"/>
      <c r="S149" s="179"/>
      <c r="V149" s="309" t="s">
        <v>142</v>
      </c>
      <c r="W149" s="310">
        <v>83</v>
      </c>
      <c r="X149" s="308">
        <v>250</v>
      </c>
      <c r="Z149" s="158"/>
      <c r="AA149" s="158"/>
      <c r="AB149" s="158"/>
      <c r="AK149" s="158"/>
      <c r="AL149" s="158"/>
      <c r="AM149" s="158"/>
      <c r="AN149" s="158"/>
      <c r="AO149" s="158"/>
      <c r="AP149" s="158"/>
      <c r="AQ149" s="158"/>
      <c r="AR149" s="158"/>
      <c r="AS149" s="158"/>
      <c r="AT149" s="158"/>
      <c r="AU149" s="158"/>
      <c r="AV149" s="158"/>
      <c r="AW149" s="158"/>
      <c r="AX149" s="158"/>
      <c r="AY149" s="158"/>
      <c r="AZ149" s="158"/>
    </row>
    <row r="150" spans="1:52" ht="30" customHeight="1" thickBot="1" x14ac:dyDescent="0.25">
      <c r="A150" s="1511"/>
      <c r="B150" s="1512"/>
      <c r="C150" s="1552"/>
      <c r="D150" s="1555"/>
      <c r="E150" s="1558"/>
      <c r="F150" s="597">
        <v>1098.8340000000001</v>
      </c>
      <c r="G150" s="592">
        <v>0.1</v>
      </c>
      <c r="H150" s="655">
        <v>0.74</v>
      </c>
      <c r="I150" s="656">
        <v>0.14000000000000001</v>
      </c>
      <c r="J150" s="1541"/>
      <c r="K150" s="1544"/>
      <c r="L150" s="1547"/>
      <c r="M150" s="165"/>
      <c r="N150" s="169"/>
      <c r="O150" s="165"/>
      <c r="P150" s="165"/>
      <c r="Q150" s="165"/>
      <c r="R150" s="165"/>
      <c r="S150" s="179"/>
      <c r="V150" s="309" t="s">
        <v>143</v>
      </c>
      <c r="W150" s="311">
        <v>0.17</v>
      </c>
      <c r="X150" s="387">
        <v>0.5</v>
      </c>
      <c r="AA150" s="158"/>
      <c r="AB150" s="158"/>
      <c r="AK150" s="158"/>
      <c r="AL150" s="158"/>
      <c r="AM150" s="158"/>
      <c r="AN150" s="158"/>
      <c r="AO150" s="158"/>
      <c r="AP150" s="158"/>
      <c r="AQ150" s="158"/>
      <c r="AR150" s="158"/>
      <c r="AS150" s="158"/>
      <c r="AT150" s="158"/>
      <c r="AU150" s="158"/>
      <c r="AV150" s="158"/>
      <c r="AW150" s="158"/>
      <c r="AX150" s="158"/>
      <c r="AY150" s="158"/>
      <c r="AZ150" s="158"/>
    </row>
    <row r="151" spans="1:52" ht="30" customHeight="1" thickBot="1" x14ac:dyDescent="0.25">
      <c r="A151" s="187"/>
      <c r="B151" s="188"/>
      <c r="C151" s="165"/>
      <c r="D151" s="165"/>
      <c r="E151" s="165"/>
      <c r="F151" s="165"/>
      <c r="G151" s="165"/>
      <c r="H151" s="165"/>
      <c r="I151" s="165"/>
      <c r="J151" s="165"/>
      <c r="K151" s="165"/>
      <c r="L151" s="165"/>
      <c r="M151" s="165"/>
      <c r="N151" s="169"/>
      <c r="O151" s="165"/>
      <c r="P151" s="165"/>
      <c r="Q151" s="165"/>
      <c r="R151" s="165"/>
      <c r="S151" s="179"/>
      <c r="V151" s="312" t="s">
        <v>158</v>
      </c>
      <c r="W151" s="313">
        <v>0.33</v>
      </c>
      <c r="X151" s="398">
        <v>1</v>
      </c>
      <c r="AA151" s="158"/>
      <c r="AB151" s="158"/>
      <c r="AK151" s="158"/>
      <c r="AL151" s="158"/>
      <c r="AM151" s="158"/>
      <c r="AN151" s="158"/>
      <c r="AO151" s="158"/>
      <c r="AP151" s="158"/>
      <c r="AQ151" s="158"/>
      <c r="AR151" s="158"/>
      <c r="AS151" s="158"/>
      <c r="AT151" s="158"/>
      <c r="AU151" s="158"/>
      <c r="AV151" s="158"/>
      <c r="AW151" s="158"/>
      <c r="AX151" s="158"/>
      <c r="AY151" s="158"/>
      <c r="AZ151" s="158"/>
    </row>
    <row r="152" spans="1:52" ht="30" customHeight="1" x14ac:dyDescent="0.2">
      <c r="A152" s="1507" t="s">
        <v>186</v>
      </c>
      <c r="B152" s="1508"/>
      <c r="C152" s="1515" t="s">
        <v>195</v>
      </c>
      <c r="D152" s="1553" t="s">
        <v>154</v>
      </c>
      <c r="E152" s="1556" t="s">
        <v>196</v>
      </c>
      <c r="F152" s="618">
        <v>15.2</v>
      </c>
      <c r="G152" s="606">
        <v>0.1</v>
      </c>
      <c r="H152" s="657">
        <v>0</v>
      </c>
      <c r="I152" s="658">
        <v>0.3</v>
      </c>
      <c r="J152" s="1584">
        <v>2</v>
      </c>
      <c r="K152" s="1505">
        <v>44000</v>
      </c>
      <c r="L152" s="1506" t="s">
        <v>364</v>
      </c>
      <c r="M152" s="165"/>
      <c r="N152" s="585"/>
      <c r="O152" s="461" t="s">
        <v>163</v>
      </c>
      <c r="P152" s="462" t="s">
        <v>318</v>
      </c>
      <c r="Q152" s="462" t="s">
        <v>164</v>
      </c>
      <c r="R152" s="1575" t="s">
        <v>366</v>
      </c>
      <c r="S152" s="1533" t="s">
        <v>367</v>
      </c>
      <c r="AA152" s="158"/>
      <c r="AB152" s="158"/>
      <c r="AK152" s="158"/>
      <c r="AL152" s="158"/>
      <c r="AM152" s="158"/>
      <c r="AN152" s="158"/>
      <c r="AO152" s="158"/>
      <c r="AP152" s="158"/>
      <c r="AQ152" s="158"/>
      <c r="AR152" s="158"/>
      <c r="AS152" s="158"/>
      <c r="AT152" s="158"/>
      <c r="AU152" s="158"/>
    </row>
    <row r="153" spans="1:52" ht="30" customHeight="1" x14ac:dyDescent="0.2">
      <c r="A153" s="1509"/>
      <c r="B153" s="1510"/>
      <c r="C153" s="1516"/>
      <c r="D153" s="1554"/>
      <c r="E153" s="1557"/>
      <c r="F153" s="611">
        <v>24.8</v>
      </c>
      <c r="G153" s="612">
        <v>0.1</v>
      </c>
      <c r="H153" s="659">
        <v>0</v>
      </c>
      <c r="I153" s="660">
        <v>0.2</v>
      </c>
      <c r="J153" s="1514"/>
      <c r="K153" s="1500"/>
      <c r="L153" s="1503"/>
      <c r="M153" s="165"/>
      <c r="N153" s="661" t="s">
        <v>166</v>
      </c>
      <c r="O153" s="463">
        <f>MAX(I152:I154)</f>
        <v>0.3</v>
      </c>
      <c r="P153" s="464">
        <f>MAX(I155:I157)</f>
        <v>1.7</v>
      </c>
      <c r="Q153" s="464">
        <f>MAX(I158:I160)</f>
        <v>9.5000000000000001E-2</v>
      </c>
      <c r="R153" s="1576"/>
      <c r="S153" s="1534"/>
      <c r="AA153" s="158"/>
      <c r="AB153" s="158"/>
      <c r="AK153" s="158"/>
      <c r="AL153" s="158"/>
      <c r="AM153" s="158"/>
      <c r="AN153" s="158"/>
      <c r="AO153" s="158"/>
      <c r="AP153" s="158"/>
      <c r="AQ153" s="158"/>
      <c r="AR153" s="158"/>
      <c r="AS153" s="158"/>
      <c r="AT153" s="158"/>
      <c r="AU153" s="158"/>
    </row>
    <row r="154" spans="1:52" ht="30" customHeight="1" thickBot="1" x14ac:dyDescent="0.25">
      <c r="A154" s="1511"/>
      <c r="B154" s="1512"/>
      <c r="C154" s="1516"/>
      <c r="D154" s="1554"/>
      <c r="E154" s="1557"/>
      <c r="F154" s="662">
        <v>29.8</v>
      </c>
      <c r="G154" s="615">
        <v>0.1</v>
      </c>
      <c r="H154" s="663">
        <v>-0.1</v>
      </c>
      <c r="I154" s="664">
        <v>0.2</v>
      </c>
      <c r="J154" s="1514">
        <v>1.96</v>
      </c>
      <c r="K154" s="1500"/>
      <c r="L154" s="1503"/>
      <c r="M154" s="165"/>
      <c r="N154" s="665"/>
      <c r="O154" s="465"/>
      <c r="P154" s="456"/>
      <c r="Q154" s="456"/>
      <c r="R154" s="1577"/>
      <c r="S154" s="1535"/>
      <c r="U154" s="158"/>
      <c r="AA154" s="158"/>
      <c r="AB154" s="158"/>
      <c r="AK154" s="158"/>
      <c r="AL154" s="158"/>
      <c r="AM154" s="158"/>
      <c r="AN154" s="158"/>
      <c r="AO154" s="158"/>
      <c r="AP154" s="158"/>
      <c r="AQ154" s="158"/>
      <c r="AR154" s="158"/>
      <c r="AS154" s="158"/>
      <c r="AT154" s="158"/>
      <c r="AU154" s="158"/>
    </row>
    <row r="155" spans="1:52" ht="30" customHeight="1" x14ac:dyDescent="0.2">
      <c r="A155" s="1507" t="s">
        <v>189</v>
      </c>
      <c r="B155" s="1508"/>
      <c r="C155" s="1516"/>
      <c r="D155" s="1554"/>
      <c r="E155" s="1557"/>
      <c r="F155" s="618">
        <v>32.9</v>
      </c>
      <c r="G155" s="606">
        <v>0.1</v>
      </c>
      <c r="H155" s="657">
        <v>-3</v>
      </c>
      <c r="I155" s="666">
        <v>1.7</v>
      </c>
      <c r="J155" s="1513">
        <v>2</v>
      </c>
      <c r="K155" s="1499">
        <v>44001</v>
      </c>
      <c r="L155" s="1502" t="s">
        <v>365</v>
      </c>
      <c r="M155" s="165"/>
      <c r="N155" s="178"/>
      <c r="P155" s="165"/>
      <c r="Q155" s="165"/>
      <c r="R155" s="165"/>
      <c r="S155" s="179"/>
      <c r="U155" s="158"/>
      <c r="AA155" s="158"/>
      <c r="AB155" s="158"/>
      <c r="AG155" s="158"/>
      <c r="AK155" s="158"/>
      <c r="AL155" s="158"/>
      <c r="AM155" s="158"/>
      <c r="AN155" s="158"/>
      <c r="AO155" s="158"/>
      <c r="AP155" s="158"/>
      <c r="AQ155" s="158"/>
      <c r="AR155" s="158"/>
      <c r="AS155" s="158"/>
      <c r="AT155" s="158"/>
      <c r="AU155" s="158"/>
    </row>
    <row r="156" spans="1:52" ht="30" customHeight="1" thickBot="1" x14ac:dyDescent="0.25">
      <c r="A156" s="1509"/>
      <c r="B156" s="1510"/>
      <c r="C156" s="1516"/>
      <c r="D156" s="1554"/>
      <c r="E156" s="1557"/>
      <c r="F156" s="611">
        <v>51.2</v>
      </c>
      <c r="G156" s="612">
        <v>0.1</v>
      </c>
      <c r="H156" s="612">
        <v>-1.2</v>
      </c>
      <c r="I156" s="613">
        <v>1.7</v>
      </c>
      <c r="J156" s="1514">
        <v>1.96</v>
      </c>
      <c r="K156" s="1500"/>
      <c r="L156" s="1503"/>
      <c r="M156" s="165"/>
      <c r="N156" s="169"/>
      <c r="O156" s="165"/>
      <c r="P156" s="165"/>
      <c r="Q156" s="165"/>
      <c r="R156" s="165"/>
      <c r="S156" s="179"/>
      <c r="U156" s="158"/>
      <c r="AA156" s="158"/>
      <c r="AB156" s="158"/>
      <c r="AG156" s="158"/>
      <c r="AK156" s="158"/>
      <c r="AL156" s="158"/>
      <c r="AM156" s="158"/>
      <c r="AN156" s="158"/>
      <c r="AO156" s="158"/>
      <c r="AP156" s="158"/>
      <c r="AQ156" s="158"/>
      <c r="AR156" s="158"/>
      <c r="AS156" s="158"/>
      <c r="AT156" s="158"/>
      <c r="AU156" s="158"/>
    </row>
    <row r="157" spans="1:52" ht="30" customHeight="1" thickBot="1" x14ac:dyDescent="0.25">
      <c r="A157" s="1511"/>
      <c r="B157" s="1512"/>
      <c r="C157" s="1516"/>
      <c r="D157" s="1554"/>
      <c r="E157" s="1557"/>
      <c r="F157" s="614">
        <v>77.599999999999994</v>
      </c>
      <c r="G157" s="615">
        <v>0.1</v>
      </c>
      <c r="H157" s="615">
        <v>2.4</v>
      </c>
      <c r="I157" s="616">
        <v>1.7</v>
      </c>
      <c r="J157" s="1514"/>
      <c r="K157" s="1500"/>
      <c r="L157" s="1503"/>
      <c r="M157" s="165"/>
      <c r="N157" s="169"/>
      <c r="O157" s="165"/>
      <c r="P157" s="165"/>
      <c r="Q157" s="165"/>
      <c r="R157" s="165"/>
      <c r="S157" s="179"/>
      <c r="U157" s="158"/>
      <c r="V157" s="1518" t="s">
        <v>313</v>
      </c>
      <c r="W157" s="1519"/>
      <c r="X157" s="1519"/>
      <c r="Y157" s="1519"/>
      <c r="Z157" s="1519"/>
      <c r="AA157" s="1520"/>
      <c r="AB157" s="158"/>
      <c r="AG157" s="158"/>
      <c r="AK157" s="158"/>
      <c r="AL157" s="158"/>
      <c r="AM157" s="158"/>
      <c r="AN157" s="158"/>
      <c r="AO157" s="158"/>
      <c r="AP157" s="158"/>
      <c r="AQ157" s="158"/>
      <c r="AR157" s="158"/>
      <c r="AS157" s="158"/>
      <c r="AT157" s="158"/>
      <c r="AU157" s="158"/>
    </row>
    <row r="158" spans="1:52" ht="30" customHeight="1" thickBot="1" x14ac:dyDescent="0.25">
      <c r="A158" s="1507" t="s">
        <v>261</v>
      </c>
      <c r="B158" s="1508"/>
      <c r="C158" s="1516"/>
      <c r="D158" s="1554"/>
      <c r="E158" s="1557"/>
      <c r="F158" s="667">
        <v>598.11699999999996</v>
      </c>
      <c r="G158" s="668">
        <v>0.1</v>
      </c>
      <c r="H158" s="668">
        <v>1.4450000000000001</v>
      </c>
      <c r="I158" s="668">
        <v>7.9000000000000001E-2</v>
      </c>
      <c r="J158" s="1599">
        <v>2</v>
      </c>
      <c r="K158" s="1499">
        <v>43980</v>
      </c>
      <c r="L158" s="1502" t="s">
        <v>439</v>
      </c>
      <c r="M158" s="165"/>
      <c r="N158" s="169"/>
      <c r="O158" s="165"/>
      <c r="P158" s="165"/>
      <c r="Q158" s="165"/>
      <c r="R158" s="165"/>
      <c r="S158" s="179"/>
      <c r="U158" s="158"/>
      <c r="V158" s="1521"/>
      <c r="W158" s="1522"/>
      <c r="X158" s="1522"/>
      <c r="Y158" s="1522"/>
      <c r="Z158" s="1522"/>
      <c r="AA158" s="1523"/>
      <c r="AB158" s="158"/>
      <c r="AG158" s="158"/>
      <c r="AK158" s="158"/>
      <c r="AL158" s="158"/>
      <c r="AM158" s="158"/>
      <c r="AN158" s="158"/>
      <c r="AO158" s="158"/>
      <c r="AP158" s="158"/>
      <c r="AQ158" s="158"/>
      <c r="AR158" s="158"/>
      <c r="AS158" s="158"/>
      <c r="AT158" s="158"/>
      <c r="AU158" s="158"/>
    </row>
    <row r="159" spans="1:52" ht="35.1" customHeight="1" x14ac:dyDescent="0.2">
      <c r="A159" s="1509"/>
      <c r="B159" s="1510"/>
      <c r="C159" s="1516"/>
      <c r="D159" s="1554"/>
      <c r="E159" s="1557"/>
      <c r="F159" s="669">
        <v>752.81600000000003</v>
      </c>
      <c r="G159" s="612">
        <v>0.1</v>
      </c>
      <c r="H159" s="612">
        <v>0.95399999999999996</v>
      </c>
      <c r="I159" s="612">
        <v>8.4000000000000005E-2</v>
      </c>
      <c r="J159" s="1500">
        <v>2</v>
      </c>
      <c r="K159" s="1500">
        <v>42625</v>
      </c>
      <c r="L159" s="1503" t="s">
        <v>197</v>
      </c>
      <c r="M159" s="165"/>
      <c r="N159" s="169"/>
      <c r="O159" s="165"/>
      <c r="P159" s="165"/>
      <c r="Q159" s="165"/>
      <c r="R159" s="165"/>
      <c r="S159" s="179"/>
      <c r="U159" s="158"/>
      <c r="V159" s="1591" t="s">
        <v>4</v>
      </c>
      <c r="W159" s="1593" t="s">
        <v>314</v>
      </c>
      <c r="X159" s="1594"/>
      <c r="Y159" s="1594"/>
      <c r="Z159" s="1594"/>
      <c r="AA159" s="1595"/>
      <c r="AB159" s="158"/>
      <c r="AG159" s="158"/>
      <c r="AK159" s="158"/>
      <c r="AL159" s="158"/>
      <c r="AM159" s="158"/>
      <c r="AN159" s="158"/>
      <c r="AO159" s="158"/>
      <c r="AP159" s="158"/>
      <c r="AQ159" s="158"/>
      <c r="AR159" s="158"/>
      <c r="AS159" s="158"/>
      <c r="AT159" s="158"/>
      <c r="AU159" s="158"/>
    </row>
    <row r="160" spans="1:52" ht="35.1" customHeight="1" thickBot="1" x14ac:dyDescent="0.25">
      <c r="A160" s="1511"/>
      <c r="B160" s="1512"/>
      <c r="C160" s="1517"/>
      <c r="D160" s="1555"/>
      <c r="E160" s="1558"/>
      <c r="F160" s="670">
        <v>848.553</v>
      </c>
      <c r="G160" s="615">
        <v>0.1</v>
      </c>
      <c r="H160" s="615">
        <v>0.70399999999999996</v>
      </c>
      <c r="I160" s="615">
        <v>9.5000000000000001E-2</v>
      </c>
      <c r="J160" s="1501"/>
      <c r="K160" s="1501"/>
      <c r="L160" s="1504"/>
      <c r="M160" s="165"/>
      <c r="N160" s="169"/>
      <c r="O160" s="165"/>
      <c r="P160" s="165"/>
      <c r="Q160" s="165"/>
      <c r="R160" s="165"/>
      <c r="S160" s="179"/>
      <c r="U160" s="158"/>
      <c r="V160" s="1592"/>
      <c r="W160" s="1596"/>
      <c r="X160" s="1597"/>
      <c r="Y160" s="1597"/>
      <c r="Z160" s="1597"/>
      <c r="AA160" s="1598"/>
      <c r="AB160" s="158"/>
      <c r="AG160" s="158"/>
      <c r="AK160" s="158"/>
      <c r="AL160" s="158"/>
      <c r="AM160" s="158"/>
      <c r="AN160" s="158"/>
      <c r="AO160" s="158"/>
      <c r="AP160" s="158"/>
      <c r="AQ160" s="158"/>
      <c r="AR160" s="158"/>
      <c r="AS160" s="158"/>
      <c r="AT160" s="158"/>
      <c r="AU160" s="158"/>
    </row>
    <row r="161" spans="1:28" ht="39.950000000000003" customHeight="1" thickBot="1" x14ac:dyDescent="0.25">
      <c r="A161" s="169"/>
      <c r="B161" s="165"/>
      <c r="C161" s="165"/>
      <c r="D161" s="165"/>
      <c r="E161" s="414"/>
      <c r="F161" s="412"/>
      <c r="G161" s="412"/>
      <c r="H161" s="413"/>
      <c r="I161" s="165"/>
      <c r="J161" s="414"/>
      <c r="K161" s="165"/>
      <c r="L161" s="165"/>
      <c r="M161" s="165"/>
      <c r="N161" s="169"/>
      <c r="O161" s="165"/>
      <c r="P161" s="165"/>
      <c r="Q161" s="165"/>
      <c r="R161" s="165"/>
      <c r="S161" s="179"/>
      <c r="U161" s="158"/>
      <c r="V161" s="192"/>
      <c r="W161" s="1571"/>
      <c r="X161" s="1571"/>
      <c r="Y161" s="1590"/>
      <c r="Z161" s="1590"/>
      <c r="AA161" s="193"/>
    </row>
    <row r="162" spans="1:28" ht="39.950000000000003" customHeight="1" x14ac:dyDescent="0.2">
      <c r="A162" s="1507" t="s">
        <v>186</v>
      </c>
      <c r="B162" s="1508"/>
      <c r="C162" s="1515" t="s">
        <v>198</v>
      </c>
      <c r="D162" s="1553" t="s">
        <v>154</v>
      </c>
      <c r="E162" s="1583" t="s">
        <v>199</v>
      </c>
      <c r="F162" s="618">
        <v>15.1</v>
      </c>
      <c r="G162" s="606">
        <v>0.1</v>
      </c>
      <c r="H162" s="657">
        <v>0.2</v>
      </c>
      <c r="I162" s="671">
        <v>0.3</v>
      </c>
      <c r="J162" s="1584">
        <v>2</v>
      </c>
      <c r="K162" s="1505">
        <v>44019</v>
      </c>
      <c r="L162" s="1506" t="s">
        <v>368</v>
      </c>
      <c r="M162" s="165"/>
      <c r="N162" s="585"/>
      <c r="O162" s="466" t="s">
        <v>163</v>
      </c>
      <c r="P162" s="462" t="s">
        <v>318</v>
      </c>
      <c r="Q162" s="462" t="s">
        <v>164</v>
      </c>
      <c r="R162" s="1575" t="s">
        <v>371</v>
      </c>
      <c r="S162" s="1533" t="s">
        <v>372</v>
      </c>
      <c r="U162" s="158"/>
      <c r="V162" s="189" t="s">
        <v>315</v>
      </c>
      <c r="W162" s="1588" t="s">
        <v>310</v>
      </c>
      <c r="X162" s="1588"/>
      <c r="Y162" s="1589" t="s">
        <v>327</v>
      </c>
      <c r="Z162" s="1589"/>
      <c r="AA162" s="190" t="s">
        <v>212</v>
      </c>
      <c r="AB162" s="191"/>
    </row>
    <row r="163" spans="1:28" ht="39.950000000000003" customHeight="1" x14ac:dyDescent="0.2">
      <c r="A163" s="1509"/>
      <c r="B163" s="1510"/>
      <c r="C163" s="1516"/>
      <c r="D163" s="1554"/>
      <c r="E163" s="1557"/>
      <c r="F163" s="672">
        <v>24.8</v>
      </c>
      <c r="G163" s="612">
        <v>0.1</v>
      </c>
      <c r="H163" s="659">
        <v>-0.1</v>
      </c>
      <c r="I163" s="660">
        <v>0.2</v>
      </c>
      <c r="J163" s="1514"/>
      <c r="K163" s="1500"/>
      <c r="L163" s="1503"/>
      <c r="M163" s="165"/>
      <c r="N163" s="590" t="s">
        <v>167</v>
      </c>
      <c r="O163" s="467">
        <f>MAX(I162:I164)</f>
        <v>0.3</v>
      </c>
      <c r="P163" s="464">
        <f>MAX(I165:I167)</f>
        <v>1.7</v>
      </c>
      <c r="Q163" s="464">
        <f>MAX(I168:I170)</f>
        <v>9.9000000000000005E-2</v>
      </c>
      <c r="R163" s="1576"/>
      <c r="S163" s="1534"/>
      <c r="V163" s="192" t="s">
        <v>156</v>
      </c>
      <c r="W163" s="1571" t="s">
        <v>145</v>
      </c>
      <c r="X163" s="1571"/>
      <c r="Y163" s="1590" t="s">
        <v>311</v>
      </c>
      <c r="Z163" s="1590"/>
      <c r="AA163" s="193" t="s">
        <v>212</v>
      </c>
      <c r="AB163" s="191"/>
    </row>
    <row r="164" spans="1:28" ht="39.950000000000003" customHeight="1" thickBot="1" x14ac:dyDescent="0.25">
      <c r="A164" s="1511"/>
      <c r="B164" s="1512"/>
      <c r="C164" s="1516"/>
      <c r="D164" s="1554"/>
      <c r="E164" s="1557"/>
      <c r="F164" s="662">
        <v>29.7</v>
      </c>
      <c r="G164" s="615">
        <v>0.1</v>
      </c>
      <c r="H164" s="663">
        <v>-0.3</v>
      </c>
      <c r="I164" s="664">
        <v>0.2</v>
      </c>
      <c r="J164" s="1514"/>
      <c r="K164" s="1500"/>
      <c r="L164" s="1503"/>
      <c r="M164" s="165"/>
      <c r="N164" s="595"/>
      <c r="O164" s="455"/>
      <c r="P164" s="456"/>
      <c r="Q164" s="456"/>
      <c r="R164" s="1577"/>
      <c r="S164" s="1535"/>
      <c r="V164" s="192" t="s">
        <v>157</v>
      </c>
      <c r="W164" s="1571" t="s">
        <v>146</v>
      </c>
      <c r="X164" s="1571"/>
      <c r="Y164" s="1590" t="s">
        <v>309</v>
      </c>
      <c r="Z164" s="1590"/>
      <c r="AA164" s="193" t="s">
        <v>212</v>
      </c>
      <c r="AB164" s="191"/>
    </row>
    <row r="165" spans="1:28" ht="39.950000000000003" customHeight="1" x14ac:dyDescent="0.2">
      <c r="A165" s="1507" t="s">
        <v>189</v>
      </c>
      <c r="B165" s="1508"/>
      <c r="C165" s="1516"/>
      <c r="D165" s="1554"/>
      <c r="E165" s="1557"/>
      <c r="F165" s="618">
        <v>33.200000000000003</v>
      </c>
      <c r="G165" s="606">
        <v>0.1</v>
      </c>
      <c r="H165" s="606">
        <v>-3.2</v>
      </c>
      <c r="I165" s="666">
        <v>1.7</v>
      </c>
      <c r="J165" s="1513">
        <v>2</v>
      </c>
      <c r="K165" s="1499">
        <v>44020</v>
      </c>
      <c r="L165" s="1502" t="s">
        <v>369</v>
      </c>
      <c r="M165" s="165"/>
      <c r="N165" s="169"/>
      <c r="O165" s="165"/>
      <c r="P165" s="165"/>
      <c r="Q165" s="165"/>
      <c r="R165" s="165"/>
      <c r="S165" s="179"/>
      <c r="V165" s="192"/>
      <c r="W165" s="1571"/>
      <c r="X165" s="1571"/>
      <c r="Y165" s="1571"/>
      <c r="Z165" s="1571"/>
      <c r="AA165" s="193"/>
    </row>
    <row r="166" spans="1:28" ht="30" customHeight="1" x14ac:dyDescent="0.2">
      <c r="A166" s="1509"/>
      <c r="B166" s="1510"/>
      <c r="C166" s="1516"/>
      <c r="D166" s="1554"/>
      <c r="E166" s="1557"/>
      <c r="F166" s="611">
        <v>51.4</v>
      </c>
      <c r="G166" s="612">
        <v>0.1</v>
      </c>
      <c r="H166" s="612">
        <v>-1.5</v>
      </c>
      <c r="I166" s="613">
        <v>1.7</v>
      </c>
      <c r="J166" s="1514"/>
      <c r="K166" s="1500"/>
      <c r="L166" s="1503"/>
      <c r="M166" s="165"/>
      <c r="N166" s="169"/>
      <c r="O166" s="165"/>
      <c r="P166" s="165"/>
      <c r="Q166" s="165"/>
      <c r="R166" s="165"/>
      <c r="S166" s="179"/>
    </row>
    <row r="167" spans="1:28" ht="30" customHeight="1" thickBot="1" x14ac:dyDescent="0.25">
      <c r="A167" s="1511"/>
      <c r="B167" s="1512"/>
      <c r="C167" s="1516"/>
      <c r="D167" s="1554"/>
      <c r="E167" s="1557"/>
      <c r="F167" s="614">
        <v>77.599999999999994</v>
      </c>
      <c r="G167" s="615">
        <v>0.1</v>
      </c>
      <c r="H167" s="615">
        <v>2.5</v>
      </c>
      <c r="I167" s="616">
        <v>1.7</v>
      </c>
      <c r="J167" s="1514"/>
      <c r="K167" s="1500"/>
      <c r="L167" s="1503"/>
      <c r="M167" s="165"/>
      <c r="N167" s="169"/>
      <c r="O167" s="165"/>
      <c r="P167" s="165"/>
      <c r="Q167" s="165"/>
      <c r="R167" s="165"/>
      <c r="S167" s="179"/>
    </row>
    <row r="168" spans="1:28" ht="30" customHeight="1" x14ac:dyDescent="0.2">
      <c r="A168" s="1507" t="s">
        <v>261</v>
      </c>
      <c r="B168" s="1508"/>
      <c r="C168" s="1516"/>
      <c r="D168" s="1554"/>
      <c r="E168" s="1557"/>
      <c r="F168" s="673">
        <v>598.08199999999999</v>
      </c>
      <c r="G168" s="668">
        <v>0.1</v>
      </c>
      <c r="H168" s="668">
        <v>1.4830000000000001</v>
      </c>
      <c r="I168" s="674">
        <v>0.08</v>
      </c>
      <c r="J168" s="1585">
        <v>1.96</v>
      </c>
      <c r="K168" s="1499">
        <v>43980</v>
      </c>
      <c r="L168" s="1502" t="s">
        <v>370</v>
      </c>
      <c r="M168" s="165"/>
      <c r="N168" s="169"/>
      <c r="O168" s="165"/>
      <c r="P168" s="194"/>
      <c r="Q168" s="194"/>
      <c r="R168" s="194"/>
      <c r="S168" s="179"/>
    </row>
    <row r="169" spans="1:28" ht="30" customHeight="1" x14ac:dyDescent="0.2">
      <c r="A169" s="1509"/>
      <c r="B169" s="1510"/>
      <c r="C169" s="1516"/>
      <c r="D169" s="1554"/>
      <c r="E169" s="1557"/>
      <c r="F169" s="675">
        <v>752.79499999999996</v>
      </c>
      <c r="G169" s="612">
        <v>0.1</v>
      </c>
      <c r="H169" s="676">
        <v>0.97299999999999998</v>
      </c>
      <c r="I169" s="677">
        <v>8.4000000000000005E-2</v>
      </c>
      <c r="J169" s="1586">
        <v>1.96</v>
      </c>
      <c r="K169" s="1500">
        <v>42586</v>
      </c>
      <c r="L169" s="1503" t="s">
        <v>200</v>
      </c>
      <c r="M169" s="165"/>
      <c r="N169" s="169"/>
      <c r="O169" s="165"/>
      <c r="P169" s="194"/>
      <c r="Q169" s="194"/>
      <c r="R169" s="194"/>
      <c r="S169" s="179"/>
    </row>
    <row r="170" spans="1:28" ht="30" customHeight="1" thickBot="1" x14ac:dyDescent="0.25">
      <c r="A170" s="1511"/>
      <c r="B170" s="1512"/>
      <c r="C170" s="1517"/>
      <c r="D170" s="1555"/>
      <c r="E170" s="1558"/>
      <c r="F170" s="629">
        <v>848.6</v>
      </c>
      <c r="G170" s="615">
        <v>0.1</v>
      </c>
      <c r="H170" s="615">
        <v>0.65600000000000003</v>
      </c>
      <c r="I170" s="678">
        <v>9.9000000000000005E-2</v>
      </c>
      <c r="J170" s="1587">
        <v>2</v>
      </c>
      <c r="K170" s="1501">
        <v>42625</v>
      </c>
      <c r="L170" s="1504" t="s">
        <v>201</v>
      </c>
      <c r="M170" s="165"/>
      <c r="N170" s="195"/>
      <c r="O170" s="171"/>
      <c r="P170" s="196"/>
      <c r="Q170" s="196"/>
      <c r="R170" s="196"/>
      <c r="S170" s="172"/>
    </row>
    <row r="171" spans="1:28" ht="30" customHeight="1" x14ac:dyDescent="0.2">
      <c r="A171" s="169"/>
      <c r="B171" s="165"/>
      <c r="C171" s="165"/>
      <c r="D171" s="165"/>
      <c r="E171" s="165"/>
      <c r="F171" s="165"/>
      <c r="G171" s="165"/>
      <c r="H171" s="165"/>
      <c r="I171" s="165"/>
      <c r="J171" s="165"/>
      <c r="K171" s="165"/>
      <c r="L171" s="165"/>
      <c r="M171" s="165"/>
      <c r="N171" s="165"/>
      <c r="O171" s="194"/>
      <c r="P171" s="194"/>
      <c r="Q171" s="194"/>
      <c r="R171" s="194"/>
      <c r="S171" s="194"/>
    </row>
    <row r="172" spans="1:28" ht="30" customHeight="1" thickBot="1" x14ac:dyDescent="0.3">
      <c r="G172" s="158"/>
      <c r="H172" s="158"/>
      <c r="I172" s="158"/>
      <c r="J172" s="158"/>
      <c r="K172" s="158"/>
      <c r="L172" s="158"/>
      <c r="M172" s="158"/>
      <c r="N172" s="158"/>
      <c r="O172" s="158"/>
      <c r="P172" s="158"/>
      <c r="Q172" s="158"/>
      <c r="R172" s="158"/>
      <c r="S172" s="158"/>
    </row>
    <row r="173" spans="1:28" ht="30" customHeight="1" thickBot="1" x14ac:dyDescent="0.3">
      <c r="B173" s="1492" t="s">
        <v>262</v>
      </c>
      <c r="C173" s="1493"/>
      <c r="D173" s="1493"/>
      <c r="E173" s="1493"/>
      <c r="F173" s="1493"/>
      <c r="G173" s="1494"/>
      <c r="J173" s="229" t="s">
        <v>210</v>
      </c>
      <c r="K173" s="230" t="str">
        <f>D119</f>
        <v>Fabricante</v>
      </c>
      <c r="L173" s="231" t="str">
        <f>E119</f>
        <v>Identificación / Serie</v>
      </c>
      <c r="M173" s="231" t="str">
        <f>R119</f>
        <v>Fecha de Calibración</v>
      </c>
      <c r="N173" s="231" t="str">
        <f>S119</f>
        <v>Trazabilidad y numero</v>
      </c>
      <c r="O173" s="232" t="s">
        <v>163</v>
      </c>
      <c r="P173" s="231" t="s">
        <v>318</v>
      </c>
      <c r="Q173" s="231" t="s">
        <v>164</v>
      </c>
      <c r="R173" s="232" t="s">
        <v>222</v>
      </c>
      <c r="S173" s="232" t="s">
        <v>223</v>
      </c>
      <c r="T173" s="232" t="s">
        <v>319</v>
      </c>
      <c r="U173" s="232" t="s">
        <v>320</v>
      </c>
      <c r="V173" s="231" t="s">
        <v>224</v>
      </c>
      <c r="W173" s="233" t="s">
        <v>225</v>
      </c>
    </row>
    <row r="174" spans="1:28" ht="30" customHeight="1" thickBot="1" x14ac:dyDescent="0.3">
      <c r="A174" s="161"/>
      <c r="B174" s="1495" t="s">
        <v>226</v>
      </c>
      <c r="C174" s="1496"/>
      <c r="D174" s="530" t="s">
        <v>220</v>
      </c>
      <c r="E174" s="530" t="s">
        <v>214</v>
      </c>
      <c r="F174" s="530" t="s">
        <v>235</v>
      </c>
      <c r="G174" s="228" t="s">
        <v>214</v>
      </c>
      <c r="J174" s="197"/>
      <c r="K174" s="198"/>
      <c r="L174" s="199"/>
      <c r="M174" s="199"/>
      <c r="N174" s="199"/>
      <c r="O174" s="200"/>
      <c r="P174" s="199"/>
      <c r="Q174" s="199"/>
      <c r="R174" s="200"/>
      <c r="S174" s="200"/>
      <c r="T174" s="200"/>
      <c r="U174" s="200"/>
      <c r="V174" s="199"/>
      <c r="W174" s="201"/>
    </row>
    <row r="175" spans="1:28" ht="30" customHeight="1" thickBot="1" x14ac:dyDescent="0.3">
      <c r="B175" s="161"/>
      <c r="C175" s="158"/>
      <c r="D175" s="158"/>
      <c r="E175" s="158"/>
      <c r="F175" s="158"/>
      <c r="G175" s="162"/>
      <c r="J175" s="468" t="str">
        <f>N123</f>
        <v>V-002</v>
      </c>
      <c r="K175" s="469" t="str">
        <f>D122</f>
        <v>Lufft Opus 20</v>
      </c>
      <c r="L175" s="469" t="str">
        <f>E122</f>
        <v>0,23.0714.0802.024</v>
      </c>
      <c r="M175" s="470" t="str">
        <f>R122</f>
        <v>2020-07-07 / 2020-7-08 / 2020-05-29</v>
      </c>
      <c r="N175" s="471" t="str">
        <f>S122</f>
        <v>INM  4629 - INM 4630 - INM 4626</v>
      </c>
      <c r="O175" s="469">
        <f>O123</f>
        <v>0.3</v>
      </c>
      <c r="P175" s="469">
        <f>P123</f>
        <v>1.7</v>
      </c>
      <c r="Q175" s="472">
        <f>Q123</f>
        <v>9.6000000000000002E-2</v>
      </c>
      <c r="R175" s="473">
        <f>SLOPE(H122:H124,F122:F124)</f>
        <v>-6.0695118834653726E-3</v>
      </c>
      <c r="S175" s="473">
        <f>INTERCEPT(H122:H124,F122:F124)</f>
        <v>0.10727702530028116</v>
      </c>
      <c r="T175" s="473">
        <f>SLOPE(H125:H127,F125:F127)</f>
        <v>0.1454156155702041</v>
      </c>
      <c r="U175" s="473">
        <f>INTERCEPT(H125:H127,F125:F127)</f>
        <v>-8.3663878253816613</v>
      </c>
      <c r="V175" s="473">
        <f>SLOPE(H128:H130,F128:F130)</f>
        <v>-3.0257969486283411E-3</v>
      </c>
      <c r="W175" s="474">
        <f>INTERCEPT(H128:H130,F128:F130)</f>
        <v>3.3404896034287122</v>
      </c>
    </row>
    <row r="176" spans="1:28" ht="30" customHeight="1" x14ac:dyDescent="0.25">
      <c r="B176" s="1497" t="s">
        <v>227</v>
      </c>
      <c r="C176" s="1498"/>
      <c r="D176" s="235">
        <v>21400</v>
      </c>
      <c r="E176" s="531" t="s">
        <v>304</v>
      </c>
      <c r="F176" s="531">
        <v>150</v>
      </c>
      <c r="G176" s="222" t="s">
        <v>234</v>
      </c>
      <c r="J176" s="475" t="str">
        <f>N153</f>
        <v>M-010</v>
      </c>
      <c r="K176" s="476" t="str">
        <f>D152</f>
        <v>Lufft Opus 20</v>
      </c>
      <c r="L176" s="476" t="str">
        <f>E152</f>
        <v>0,26.0714.0802.024</v>
      </c>
      <c r="M176" s="477" t="str">
        <f>R152</f>
        <v>2020-06-18 2020-06-19- 2020-05-29</v>
      </c>
      <c r="N176" s="478" t="str">
        <f>S152</f>
        <v>INM 4608 - INM 4609 -   INM 4623</v>
      </c>
      <c r="O176" s="479">
        <f>O153</f>
        <v>0.3</v>
      </c>
      <c r="P176" s="479">
        <f>P153</f>
        <v>1.7</v>
      </c>
      <c r="Q176" s="480">
        <f>Q153</f>
        <v>9.5000000000000001E-2</v>
      </c>
      <c r="R176" s="481">
        <f>SLOPE(H152:H154,F152:F154)</f>
        <v>-5.9336401065633333E-3</v>
      </c>
      <c r="S176" s="481">
        <f>INTERCEPT(H152:H154,F152:F154)</f>
        <v>0.10472269314604021</v>
      </c>
      <c r="T176" s="481">
        <f>SLOPE(H155:H157,F155:F157)</f>
        <v>0.12190340402780254</v>
      </c>
      <c r="U176" s="481">
        <f>INTERCEPT(H155:H157,F155:F157)</f>
        <v>-7.1705934770985564</v>
      </c>
      <c r="V176" s="481">
        <f>SLOPE(H158:H160,F158:F160)</f>
        <v>-2.9793134128553089E-3</v>
      </c>
      <c r="W176" s="482">
        <f>INTERCEPT(H158:H160,F158:F160)</f>
        <v>3.2186527137291572</v>
      </c>
    </row>
    <row r="177" spans="2:23" ht="30" customHeight="1" x14ac:dyDescent="0.25">
      <c r="B177" s="1490" t="s">
        <v>263</v>
      </c>
      <c r="C177" s="1491"/>
      <c r="D177" s="234">
        <v>8600</v>
      </c>
      <c r="E177" s="529" t="s">
        <v>234</v>
      </c>
      <c r="F177" s="529">
        <v>170</v>
      </c>
      <c r="G177" s="221" t="s">
        <v>234</v>
      </c>
      <c r="J177" s="475" t="str">
        <f>N163</f>
        <v>M-011</v>
      </c>
      <c r="K177" s="476" t="str">
        <f>D162</f>
        <v>Lufft Opus 20</v>
      </c>
      <c r="L177" s="476" t="str">
        <f>E162</f>
        <v>0,22.0714.0802.024</v>
      </c>
      <c r="M177" s="477" t="str">
        <f>R162</f>
        <v>2020-07-07 / 2020-07-08 / 2020-05-29</v>
      </c>
      <c r="N177" s="478" t="str">
        <f>S162</f>
        <v>INM-4627-INM 4628-INM 4624</v>
      </c>
      <c r="O177" s="479">
        <f>O163</f>
        <v>0.3</v>
      </c>
      <c r="P177" s="479">
        <f>P163</f>
        <v>1.7</v>
      </c>
      <c r="Q177" s="480">
        <f>Q163</f>
        <v>9.9000000000000005E-2</v>
      </c>
      <c r="R177" s="481">
        <f>SLOPE(H162:H164,F162:F164)</f>
        <v>-3.3780112298496645E-2</v>
      </c>
      <c r="S177" s="481">
        <f>INTERCEPT(H162:H164,F162:F164)</f>
        <v>0.71703193865845549</v>
      </c>
      <c r="T177" s="481">
        <f>SLOPE(H165:H167,F165:F167)</f>
        <v>0.130081899205096</v>
      </c>
      <c r="U177" s="481">
        <f>INTERCEPT(H165:H167,F165:F167)</f>
        <v>-7.7664280170221902</v>
      </c>
      <c r="V177" s="481">
        <f>SLOPE(H168:H170,F168:F170)</f>
        <v>-3.3007100073608104E-3</v>
      </c>
      <c r="W177" s="482">
        <f>INTERCEPT(H168:H170,F168:F170)</f>
        <v>3.4572785816199776</v>
      </c>
    </row>
    <row r="178" spans="2:23" ht="30" customHeight="1" x14ac:dyDescent="0.25">
      <c r="B178" s="1490" t="s">
        <v>228</v>
      </c>
      <c r="C178" s="1491"/>
      <c r="D178" s="234">
        <v>8400</v>
      </c>
      <c r="E178" s="529" t="s">
        <v>234</v>
      </c>
      <c r="F178" s="529">
        <v>170</v>
      </c>
      <c r="G178" s="221" t="s">
        <v>234</v>
      </c>
      <c r="J178" s="483" t="str">
        <f>N133</f>
        <v xml:space="preserve">M-012  </v>
      </c>
      <c r="K178" s="476" t="str">
        <f>D132</f>
        <v>Lufft Opus 20</v>
      </c>
      <c r="L178" s="484">
        <f>E132</f>
        <v>19506160802033</v>
      </c>
      <c r="M178" s="477" t="str">
        <f>R132</f>
        <v>2020-06-18 / 2020-06-19/ 2020-05-29</v>
      </c>
      <c r="N178" s="478" t="str">
        <f>S132</f>
        <v>INM-4610, INM 4611 - INM 4625</v>
      </c>
      <c r="O178" s="476">
        <f>O133</f>
        <v>0.3</v>
      </c>
      <c r="P178" s="476">
        <f>P133</f>
        <v>1.7</v>
      </c>
      <c r="Q178" s="480">
        <f>Q133</f>
        <v>0.15</v>
      </c>
      <c r="R178" s="481">
        <f>SLOPE(H132:H134,F132:F134)</f>
        <v>2.3901310717039322E-2</v>
      </c>
      <c r="S178" s="481">
        <f>INTERCEPT(H132:H134,F132:F134)</f>
        <v>-0.41878694423027496</v>
      </c>
      <c r="T178" s="481">
        <f>SLOPE(H135:H137,F135:F137)</f>
        <v>0.14518834517177825</v>
      </c>
      <c r="U178" s="481">
        <f>INTERCEPT(H135:H137,F135:F137)</f>
        <v>-7.2471301262537358</v>
      </c>
      <c r="V178" s="481">
        <f>SLOPE(H138:H140,F138:F140)</f>
        <v>-2.0169926392810842E-3</v>
      </c>
      <c r="W178" s="482">
        <f>INTERCEPT(H138:H140,F138:F140)</f>
        <v>2.8938779877398297</v>
      </c>
    </row>
    <row r="179" spans="2:23" ht="30" customHeight="1" thickBot="1" x14ac:dyDescent="0.3">
      <c r="B179" s="1490" t="s">
        <v>277</v>
      </c>
      <c r="C179" s="1491"/>
      <c r="D179" s="234">
        <v>7950</v>
      </c>
      <c r="E179" s="529" t="s">
        <v>234</v>
      </c>
      <c r="F179" s="529">
        <v>140</v>
      </c>
      <c r="G179" s="221" t="s">
        <v>234</v>
      </c>
      <c r="J179" s="444" t="str">
        <f>N143</f>
        <v xml:space="preserve">M-013  </v>
      </c>
      <c r="K179" s="445" t="str">
        <f>D142</f>
        <v>Lufft Opus 20</v>
      </c>
      <c r="L179" s="446">
        <f>E142</f>
        <v>19406160802033</v>
      </c>
      <c r="M179" s="447" t="str">
        <f>R142</f>
        <v xml:space="preserve">2019-09-24  / 2019-09-25  / 2020-10-02 </v>
      </c>
      <c r="N179" s="447" t="str">
        <f>S142</f>
        <v>INM 4216 - INM 4217 -  INM 4703</v>
      </c>
      <c r="O179" s="445">
        <f>O143</f>
        <v>0.3</v>
      </c>
      <c r="P179" s="445">
        <f>P143</f>
        <v>1.7</v>
      </c>
      <c r="Q179" s="448">
        <f>Q143</f>
        <v>0.14000000000000001</v>
      </c>
      <c r="R179" s="449">
        <f>SLOPE(H142:H144,F142:F144)</f>
        <v>1.3499905595065769E-2</v>
      </c>
      <c r="S179" s="448">
        <f>INTERCEPT(H142:H144,F142:F144)</f>
        <v>-0.31364780665869468</v>
      </c>
      <c r="T179" s="449">
        <f>SLOPE(H145:H147,F145:F147)</f>
        <v>0.101903287496585</v>
      </c>
      <c r="U179" s="448">
        <f>INTERCEPT(H145:H147,F145:F147)</f>
        <v>-5.6461160185775423</v>
      </c>
      <c r="V179" s="449">
        <f>SLOPE(H148:H150,F148:F150)</f>
        <v>-2.274176216186185E-3</v>
      </c>
      <c r="W179" s="450">
        <f>INTERCEPT(H148:H150,F148:F150)</f>
        <v>3.0586916237565838</v>
      </c>
    </row>
    <row r="180" spans="2:23" ht="30" customHeight="1" x14ac:dyDescent="0.25">
      <c r="B180" s="1490" t="s">
        <v>229</v>
      </c>
      <c r="C180" s="1491"/>
      <c r="D180" s="234">
        <v>7700</v>
      </c>
      <c r="E180" s="529" t="s">
        <v>234</v>
      </c>
      <c r="F180" s="529">
        <v>200</v>
      </c>
      <c r="G180" s="221" t="s">
        <v>234</v>
      </c>
    </row>
    <row r="181" spans="2:23" ht="30" customHeight="1" x14ac:dyDescent="0.25">
      <c r="B181" s="1490" t="s">
        <v>230</v>
      </c>
      <c r="C181" s="1491"/>
      <c r="D181" s="234">
        <v>7800</v>
      </c>
      <c r="E181" s="529" t="s">
        <v>234</v>
      </c>
      <c r="F181" s="529">
        <v>200</v>
      </c>
      <c r="G181" s="221" t="s">
        <v>234</v>
      </c>
    </row>
    <row r="182" spans="2:23" ht="30" customHeight="1" x14ac:dyDescent="0.25">
      <c r="B182" s="1490" t="s">
        <v>231</v>
      </c>
      <c r="C182" s="1491"/>
      <c r="D182" s="234">
        <v>7700</v>
      </c>
      <c r="E182" s="529" t="s">
        <v>234</v>
      </c>
      <c r="F182" s="529">
        <v>400</v>
      </c>
      <c r="G182" s="221" t="s">
        <v>234</v>
      </c>
    </row>
    <row r="183" spans="2:23" ht="30" customHeight="1" x14ac:dyDescent="0.25">
      <c r="B183" s="1490" t="s">
        <v>232</v>
      </c>
      <c r="C183" s="1491"/>
      <c r="D183" s="234">
        <v>7100</v>
      </c>
      <c r="E183" s="529" t="s">
        <v>234</v>
      </c>
      <c r="F183" s="529">
        <v>600</v>
      </c>
      <c r="G183" s="221" t="s">
        <v>234</v>
      </c>
    </row>
    <row r="184" spans="2:23" ht="30" customHeight="1" x14ac:dyDescent="0.25">
      <c r="B184" s="1490" t="s">
        <v>233</v>
      </c>
      <c r="C184" s="1491"/>
      <c r="D184" s="234">
        <v>2700</v>
      </c>
      <c r="E184" s="529" t="s">
        <v>234</v>
      </c>
      <c r="F184" s="529">
        <v>130</v>
      </c>
      <c r="G184" s="221" t="s">
        <v>234</v>
      </c>
    </row>
    <row r="185" spans="2:23" ht="30" customHeight="1" thickBot="1" x14ac:dyDescent="0.3">
      <c r="B185" s="1488" t="s">
        <v>278</v>
      </c>
      <c r="C185" s="1489"/>
      <c r="D185" s="236">
        <v>7840</v>
      </c>
      <c r="E185" s="527" t="s">
        <v>234</v>
      </c>
      <c r="F185" s="527">
        <v>140</v>
      </c>
      <c r="G185" s="220" t="s">
        <v>234</v>
      </c>
    </row>
    <row r="186" spans="2:23" ht="30" customHeight="1" x14ac:dyDescent="0.25"/>
    <row r="187" spans="2:23" ht="30" customHeight="1" x14ac:dyDescent="0.25"/>
    <row r="188" spans="2:23" ht="30" customHeight="1" x14ac:dyDescent="0.25"/>
    <row r="189" spans="2:23" ht="30" customHeight="1" x14ac:dyDescent="0.25"/>
    <row r="190" spans="2:23" ht="30" customHeight="1" x14ac:dyDescent="0.25"/>
    <row r="191" spans="2:23" ht="30" customHeight="1" x14ac:dyDescent="0.25"/>
    <row r="192" spans="2:23" ht="30" customHeight="1" x14ac:dyDescent="0.25"/>
    <row r="193" ht="30" customHeight="1" x14ac:dyDescent="0.25"/>
    <row r="194" ht="30" customHeight="1" x14ac:dyDescent="0.25"/>
    <row r="195" ht="30" customHeight="1" x14ac:dyDescent="0.25"/>
    <row r="196" ht="30" customHeight="1" x14ac:dyDescent="0.25"/>
    <row r="197" ht="30" customHeight="1" x14ac:dyDescent="0.25"/>
    <row r="198" ht="30" customHeight="1" x14ac:dyDescent="0.25"/>
    <row r="199" ht="30" customHeight="1" x14ac:dyDescent="0.25"/>
    <row r="200" ht="30" customHeight="1" x14ac:dyDescent="0.25"/>
    <row r="201" ht="30" customHeight="1" x14ac:dyDescent="0.25"/>
    <row r="202" ht="30" customHeight="1" x14ac:dyDescent="0.25"/>
    <row r="203" ht="30" customHeight="1" x14ac:dyDescent="0.25"/>
    <row r="241" spans="61:64" ht="35.1" customHeight="1" x14ac:dyDescent="0.25">
      <c r="BI241" s="202"/>
      <c r="BJ241" s="202"/>
      <c r="BK241" s="202"/>
      <c r="BL241" s="202"/>
    </row>
    <row r="242" spans="61:64" ht="35.1" customHeight="1" x14ac:dyDescent="0.25">
      <c r="BI242" s="202"/>
      <c r="BJ242" s="202"/>
      <c r="BK242" s="202"/>
      <c r="BL242" s="202"/>
    </row>
    <row r="243" spans="61:64" ht="35.1" customHeight="1" x14ac:dyDescent="0.25">
      <c r="BI243" s="202"/>
      <c r="BJ243" s="202"/>
      <c r="BK243" s="202"/>
      <c r="BL243" s="202"/>
    </row>
    <row r="244" spans="61:64" ht="35.1" customHeight="1" x14ac:dyDescent="0.25">
      <c r="BI244" s="202"/>
      <c r="BJ244" s="202"/>
      <c r="BK244" s="202"/>
      <c r="BL244" s="202"/>
    </row>
  </sheetData>
  <sheetProtection password="CF5C" sheet="1" objects="1" scenarios="1"/>
  <mergeCells count="176">
    <mergeCell ref="Y129:AA130"/>
    <mergeCell ref="Y131:AA131"/>
    <mergeCell ref="B3:J4"/>
    <mergeCell ref="B5:B6"/>
    <mergeCell ref="C5:C6"/>
    <mergeCell ref="D5:D6"/>
    <mergeCell ref="E5:E6"/>
    <mergeCell ref="F5:F6"/>
    <mergeCell ref="G5:G6"/>
    <mergeCell ref="H5:H6"/>
    <mergeCell ref="I5:I6"/>
    <mergeCell ref="J5:J6"/>
    <mergeCell ref="W9:W10"/>
    <mergeCell ref="X9:X10"/>
    <mergeCell ref="Y9:Y10"/>
    <mergeCell ref="Z9:Z10"/>
    <mergeCell ref="AA9:AA10"/>
    <mergeCell ref="N7:AA8"/>
    <mergeCell ref="N9:N10"/>
    <mergeCell ref="O9:O10"/>
    <mergeCell ref="P9:P10"/>
    <mergeCell ref="Q9:Q10"/>
    <mergeCell ref="R9:R10"/>
    <mergeCell ref="S9:S10"/>
    <mergeCell ref="T9:T10"/>
    <mergeCell ref="U9:U10"/>
    <mergeCell ref="V9:V10"/>
    <mergeCell ref="H45:H46"/>
    <mergeCell ref="I45:I46"/>
    <mergeCell ref="J45:J46"/>
    <mergeCell ref="K35:K36"/>
    <mergeCell ref="V116:Z117"/>
    <mergeCell ref="B45:B46"/>
    <mergeCell ref="C45:C46"/>
    <mergeCell ref="D45:D46"/>
    <mergeCell ref="E45:E46"/>
    <mergeCell ref="F45:F46"/>
    <mergeCell ref="G45:G46"/>
    <mergeCell ref="A116:S117"/>
    <mergeCell ref="A49:A52"/>
    <mergeCell ref="B43:J44"/>
    <mergeCell ref="Z118:Z119"/>
    <mergeCell ref="D119:D120"/>
    <mergeCell ref="E119:E120"/>
    <mergeCell ref="F119:F120"/>
    <mergeCell ref="G119:G120"/>
    <mergeCell ref="O119:Q120"/>
    <mergeCell ref="R119:R120"/>
    <mergeCell ref="S119:S120"/>
    <mergeCell ref="L119:L120"/>
    <mergeCell ref="N119:N120"/>
    <mergeCell ref="H119:H120"/>
    <mergeCell ref="I119:I120"/>
    <mergeCell ref="J119:J120"/>
    <mergeCell ref="K119:K120"/>
    <mergeCell ref="V118:V119"/>
    <mergeCell ref="W118:W119"/>
    <mergeCell ref="X118:X119"/>
    <mergeCell ref="Y118:Y119"/>
    <mergeCell ref="A118:S118"/>
    <mergeCell ref="C119:C120"/>
    <mergeCell ref="A119:B120"/>
    <mergeCell ref="K128:K130"/>
    <mergeCell ref="L128:L130"/>
    <mergeCell ref="L122:L124"/>
    <mergeCell ref="S122:S124"/>
    <mergeCell ref="A125:B127"/>
    <mergeCell ref="J125:J127"/>
    <mergeCell ref="K125:K127"/>
    <mergeCell ref="L125:L127"/>
    <mergeCell ref="A122:B124"/>
    <mergeCell ref="C122:C130"/>
    <mergeCell ref="D122:D130"/>
    <mergeCell ref="E122:E130"/>
    <mergeCell ref="J122:J124"/>
    <mergeCell ref="K122:K124"/>
    <mergeCell ref="R122:R124"/>
    <mergeCell ref="K132:K134"/>
    <mergeCell ref="L132:L134"/>
    <mergeCell ref="R162:R164"/>
    <mergeCell ref="S162:S164"/>
    <mergeCell ref="A158:B160"/>
    <mergeCell ref="J158:J160"/>
    <mergeCell ref="K158:K160"/>
    <mergeCell ref="L158:L160"/>
    <mergeCell ref="K142:K144"/>
    <mergeCell ref="L142:L144"/>
    <mergeCell ref="S142:S144"/>
    <mergeCell ref="R132:R134"/>
    <mergeCell ref="R142:R144"/>
    <mergeCell ref="W164:X164"/>
    <mergeCell ref="J152:J154"/>
    <mergeCell ref="K152:K154"/>
    <mergeCell ref="L152:L154"/>
    <mergeCell ref="W162:X162"/>
    <mergeCell ref="Y162:Z162"/>
    <mergeCell ref="W163:X163"/>
    <mergeCell ref="Y163:Z163"/>
    <mergeCell ref="V159:V160"/>
    <mergeCell ref="Y164:Z164"/>
    <mergeCell ref="W159:AA160"/>
    <mergeCell ref="V157:AA158"/>
    <mergeCell ref="W161:X161"/>
    <mergeCell ref="Y161:Z161"/>
    <mergeCell ref="W165:X165"/>
    <mergeCell ref="Y165:Z165"/>
    <mergeCell ref="A138:B140"/>
    <mergeCell ref="J138:J140"/>
    <mergeCell ref="K138:K140"/>
    <mergeCell ref="L138:L140"/>
    <mergeCell ref="R152:R154"/>
    <mergeCell ref="A145:B147"/>
    <mergeCell ref="J145:J147"/>
    <mergeCell ref="K145:K147"/>
    <mergeCell ref="L145:L147"/>
    <mergeCell ref="A152:B154"/>
    <mergeCell ref="C152:C160"/>
    <mergeCell ref="D152:D160"/>
    <mergeCell ref="E152:E160"/>
    <mergeCell ref="A155:B157"/>
    <mergeCell ref="J155:J157"/>
    <mergeCell ref="K155:K157"/>
    <mergeCell ref="L155:L157"/>
    <mergeCell ref="D162:D170"/>
    <mergeCell ref="E162:E170"/>
    <mergeCell ref="J162:J164"/>
    <mergeCell ref="A168:B170"/>
    <mergeCell ref="J168:J170"/>
    <mergeCell ref="V129:X130"/>
    <mergeCell ref="A135:B137"/>
    <mergeCell ref="J135:J137"/>
    <mergeCell ref="K135:K137"/>
    <mergeCell ref="L135:L137"/>
    <mergeCell ref="S132:S134"/>
    <mergeCell ref="A128:B130"/>
    <mergeCell ref="J128:J130"/>
    <mergeCell ref="S152:S154"/>
    <mergeCell ref="A148:B150"/>
    <mergeCell ref="J148:J150"/>
    <mergeCell ref="K148:K150"/>
    <mergeCell ref="L148:L150"/>
    <mergeCell ref="V131:X131"/>
    <mergeCell ref="A142:B144"/>
    <mergeCell ref="C142:C150"/>
    <mergeCell ref="D142:D150"/>
    <mergeCell ref="E142:E150"/>
    <mergeCell ref="J142:J144"/>
    <mergeCell ref="A132:B134"/>
    <mergeCell ref="C132:C140"/>
    <mergeCell ref="D132:D140"/>
    <mergeCell ref="E132:E140"/>
    <mergeCell ref="J132:J134"/>
    <mergeCell ref="A1:E1"/>
    <mergeCell ref="F1:AA1"/>
    <mergeCell ref="B185:C185"/>
    <mergeCell ref="B183:C183"/>
    <mergeCell ref="B184:C184"/>
    <mergeCell ref="B173:G173"/>
    <mergeCell ref="B174:C174"/>
    <mergeCell ref="B176:C176"/>
    <mergeCell ref="B177:C177"/>
    <mergeCell ref="B178:C178"/>
    <mergeCell ref="B179:C179"/>
    <mergeCell ref="B180:C180"/>
    <mergeCell ref="B181:C181"/>
    <mergeCell ref="B182:C182"/>
    <mergeCell ref="K168:K170"/>
    <mergeCell ref="L168:L170"/>
    <mergeCell ref="K162:K164"/>
    <mergeCell ref="L162:L164"/>
    <mergeCell ref="A165:B167"/>
    <mergeCell ref="J165:J167"/>
    <mergeCell ref="K165:K167"/>
    <mergeCell ref="L165:L167"/>
    <mergeCell ref="A162:B164"/>
    <mergeCell ref="C162:C170"/>
  </mergeCells>
  <phoneticPr fontId="71" type="noConversion"/>
  <dataValidations count="3">
    <dataValidation type="list" allowBlank="1" showInputMessage="1" showErrorMessage="1" sqref="Q32" xr:uid="{00000000-0002-0000-1000-000000000000}">
      <formula1>$N$28:$N$46</formula1>
    </dataValidation>
    <dataValidation type="list" allowBlank="1" showInputMessage="1" showErrorMessage="1" sqref="H48" xr:uid="{00000000-0002-0000-1000-000001000000}">
      <formula1>$D$175:$D$186</formula1>
    </dataValidation>
    <dataValidation type="list" allowBlank="1" showInputMessage="1" showErrorMessage="1" sqref="I48" xr:uid="{00000000-0002-0000-1000-000002000000}">
      <formula1>$F$175:$F$184</formula1>
    </dataValidation>
  </dataValidations>
  <printOptions horizontalCentered="1"/>
  <pageMargins left="0.70866141732283472" right="0.70866141732283472" top="0.74803149606299213" bottom="0.74803149606299213" header="0.31496062992125984" footer="0.31496062992125984"/>
  <pageSetup scale="13" orientation="portrait" r:id="rId1"/>
  <headerFooter>
    <oddHeader xml:space="preserve">&amp;C
&amp;16   
</oddHeader>
    <oddFooter xml:space="preserve">&amp;RRT03-F13 Vr.14 (2021-05-21)
</oddFooter>
  </headerFooter>
  <rowBreaks count="3" manualBreakCount="3">
    <brk id="30" max="26" man="1"/>
    <brk id="114" max="26" man="1"/>
    <brk id="155" max="26" man="1"/>
  </rowBreaks>
  <colBreaks count="2" manualBreakCount="2">
    <brk id="28" min="1" max="138" man="1"/>
    <brk id="42" min="1" max="103" man="1"/>
  </colBreaks>
  <ignoredErrors>
    <ignoredError sqref="O123:Q123 O133:Q133 O143:Q143 O153:Q153 O163:Q163 R175:R179 S175:S179 T175:T179 U175:U179 V175:V179 W175:W179" formulaRange="1"/>
  </ignoredErrors>
  <drawing r:id="rId2"/>
  <legacy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92D050"/>
  </sheetPr>
  <dimension ref="A1:U115"/>
  <sheetViews>
    <sheetView showGridLines="0" view="pageBreakPreview" topLeftCell="A16" zoomScale="80" zoomScaleNormal="60" zoomScaleSheetLayoutView="80" workbookViewId="0">
      <selection activeCell="C65" sqref="C65"/>
    </sheetView>
  </sheetViews>
  <sheetFormatPr baseColWidth="10" defaultColWidth="11.42578125" defaultRowHeight="31.5" customHeight="1" x14ac:dyDescent="0.2"/>
  <cols>
    <col min="1" max="1" width="14.7109375" style="37" customWidth="1"/>
    <col min="2" max="2" width="12" style="37" customWidth="1"/>
    <col min="3" max="3" width="15.7109375" style="37" customWidth="1"/>
    <col min="4" max="4" width="17" style="37" customWidth="1"/>
    <col min="5" max="5" width="15.5703125" style="37" customWidth="1"/>
    <col min="6" max="6" width="18.5703125" style="37" customWidth="1"/>
    <col min="7" max="7" width="15.7109375" style="37" customWidth="1"/>
    <col min="8" max="8" width="24.42578125" style="37" bestFit="1" customWidth="1"/>
    <col min="9" max="9" width="13.85546875" style="37" bestFit="1" customWidth="1"/>
    <col min="10" max="10" width="13.7109375" style="37" customWidth="1"/>
    <col min="11" max="19" width="11.42578125" style="8"/>
    <col min="20" max="20" width="15.85546875" style="8" bestFit="1" customWidth="1"/>
    <col min="21" max="21" width="14.42578125" style="8" bestFit="1" customWidth="1"/>
    <col min="22" max="16384" width="11.42578125" style="8"/>
  </cols>
  <sheetData>
    <row r="1" spans="1:16" ht="60" customHeight="1" thickBot="1" x14ac:dyDescent="0.25">
      <c r="A1" s="1257"/>
      <c r="B1" s="1258"/>
      <c r="C1" s="1259" t="s">
        <v>57</v>
      </c>
      <c r="D1" s="1260"/>
      <c r="E1" s="1260"/>
      <c r="F1" s="1260"/>
      <c r="G1" s="1260"/>
      <c r="H1" s="1260"/>
      <c r="I1" s="1260"/>
      <c r="J1" s="1260"/>
      <c r="K1" s="1260"/>
      <c r="L1" s="1260"/>
      <c r="M1" s="1261"/>
      <c r="N1" s="7"/>
      <c r="O1" s="7"/>
      <c r="P1" s="7"/>
    </row>
    <row r="2" spans="1:16" s="11" customFormat="1" ht="9.75" customHeight="1" thickBot="1" x14ac:dyDescent="0.25">
      <c r="A2" s="9"/>
      <c r="B2" s="9"/>
      <c r="C2" s="10"/>
      <c r="D2" s="10"/>
      <c r="E2" s="10"/>
      <c r="F2" s="10"/>
      <c r="G2" s="10"/>
      <c r="H2" s="10"/>
      <c r="K2" s="12"/>
      <c r="M2" s="7"/>
    </row>
    <row r="3" spans="1:16" s="12" customFormat="1" ht="35.25" customHeight="1" thickBot="1" x14ac:dyDescent="0.25">
      <c r="A3" s="13" t="s">
        <v>17</v>
      </c>
      <c r="B3" s="14" t="s">
        <v>55</v>
      </c>
      <c r="C3" s="15" t="s">
        <v>209</v>
      </c>
      <c r="D3" s="15" t="s">
        <v>56</v>
      </c>
      <c r="E3" s="15" t="s">
        <v>8</v>
      </c>
      <c r="F3" s="16" t="s">
        <v>18</v>
      </c>
      <c r="G3" s="16" t="s">
        <v>297</v>
      </c>
      <c r="H3" s="17" t="s">
        <v>24</v>
      </c>
      <c r="I3" s="1262"/>
      <c r="J3" s="1263"/>
      <c r="K3" s="11"/>
      <c r="M3" s="7"/>
    </row>
    <row r="4" spans="1:16" s="11" customFormat="1" ht="32.25" customHeight="1" thickBot="1" x14ac:dyDescent="0.25">
      <c r="A4" s="18" t="e">
        <f>VLOOKUP($I$3,'DATOS %'!B7:J40,2,FALSE)</f>
        <v>#N/A</v>
      </c>
      <c r="B4" s="212" t="e">
        <f>VLOOKUP($I$3,'DATOS %'!$B$7:$J$40,3,FALSE)</f>
        <v>#N/A</v>
      </c>
      <c r="C4" s="19" t="e">
        <f>VLOOKUP($I$3,'DATOS %'!$B$7:$J$40,8,FALSE)</f>
        <v>#N/A</v>
      </c>
      <c r="D4" s="19" t="e">
        <f>VLOOKUP($I$3,'DATOS %'!$B$7:$J$40,6,FALSE)</f>
        <v>#N/A</v>
      </c>
      <c r="E4" s="212" t="e">
        <f>VLOOKUP($I$3,'DATOS %'!$B$7:$J$40,7,FALSE)</f>
        <v>#N/A</v>
      </c>
      <c r="F4" s="18" t="e">
        <f>VLOOKUP($I$3,'DATOS %'!$B$7:$J$40,4,FALSE)</f>
        <v>#N/A</v>
      </c>
      <c r="G4" s="18" t="e">
        <f>VLOOKUP($I$3,'DATOS %'!$B$7:$J$40,5,FALSE)</f>
        <v>#N/A</v>
      </c>
      <c r="H4" s="19" t="e">
        <f>VLOOKUP($I$3,'DATOS %'!$B$7:$J$40,9,FALSE)</f>
        <v>#N/A</v>
      </c>
      <c r="I4" s="1264"/>
      <c r="J4" s="1265"/>
      <c r="K4" s="8"/>
      <c r="L4" s="20"/>
      <c r="M4" s="20"/>
    </row>
    <row r="5" spans="1:16" s="22" customFormat="1" ht="6.75" customHeight="1" thickBot="1" x14ac:dyDescent="0.25">
      <c r="A5" s="21"/>
      <c r="B5" s="21"/>
      <c r="C5" s="21"/>
      <c r="F5" s="21"/>
      <c r="G5" s="21"/>
      <c r="H5" s="21"/>
      <c r="K5" s="8"/>
    </row>
    <row r="6" spans="1:16" ht="31.5" customHeight="1" thickBot="1" x14ac:dyDescent="0.25">
      <c r="A6" s="1266" t="s">
        <v>19</v>
      </c>
      <c r="B6" s="1267"/>
      <c r="C6" s="1267"/>
      <c r="D6" s="1268"/>
      <c r="E6" s="4"/>
      <c r="F6" s="1266" t="s">
        <v>20</v>
      </c>
      <c r="G6" s="1267"/>
      <c r="H6" s="1267"/>
      <c r="I6" s="1268"/>
      <c r="J6" s="402">
        <f>I3</f>
        <v>0</v>
      </c>
    </row>
    <row r="7" spans="1:16" ht="31.5" customHeight="1" x14ac:dyDescent="0.2">
      <c r="A7" s="23" t="s">
        <v>21</v>
      </c>
      <c r="B7" s="24" t="e">
        <f>VLOOKUP($E$6,'DATOS %'!N11:AA113,2,FALSE)</f>
        <v>#N/A</v>
      </c>
      <c r="C7" s="25" t="s">
        <v>10</v>
      </c>
      <c r="D7" s="26" t="e">
        <f>VLOOKUP($E$6,'DATOS %'!N11:AA113,3,FALSE)</f>
        <v>#N/A</v>
      </c>
      <c r="E7" s="27"/>
      <c r="F7" s="23" t="s">
        <v>21</v>
      </c>
      <c r="G7" s="24" t="e">
        <f>VLOOKUP($J$6,'DATOS %'!B47:I79,2,FALSE)</f>
        <v>#N/A</v>
      </c>
      <c r="H7" s="28" t="s">
        <v>10</v>
      </c>
      <c r="I7" s="26" t="e">
        <f>VLOOKUP($J$6,'DATOS %'!B47:I79,3,FALSE)</f>
        <v>#N/A</v>
      </c>
      <c r="J7" s="29"/>
    </row>
    <row r="8" spans="1:16" ht="31.5" customHeight="1" x14ac:dyDescent="0.2">
      <c r="A8" s="30" t="s">
        <v>22</v>
      </c>
      <c r="B8" s="31" t="e">
        <f>VLOOKUP($E$6,'DATOS %'!N11:AA113,4,FALSE)</f>
        <v>#N/A</v>
      </c>
      <c r="C8" s="32" t="s">
        <v>23</v>
      </c>
      <c r="D8" s="33" t="e">
        <f>VLOOKUP($E$6,'DATOS %'!N11:AA113,5,FALSE)</f>
        <v>#N/A</v>
      </c>
      <c r="E8" s="27"/>
      <c r="F8" s="30" t="s">
        <v>22</v>
      </c>
      <c r="G8" s="31" t="e">
        <f>VLOOKUP($J$6,'DATOS %'!B47:I79,4,FALSE)</f>
        <v>#N/A</v>
      </c>
      <c r="H8" s="32" t="s">
        <v>23</v>
      </c>
      <c r="I8" s="297" t="e">
        <f>VLOOKUP($J$6,'DATOS %'!B47:I79,5,FALSE)</f>
        <v>#N/A</v>
      </c>
      <c r="J8" s="29"/>
    </row>
    <row r="9" spans="1:16" ht="31.5" customHeight="1" x14ac:dyDescent="0.2">
      <c r="A9" s="34" t="s">
        <v>24</v>
      </c>
      <c r="B9" s="31" t="e">
        <f>VLOOKUP($E$6,'DATOS %'!N11:AA113,6,FALSE)</f>
        <v>#N/A</v>
      </c>
      <c r="C9" s="35" t="s">
        <v>15</v>
      </c>
      <c r="D9" s="36" t="e">
        <f>VLOOKUP($E$6,'DATOS %'!N11:AA113,7,FALSE)</f>
        <v>#N/A</v>
      </c>
      <c r="F9" s="1252" t="s">
        <v>62</v>
      </c>
      <c r="G9" s="1253"/>
      <c r="H9" s="31" t="e">
        <f>VLOOKUP($J$6,'DATOS %'!B47:I79,6,FALSE)</f>
        <v>#N/A</v>
      </c>
      <c r="I9" s="33" t="s">
        <v>1</v>
      </c>
      <c r="J9" s="29"/>
      <c r="K9" s="411"/>
    </row>
    <row r="10" spans="1:16" s="38" customFormat="1" ht="31.5" customHeight="1" x14ac:dyDescent="0.25">
      <c r="A10" s="1252" t="s">
        <v>63</v>
      </c>
      <c r="B10" s="1253"/>
      <c r="C10" s="223" t="e">
        <f>VLOOKUP($E$6,'DATOS %'!N11:AA113,8,FALSE)</f>
        <v>#N/A</v>
      </c>
      <c r="D10" s="33" t="s">
        <v>1</v>
      </c>
      <c r="F10" s="1252" t="s">
        <v>64</v>
      </c>
      <c r="G10" s="1253"/>
      <c r="H10" s="213" t="e">
        <f>VLOOKUP($J$6,'DATOS %'!B47:I79,7,FALSE)</f>
        <v>#N/A</v>
      </c>
      <c r="I10" s="33" t="s">
        <v>76</v>
      </c>
      <c r="J10" s="39"/>
    </row>
    <row r="11" spans="1:16" s="38" customFormat="1" ht="31.5" customHeight="1" thickBot="1" x14ac:dyDescent="0.3">
      <c r="A11" s="1252" t="s">
        <v>65</v>
      </c>
      <c r="B11" s="1253"/>
      <c r="C11" s="31" t="e">
        <f>VLOOKUP($E$6,'DATOS %'!N11:AA113,9,FALSE)</f>
        <v>#N/A</v>
      </c>
      <c r="D11" s="33" t="s">
        <v>3</v>
      </c>
      <c r="E11" s="40"/>
      <c r="F11" s="1271" t="s">
        <v>66</v>
      </c>
      <c r="G11" s="1272"/>
      <c r="H11" s="41" t="e">
        <f>VLOOKUP($J$6,'DATOS %'!B47:I79,8,FALSE)</f>
        <v>#N/A</v>
      </c>
      <c r="I11" s="45" t="s">
        <v>76</v>
      </c>
      <c r="J11" s="39"/>
    </row>
    <row r="12" spans="1:16" s="38" customFormat="1" ht="31.5" customHeight="1" thickBot="1" x14ac:dyDescent="0.3">
      <c r="A12" s="1252" t="s">
        <v>67</v>
      </c>
      <c r="B12" s="1253"/>
      <c r="C12" s="31" t="e">
        <f>VLOOKUP($E$6,'DATOS %'!N11:AA113,10,FALSE)</f>
        <v>#N/A</v>
      </c>
      <c r="D12" s="33" t="s">
        <v>3</v>
      </c>
      <c r="E12" s="39"/>
      <c r="F12" s="39"/>
      <c r="G12" s="39"/>
      <c r="H12" s="39"/>
    </row>
    <row r="13" spans="1:16" s="38" customFormat="1" ht="31.5" customHeight="1" thickBot="1" x14ac:dyDescent="0.3">
      <c r="A13" s="1252" t="s">
        <v>68</v>
      </c>
      <c r="B13" s="1253"/>
      <c r="C13" s="213" t="e">
        <f>VLOOKUP($E$6,'DATOS %'!N11:AA113,11,FALSE)</f>
        <v>#N/A</v>
      </c>
      <c r="D13" s="33" t="s">
        <v>532</v>
      </c>
      <c r="E13" s="39"/>
      <c r="F13" s="1254" t="s">
        <v>559</v>
      </c>
      <c r="G13" s="1255"/>
      <c r="H13" s="1255"/>
      <c r="I13" s="1256"/>
      <c r="J13" s="5"/>
    </row>
    <row r="14" spans="1:16" s="38" customFormat="1" ht="31.5" customHeight="1" x14ac:dyDescent="0.2">
      <c r="A14" s="1252" t="s">
        <v>305</v>
      </c>
      <c r="B14" s="1253"/>
      <c r="C14" s="31" t="e">
        <f>VLOOKUP($E$6,'DATOS %'!N11:AA113,12,FALSE)</f>
        <v>#N/A</v>
      </c>
      <c r="D14" s="33" t="s">
        <v>532</v>
      </c>
      <c r="E14" s="39"/>
      <c r="F14" s="23" t="s">
        <v>10</v>
      </c>
      <c r="G14" s="24" t="e">
        <f>VLOOKUP($J$13,'DATOS %'!$V$119:$Y$126,2,FALSE)</f>
        <v>#N/A</v>
      </c>
      <c r="H14" s="28" t="s">
        <v>22</v>
      </c>
      <c r="I14" s="24" t="e">
        <f>VLOOKUP($J$13,'DATOS %'!$V$119:$Z$126,3,FALSE)</f>
        <v>#N/A</v>
      </c>
      <c r="J14" s="42"/>
      <c r="K14" s="8"/>
    </row>
    <row r="15" spans="1:16" ht="31.5" customHeight="1" thickBot="1" x14ac:dyDescent="0.25">
      <c r="A15" s="1277" t="s">
        <v>69</v>
      </c>
      <c r="B15" s="1278"/>
      <c r="C15" s="31" t="e">
        <f>VLOOKUP($E$6,'DATOS %'!N11:AA113,13,FALSE)</f>
        <v>#N/A</v>
      </c>
      <c r="D15" s="33" t="s">
        <v>532</v>
      </c>
      <c r="E15" s="29"/>
      <c r="F15" s="43" t="s">
        <v>61</v>
      </c>
      <c r="G15" s="41" t="e">
        <f>VLOOKUP($J$13,'DATOS %'!$V$119:$Y$126,4,FALSE)</f>
        <v>#N/A</v>
      </c>
      <c r="H15" s="41" t="s">
        <v>1</v>
      </c>
      <c r="I15" s="238" t="s">
        <v>210</v>
      </c>
      <c r="J15" s="45" t="e">
        <f>VLOOKUP($J$13,'DATOS %'!$V$119:$Z$126,5,FALSE)</f>
        <v>#N/A</v>
      </c>
      <c r="K15" s="22"/>
    </row>
    <row r="16" spans="1:16" ht="30.95" customHeight="1" thickBot="1" x14ac:dyDescent="0.25">
      <c r="A16" s="1279" t="s">
        <v>210</v>
      </c>
      <c r="B16" s="1280"/>
      <c r="C16" s="1281" t="e">
        <f>VLOOKUP($E$6,'DATOS %'!N11:AA113,14,FALSE)</f>
        <v>#N/A</v>
      </c>
      <c r="D16" s="1282"/>
      <c r="E16" s="29"/>
      <c r="F16" s="8"/>
      <c r="G16" s="8"/>
      <c r="H16" s="8"/>
      <c r="I16" s="8"/>
      <c r="J16" s="8"/>
    </row>
    <row r="17" spans="1:11" s="22" customFormat="1" ht="30.95" customHeight="1" thickBot="1" x14ac:dyDescent="0.25">
      <c r="A17" s="29"/>
      <c r="B17" s="29"/>
      <c r="C17" s="29"/>
      <c r="D17" s="29"/>
      <c r="E17" s="29"/>
      <c r="F17" s="29"/>
      <c r="G17" s="29"/>
      <c r="H17" s="29"/>
      <c r="I17" s="29"/>
      <c r="J17" s="29"/>
      <c r="K17" s="8"/>
    </row>
    <row r="18" spans="1:11" ht="31.5" customHeight="1" thickBot="1" x14ac:dyDescent="0.25">
      <c r="A18" s="1331" t="s">
        <v>26</v>
      </c>
      <c r="B18" s="1332"/>
      <c r="C18" s="1332"/>
      <c r="D18" s="1332"/>
      <c r="E18" s="1332"/>
      <c r="F18" s="1332"/>
      <c r="G18" s="1332"/>
      <c r="H18" s="1332"/>
      <c r="I18" s="1332"/>
      <c r="J18" s="1333"/>
    </row>
    <row r="19" spans="1:11" ht="46.5" customHeight="1" thickBot="1" x14ac:dyDescent="0.25">
      <c r="A19" s="407" t="s">
        <v>10</v>
      </c>
      <c r="B19" s="101" t="e">
        <f>VLOOKUP(J19,'DATOS %'!J174:W180,2,FALSE)</f>
        <v>#N/A</v>
      </c>
      <c r="C19" s="95" t="s">
        <v>7</v>
      </c>
      <c r="D19" s="408" t="e">
        <f>VLOOKUP(J19,'DATOS %'!J174:W180,3,FALSE)</f>
        <v>#N/A</v>
      </c>
      <c r="E19" s="409" t="s">
        <v>24</v>
      </c>
      <c r="F19" s="1286" t="e">
        <f>VLOOKUP(J19,'DATOS %'!J174:W180,5,FALSE)</f>
        <v>#N/A</v>
      </c>
      <c r="G19" s="1287"/>
      <c r="H19" s="95" t="s">
        <v>25</v>
      </c>
      <c r="I19" s="212" t="e">
        <f>VLOOKUP(J19,'DATOS %'!J174:W180,4,FALSE)</f>
        <v>#N/A</v>
      </c>
      <c r="J19" s="1374"/>
    </row>
    <row r="20" spans="1:11" ht="31.5" customHeight="1" thickBot="1" x14ac:dyDescent="0.25">
      <c r="A20" s="1290" t="s">
        <v>316</v>
      </c>
      <c r="B20" s="1291"/>
      <c r="C20" s="94" t="s">
        <v>27</v>
      </c>
      <c r="D20" s="101" t="e">
        <f>VLOOKUP(J19,'DATOS %'!J174:W180,6,FALSE)</f>
        <v>#N/A</v>
      </c>
      <c r="E20" s="1292" t="s">
        <v>307</v>
      </c>
      <c r="F20" s="1293"/>
      <c r="G20" s="101" t="e">
        <f>VLOOKUP(J19,'DATOS %'!J174:W180,7,FALSE)</f>
        <v>#N/A</v>
      </c>
      <c r="H20" s="95" t="s">
        <v>9</v>
      </c>
      <c r="I20" s="363" t="e">
        <f>VLOOKUP(J19,'DATOS %'!J174:W180,8,FALSE)</f>
        <v>#N/A</v>
      </c>
      <c r="J20" s="1289"/>
    </row>
    <row r="21" spans="1:11" s="46" customFormat="1" ht="15" customHeight="1" thickBot="1" x14ac:dyDescent="0.25">
      <c r="A21" s="47"/>
      <c r="B21" s="47"/>
      <c r="C21" s="47"/>
      <c r="D21" s="47"/>
      <c r="E21" s="47"/>
      <c r="F21" s="47"/>
      <c r="G21" s="47"/>
      <c r="H21" s="47"/>
      <c r="I21" s="47"/>
      <c r="J21" s="47"/>
      <c r="K21" s="8"/>
    </row>
    <row r="22" spans="1:11" s="48" customFormat="1" ht="31.5" customHeight="1" thickBot="1" x14ac:dyDescent="0.25">
      <c r="A22" s="1294" t="s">
        <v>28</v>
      </c>
      <c r="B22" s="1295"/>
      <c r="C22" s="1295"/>
      <c r="D22" s="1295"/>
      <c r="E22" s="1295"/>
      <c r="F22" s="1295"/>
      <c r="G22" s="1295"/>
      <c r="H22" s="1295"/>
      <c r="I22" s="1295"/>
      <c r="J22" s="1296"/>
      <c r="K22" s="47"/>
    </row>
    <row r="23" spans="1:11" s="47" customFormat="1" ht="2.25" customHeight="1" thickBot="1" x14ac:dyDescent="0.25">
      <c r="A23" s="49"/>
      <c r="B23" s="50"/>
      <c r="C23" s="50"/>
      <c r="D23" s="50"/>
      <c r="E23" s="50"/>
      <c r="F23" s="50"/>
      <c r="G23" s="50"/>
      <c r="H23" s="50"/>
      <c r="I23" s="50"/>
      <c r="J23" s="51"/>
      <c r="K23" s="48"/>
    </row>
    <row r="24" spans="1:11" s="48" customFormat="1" ht="31.5" customHeight="1" thickBot="1" x14ac:dyDescent="0.25">
      <c r="A24" s="52" t="s">
        <v>29</v>
      </c>
      <c r="B24" s="916"/>
      <c r="C24" s="1297" t="s">
        <v>27</v>
      </c>
      <c r="D24" s="1298"/>
      <c r="E24" s="1"/>
      <c r="F24" s="1299" t="s">
        <v>307</v>
      </c>
      <c r="G24" s="1300"/>
      <c r="H24" s="2"/>
      <c r="I24" s="224" t="s">
        <v>9</v>
      </c>
      <c r="J24" s="215"/>
      <c r="K24" s="46"/>
    </row>
    <row r="25" spans="1:11" s="46" customFormat="1" ht="15" customHeight="1" thickBot="1" x14ac:dyDescent="0.25">
      <c r="A25" s="47"/>
      <c r="B25" s="47"/>
      <c r="C25" s="47"/>
      <c r="D25" s="47"/>
      <c r="E25" s="47"/>
      <c r="F25" s="47"/>
      <c r="G25" s="47"/>
      <c r="H25" s="6"/>
      <c r="I25" s="47"/>
      <c r="K25" s="48"/>
    </row>
    <row r="26" spans="1:11" s="48" customFormat="1" ht="29.25" customHeight="1" thickBot="1" x14ac:dyDescent="0.25">
      <c r="A26" s="115" t="s">
        <v>129</v>
      </c>
      <c r="B26" s="105">
        <v>4</v>
      </c>
      <c r="C26" s="1301" t="s">
        <v>30</v>
      </c>
      <c r="D26" s="1302"/>
      <c r="E26" s="1302"/>
      <c r="F26" s="1303"/>
      <c r="G26" s="1304" t="s">
        <v>211</v>
      </c>
      <c r="H26" s="1305"/>
    </row>
    <row r="27" spans="1:11" s="48" customFormat="1" ht="31.5" customHeight="1" thickBot="1" x14ac:dyDescent="0.25">
      <c r="A27" s="1273" t="s">
        <v>31</v>
      </c>
      <c r="B27" s="1274"/>
      <c r="C27" s="237">
        <v>1</v>
      </c>
      <c r="D27" s="237">
        <v>2</v>
      </c>
      <c r="E27" s="237">
        <v>3</v>
      </c>
      <c r="F27" s="129">
        <v>4</v>
      </c>
      <c r="G27" s="1275" t="e">
        <f>VLOOKUP($H$25,'DATOS %'!$V$161:$AA$165,2,FALSE)</f>
        <v>#N/A</v>
      </c>
      <c r="H27" s="1276"/>
    </row>
    <row r="28" spans="1:11" s="48" customFormat="1" ht="31.5" customHeight="1" x14ac:dyDescent="0.2">
      <c r="A28" s="1310" t="s">
        <v>32</v>
      </c>
      <c r="B28" s="141" t="s">
        <v>0</v>
      </c>
      <c r="C28" s="142"/>
      <c r="D28" s="142"/>
      <c r="E28" s="142"/>
      <c r="F28" s="143"/>
      <c r="G28" s="47"/>
      <c r="H28" s="47"/>
      <c r="I28" s="47"/>
      <c r="J28" s="47"/>
    </row>
    <row r="29" spans="1:11" s="48" customFormat="1" ht="31.5" customHeight="1" x14ac:dyDescent="0.2">
      <c r="A29" s="1311"/>
      <c r="B29" s="104" t="s">
        <v>2</v>
      </c>
      <c r="C29" s="127"/>
      <c r="D29" s="127"/>
      <c r="E29" s="127"/>
      <c r="F29" s="128"/>
      <c r="G29" s="47"/>
      <c r="H29" s="47"/>
      <c r="I29" s="47"/>
      <c r="J29" s="47"/>
    </row>
    <row r="30" spans="1:11" s="48" customFormat="1" ht="31.5" customHeight="1" x14ac:dyDescent="0.2">
      <c r="A30" s="1311"/>
      <c r="B30" s="104" t="s">
        <v>2</v>
      </c>
      <c r="C30" s="127"/>
      <c r="D30" s="127"/>
      <c r="E30" s="127"/>
      <c r="F30" s="128"/>
      <c r="G30" s="47"/>
      <c r="H30" s="47"/>
      <c r="I30" s="47"/>
      <c r="J30" s="47"/>
    </row>
    <row r="31" spans="1:11" s="48" customFormat="1" ht="31.5" customHeight="1" thickBot="1" x14ac:dyDescent="0.25">
      <c r="A31" s="1312"/>
      <c r="B31" s="53" t="s">
        <v>0</v>
      </c>
      <c r="C31" s="144"/>
      <c r="D31" s="144"/>
      <c r="E31" s="144"/>
      <c r="F31" s="145"/>
      <c r="G31" s="47"/>
      <c r="H31" s="47"/>
      <c r="I31" s="47"/>
      <c r="J31" s="47"/>
      <c r="K31" s="46"/>
    </row>
    <row r="32" spans="1:11" s="46" customFormat="1" ht="15" customHeight="1" thickBot="1" x14ac:dyDescent="0.25">
      <c r="A32" s="47"/>
      <c r="B32" s="47"/>
      <c r="C32" s="47"/>
      <c r="D32" s="47"/>
      <c r="E32" s="47"/>
      <c r="F32" s="47"/>
      <c r="G32" s="47"/>
      <c r="H32" s="47"/>
      <c r="I32" s="47"/>
      <c r="J32" s="47"/>
      <c r="K32" s="48"/>
    </row>
    <row r="33" spans="1:11" s="48" customFormat="1" ht="31.5" customHeight="1" thickBot="1" x14ac:dyDescent="0.25">
      <c r="A33" s="54" t="s">
        <v>33</v>
      </c>
      <c r="B33" s="916"/>
      <c r="C33" s="1297" t="s">
        <v>27</v>
      </c>
      <c r="D33" s="1298"/>
      <c r="E33" s="1"/>
      <c r="F33" s="1299" t="s">
        <v>307</v>
      </c>
      <c r="G33" s="1300"/>
      <c r="H33" s="2"/>
      <c r="I33" s="225" t="s">
        <v>9</v>
      </c>
      <c r="J33" s="3"/>
      <c r="K33" s="46"/>
    </row>
    <row r="34" spans="1:11" s="46" customFormat="1" ht="12" customHeight="1" x14ac:dyDescent="0.2">
      <c r="A34" s="55"/>
      <c r="B34" s="55"/>
      <c r="C34" s="55"/>
      <c r="D34" s="55"/>
      <c r="E34" s="55"/>
      <c r="F34" s="55"/>
      <c r="G34" s="55"/>
      <c r="H34" s="55"/>
      <c r="I34" s="55"/>
      <c r="J34" s="55"/>
      <c r="K34" s="48"/>
    </row>
    <row r="35" spans="1:11" s="48" customFormat="1" ht="15" customHeight="1" thickBot="1" x14ac:dyDescent="0.25">
      <c r="A35" s="56"/>
      <c r="B35" s="56"/>
      <c r="C35" s="56"/>
      <c r="D35" s="56"/>
      <c r="E35" s="56"/>
      <c r="F35" s="56"/>
      <c r="G35" s="56"/>
      <c r="H35" s="56"/>
      <c r="I35" s="56"/>
      <c r="J35" s="56"/>
    </row>
    <row r="36" spans="1:11" s="48" customFormat="1" ht="32.25" customHeight="1" thickBot="1" x14ac:dyDescent="0.25">
      <c r="A36" s="1294" t="s">
        <v>34</v>
      </c>
      <c r="B36" s="1295"/>
      <c r="C36" s="1295"/>
      <c r="D36" s="1295"/>
      <c r="E36" s="1295"/>
      <c r="F36" s="1295"/>
      <c r="G36" s="1295"/>
      <c r="H36" s="1295"/>
      <c r="I36" s="1295"/>
      <c r="J36" s="1296"/>
    </row>
    <row r="37" spans="1:11" s="48" customFormat="1" ht="3.75" customHeight="1" thickBot="1" x14ac:dyDescent="0.25">
      <c r="A37" s="55"/>
      <c r="B37" s="47"/>
      <c r="C37" s="47"/>
      <c r="D37" s="47"/>
      <c r="E37" s="47"/>
      <c r="F37" s="47"/>
      <c r="G37" s="47"/>
      <c r="H37" s="47"/>
      <c r="I37" s="47"/>
      <c r="J37" s="55"/>
    </row>
    <row r="38" spans="1:11" s="48" customFormat="1" ht="31.5" customHeight="1" thickBot="1" x14ac:dyDescent="0.25">
      <c r="A38" s="47"/>
      <c r="B38" s="1316" t="s">
        <v>35</v>
      </c>
      <c r="C38" s="1317"/>
      <c r="D38" s="1317"/>
      <c r="E38" s="1317"/>
      <c r="F38" s="1318"/>
      <c r="G38" s="47"/>
      <c r="H38" s="1319" t="s">
        <v>236</v>
      </c>
      <c r="I38" s="1320"/>
      <c r="J38" s="1321"/>
    </row>
    <row r="39" spans="1:11" s="48" customFormat="1" ht="31.5" customHeight="1" thickBot="1" x14ac:dyDescent="0.25">
      <c r="A39" s="47"/>
      <c r="B39" s="57" t="s">
        <v>31</v>
      </c>
      <c r="C39" s="203">
        <v>1</v>
      </c>
      <c r="D39" s="141">
        <v>2</v>
      </c>
      <c r="E39" s="141">
        <v>3</v>
      </c>
      <c r="F39" s="204">
        <v>4</v>
      </c>
      <c r="G39" s="47"/>
      <c r="H39" s="1322"/>
      <c r="I39" s="1323"/>
      <c r="J39" s="1324"/>
    </row>
    <row r="40" spans="1:11" s="48" customFormat="1" ht="31.5" customHeight="1" x14ac:dyDescent="0.2">
      <c r="A40" s="58"/>
      <c r="B40" s="59"/>
      <c r="C40" s="121" t="e">
        <f>+AVERAGE(C28,C31)</f>
        <v>#DIV/0!</v>
      </c>
      <c r="D40" s="122" t="e">
        <f>+AVERAGE(D28,D31)</f>
        <v>#DIV/0!</v>
      </c>
      <c r="E40" s="122" t="e">
        <f>+AVERAGE(E28,E31)</f>
        <v>#DIV/0!</v>
      </c>
      <c r="F40" s="205" t="e">
        <f>+AVERAGE(F28,F31)</f>
        <v>#DIV/0!</v>
      </c>
      <c r="G40" s="47"/>
      <c r="H40" s="1325"/>
      <c r="I40" s="1326"/>
      <c r="J40" s="1327"/>
    </row>
    <row r="41" spans="1:11" s="48" customFormat="1" ht="31.5" customHeight="1" x14ac:dyDescent="0.2">
      <c r="A41" s="58"/>
      <c r="B41" s="60"/>
      <c r="C41" s="123" t="e">
        <f>+AVERAGE(C29:C30)</f>
        <v>#DIV/0!</v>
      </c>
      <c r="D41" s="61" t="e">
        <f>+AVERAGE(D29:D30)</f>
        <v>#DIV/0!</v>
      </c>
      <c r="E41" s="61" t="e">
        <f>+AVERAGE(E29:E30)</f>
        <v>#DIV/0!</v>
      </c>
      <c r="F41" s="206" t="e">
        <f>+AVERAGE(F29:F30)</f>
        <v>#DIV/0!</v>
      </c>
      <c r="G41" s="47"/>
      <c r="H41" s="1325"/>
      <c r="I41" s="1326"/>
      <c r="J41" s="1327"/>
    </row>
    <row r="42" spans="1:11" s="48" customFormat="1" ht="31.5" customHeight="1" thickBot="1" x14ac:dyDescent="0.25">
      <c r="A42" s="58"/>
      <c r="B42" s="62"/>
      <c r="C42" s="124" t="e">
        <f>+C41-C40</f>
        <v>#DIV/0!</v>
      </c>
      <c r="D42" s="125" t="e">
        <f>+D41-D40</f>
        <v>#DIV/0!</v>
      </c>
      <c r="E42" s="125" t="e">
        <f>+E41-E40</f>
        <v>#DIV/0!</v>
      </c>
      <c r="F42" s="207" t="e">
        <f>+F41-F40</f>
        <v>#DIV/0!</v>
      </c>
      <c r="G42" s="47"/>
      <c r="H42" s="1328"/>
      <c r="I42" s="1329"/>
      <c r="J42" s="1330"/>
    </row>
    <row r="43" spans="1:11" s="48" customFormat="1" ht="31.5" customHeight="1" thickBot="1" x14ac:dyDescent="0.25">
      <c r="A43" s="47"/>
      <c r="B43" s="63" t="s">
        <v>36</v>
      </c>
      <c r="C43" s="286" t="e">
        <f>+AVERAGE(C42:F42)</f>
        <v>#DIV/0!</v>
      </c>
      <c r="D43" s="47"/>
      <c r="E43" s="47"/>
      <c r="F43" s="47"/>
      <c r="G43" s="47"/>
      <c r="H43" s="47"/>
      <c r="I43" s="47"/>
      <c r="J43" s="47"/>
    </row>
    <row r="44" spans="1:11" s="48" customFormat="1" ht="31.5" customHeight="1" thickBot="1" x14ac:dyDescent="0.25">
      <c r="A44" s="47"/>
      <c r="B44" s="64" t="s">
        <v>77</v>
      </c>
      <c r="C44" s="416" t="e">
        <f>+STDEV(C42:F42)</f>
        <v>#DIV/0!</v>
      </c>
      <c r="D44" s="47"/>
      <c r="E44" s="47"/>
      <c r="F44" s="47"/>
      <c r="G44" s="47"/>
      <c r="H44" s="47"/>
      <c r="I44" s="47"/>
      <c r="J44" s="47"/>
      <c r="K44" s="46"/>
    </row>
    <row r="45" spans="1:11" s="46" customFormat="1" ht="15" customHeight="1" thickBot="1" x14ac:dyDescent="0.25">
      <c r="A45" s="47"/>
      <c r="B45" s="47"/>
      <c r="C45" s="47"/>
      <c r="D45" s="47"/>
      <c r="E45" s="47"/>
      <c r="F45" s="47"/>
      <c r="G45" s="65"/>
      <c r="H45" s="47"/>
      <c r="I45" s="47"/>
      <c r="J45" s="47"/>
      <c r="K45" s="48"/>
    </row>
    <row r="46" spans="1:11" s="48" customFormat="1" ht="31.5" customHeight="1" thickBot="1" x14ac:dyDescent="0.25">
      <c r="A46" s="1331" t="s">
        <v>37</v>
      </c>
      <c r="B46" s="1332"/>
      <c r="C46" s="1284"/>
      <c r="D46" s="1284"/>
      <c r="E46" s="1284"/>
      <c r="F46" s="1332"/>
      <c r="G46" s="1332"/>
      <c r="H46" s="1332"/>
      <c r="I46" s="1332"/>
      <c r="J46" s="1333"/>
    </row>
    <row r="47" spans="1:11" s="48" customFormat="1" ht="31.5" customHeight="1" thickBot="1" x14ac:dyDescent="0.25">
      <c r="A47" s="1375" t="s">
        <v>321</v>
      </c>
      <c r="B47" s="1376"/>
      <c r="C47" s="1338" t="s">
        <v>38</v>
      </c>
      <c r="D47" s="1339"/>
      <c r="E47" s="1340"/>
      <c r="F47" s="47"/>
      <c r="G47" s="47"/>
      <c r="H47" s="47"/>
      <c r="I47" s="47"/>
      <c r="J47" s="47"/>
    </row>
    <row r="48" spans="1:11" s="48" customFormat="1" ht="36.75" customHeight="1" thickBot="1" x14ac:dyDescent="0.25">
      <c r="A48" s="1377"/>
      <c r="B48" s="1378"/>
      <c r="C48" s="82" t="s">
        <v>27</v>
      </c>
      <c r="D48" s="93" t="s">
        <v>307</v>
      </c>
      <c r="E48" s="83" t="s">
        <v>9</v>
      </c>
      <c r="G48" s="1341" t="s">
        <v>70</v>
      </c>
      <c r="H48" s="1342"/>
      <c r="I48" s="441" t="e">
        <f>+(0.34848*E50-0.009*D50*EXP(0.061*C50))/(273.15+C50)</f>
        <v>#DIV/0!</v>
      </c>
      <c r="J48" s="103" t="s">
        <v>73</v>
      </c>
    </row>
    <row r="49" spans="1:21" s="48" customFormat="1" ht="33" customHeight="1" thickBot="1" x14ac:dyDescent="0.25">
      <c r="A49" s="1306" t="s">
        <v>39</v>
      </c>
      <c r="B49" s="1307"/>
      <c r="C49" s="90" t="e">
        <f>+AVERAGE(E33,E24)</f>
        <v>#DIV/0!</v>
      </c>
      <c r="D49" s="91" t="e">
        <f>+AVERAGE(H33,H24)</f>
        <v>#DIV/0!</v>
      </c>
      <c r="E49" s="92" t="e">
        <f>+AVERAGE(J33,J24)</f>
        <v>#DIV/0!</v>
      </c>
      <c r="G49" s="1308" t="s">
        <v>71</v>
      </c>
      <c r="H49" s="1309"/>
      <c r="I49" s="422" t="e">
        <f>I48*((0.0001)^2+(0.001*I20/2)^2+(-0.0034*D20/2)^2+(-0.01*G20/2)^2)^0.5</f>
        <v>#DIV/0!</v>
      </c>
      <c r="J49" s="66" t="s">
        <v>73</v>
      </c>
      <c r="K49" s="367"/>
      <c r="L49" s="367"/>
    </row>
    <row r="50" spans="1:21" s="48" customFormat="1" ht="36.75" customHeight="1" thickBot="1" x14ac:dyDescent="0.25">
      <c r="A50" s="1343" t="s">
        <v>322</v>
      </c>
      <c r="B50" s="1344"/>
      <c r="C50" s="84" t="e">
        <f>C49+(VLOOKUP(J19,'DATOS %'!J174:W180,9,FALSE))*C49+(VLOOKUP(J19,'DATOS %'!J174:W180,10,FALSE))</f>
        <v>#DIV/0!</v>
      </c>
      <c r="D50" s="85" t="e">
        <f>D49+(VLOOKUP(J19,'DATOS %'!J174:W180,11,FALSE))*D49+(VLOOKUP(J19,'DATOS %'!J174:W180,12,FALSE))</f>
        <v>#DIV/0!</v>
      </c>
      <c r="E50" s="86" t="e">
        <f>E49+(VLOOKUP(J19,'DATOS %'!J174:W180,13,FALSE))*E49+(VLOOKUP(J19,'DATOS %'!J174:W180,14,FALSE))</f>
        <v>#DIV/0!</v>
      </c>
      <c r="G50" s="1341" t="s">
        <v>72</v>
      </c>
      <c r="H50" s="1342"/>
      <c r="I50" s="67">
        <v>1.2</v>
      </c>
      <c r="J50" s="66" t="s">
        <v>73</v>
      </c>
    </row>
    <row r="51" spans="1:21" s="46" customFormat="1" ht="15" customHeight="1" thickBot="1" x14ac:dyDescent="0.25">
      <c r="A51" s="47"/>
      <c r="B51" s="47"/>
      <c r="C51" s="47"/>
      <c r="D51" s="47"/>
      <c r="E51" s="47"/>
      <c r="F51" s="47"/>
      <c r="G51" s="47"/>
      <c r="H51" s="47"/>
      <c r="I51" s="47"/>
      <c r="J51" s="47"/>
      <c r="K51" s="48"/>
    </row>
    <row r="52" spans="1:21" s="48" customFormat="1" ht="31.5" customHeight="1" thickBot="1" x14ac:dyDescent="0.25">
      <c r="A52" s="1331" t="s">
        <v>40</v>
      </c>
      <c r="B52" s="1332"/>
      <c r="C52" s="1332"/>
      <c r="D52" s="1332"/>
      <c r="E52" s="1332"/>
      <c r="F52" s="1332"/>
      <c r="G52" s="1332"/>
      <c r="H52" s="1332"/>
      <c r="I52" s="1332"/>
      <c r="J52" s="1333"/>
    </row>
    <row r="53" spans="1:21" s="48" customFormat="1" ht="31.5" customHeight="1" x14ac:dyDescent="0.35">
      <c r="A53" s="47"/>
      <c r="B53" s="68" t="s">
        <v>41</v>
      </c>
      <c r="C53" s="69"/>
      <c r="D53" s="1345" t="s">
        <v>74</v>
      </c>
      <c r="E53" s="1345"/>
      <c r="F53" s="70" t="s">
        <v>42</v>
      </c>
      <c r="G53" s="71" t="s">
        <v>43</v>
      </c>
      <c r="H53" s="1346" t="s">
        <v>44</v>
      </c>
      <c r="I53" s="1347"/>
      <c r="J53" s="47"/>
    </row>
    <row r="54" spans="1:21" s="48" customFormat="1" ht="31.5" customHeight="1" thickBot="1" x14ac:dyDescent="0.25">
      <c r="A54" s="47"/>
      <c r="B54" s="72" t="e">
        <f>+C43</f>
        <v>#DIV/0!</v>
      </c>
      <c r="C54" s="73" t="s">
        <v>1</v>
      </c>
      <c r="D54" s="74" t="e">
        <f>+C10+C11/1000</f>
        <v>#N/A</v>
      </c>
      <c r="E54" s="73" t="s">
        <v>1</v>
      </c>
      <c r="F54" s="74" t="e">
        <f>+(I48-I50)*(1/H10-1/C13)</f>
        <v>#DIV/0!</v>
      </c>
      <c r="G54" s="75"/>
      <c r="H54" s="67" t="e">
        <f>+(B54+D54*F54)*1000</f>
        <v>#DIV/0!</v>
      </c>
      <c r="I54" s="66" t="s">
        <v>3</v>
      </c>
      <c r="J54" s="47"/>
      <c r="K54" s="46"/>
    </row>
    <row r="55" spans="1:21" s="46" customFormat="1" ht="15" customHeight="1" x14ac:dyDescent="0.2">
      <c r="A55" s="47"/>
      <c r="B55" s="47"/>
      <c r="C55" s="47"/>
      <c r="D55" s="47"/>
      <c r="E55" s="47"/>
      <c r="F55" s="47"/>
      <c r="G55" s="47"/>
      <c r="H55" s="47"/>
      <c r="I55" s="47"/>
      <c r="J55" s="47"/>
      <c r="K55" s="48"/>
    </row>
    <row r="56" spans="1:21" s="48" customFormat="1" ht="31.5" customHeight="1" x14ac:dyDescent="0.2">
      <c r="A56" s="1348" t="s">
        <v>45</v>
      </c>
      <c r="B56" s="1349"/>
      <c r="C56" s="1349"/>
      <c r="D56" s="1349"/>
      <c r="E56" s="1349"/>
      <c r="F56" s="1349"/>
      <c r="G56" s="1349"/>
      <c r="H56" s="1349"/>
      <c r="I56" s="1349"/>
      <c r="J56" s="1349"/>
      <c r="K56" s="46"/>
    </row>
    <row r="57" spans="1:21" s="46" customFormat="1" ht="15" customHeight="1" thickBot="1" x14ac:dyDescent="0.25">
      <c r="A57" s="47"/>
      <c r="B57" s="47"/>
      <c r="C57" s="47"/>
      <c r="D57" s="47"/>
      <c r="E57" s="47"/>
      <c r="K57" s="48"/>
    </row>
    <row r="58" spans="1:21" s="48" customFormat="1" ht="31.5" customHeight="1" thickBot="1" x14ac:dyDescent="0.25">
      <c r="A58" s="1350" t="s">
        <v>38</v>
      </c>
      <c r="B58" s="1351"/>
      <c r="C58" s="1352" t="s">
        <v>46</v>
      </c>
      <c r="D58" s="1353"/>
      <c r="E58" s="1354" t="s">
        <v>238</v>
      </c>
      <c r="F58" s="1379"/>
      <c r="G58" s="1061" t="s">
        <v>553</v>
      </c>
      <c r="J58" s="114"/>
      <c r="L58" s="46"/>
      <c r="Q58" s="47"/>
      <c r="R58" s="47"/>
      <c r="S58" s="47"/>
      <c r="T58" s="47"/>
      <c r="U58" s="47"/>
    </row>
    <row r="59" spans="1:21" s="48" customFormat="1" ht="57.95" customHeight="1" thickBot="1" x14ac:dyDescent="0.25">
      <c r="A59" s="1024" t="s">
        <v>47</v>
      </c>
      <c r="B59" s="1025"/>
      <c r="C59" s="1026" t="e">
        <f>+C44/B26^0.5*1000</f>
        <v>#DIV/0!</v>
      </c>
      <c r="D59" s="1017" t="s">
        <v>3</v>
      </c>
      <c r="E59" s="1027" t="s">
        <v>240</v>
      </c>
      <c r="F59" s="139">
        <f>$B$26-1</f>
        <v>3</v>
      </c>
      <c r="G59" s="1111" t="e">
        <f>(C59/$G$70)^2</f>
        <v>#DIV/0!</v>
      </c>
      <c r="H59" s="1118" t="s">
        <v>282</v>
      </c>
      <c r="K59" s="156">
        <v>0.3</v>
      </c>
      <c r="L59" s="157">
        <v>1.65</v>
      </c>
      <c r="M59" s="113"/>
    </row>
    <row r="60" spans="1:21" s="48" customFormat="1" ht="57.95" customHeight="1" thickBot="1" x14ac:dyDescent="0.25">
      <c r="A60" s="1019" t="s">
        <v>343</v>
      </c>
      <c r="B60" s="1020" t="s">
        <v>48</v>
      </c>
      <c r="C60" s="1021" t="e">
        <f>+C12/2</f>
        <v>#N/A</v>
      </c>
      <c r="D60" s="1022" t="s">
        <v>3</v>
      </c>
      <c r="E60" s="1023" t="s">
        <v>239</v>
      </c>
      <c r="F60" s="146" t="s">
        <v>265</v>
      </c>
      <c r="G60" s="1112"/>
      <c r="H60" s="1380" t="s">
        <v>241</v>
      </c>
      <c r="I60" s="1356"/>
      <c r="J60" s="1356"/>
      <c r="K60" s="1356"/>
      <c r="L60" s="1356"/>
      <c r="M60" s="1357"/>
    </row>
    <row r="61" spans="1:21" s="48" customFormat="1" ht="57.95" customHeight="1" thickBot="1" x14ac:dyDescent="0.25">
      <c r="A61" s="1028" t="s">
        <v>344</v>
      </c>
      <c r="B61" s="1029"/>
      <c r="C61" s="1030" t="e">
        <f>+C12/3^0.5</f>
        <v>#N/A</v>
      </c>
      <c r="D61" s="1031" t="s">
        <v>3</v>
      </c>
      <c r="E61" s="1032" t="s">
        <v>239</v>
      </c>
      <c r="F61" s="147" t="s">
        <v>265</v>
      </c>
      <c r="G61" s="1112"/>
      <c r="H61" s="132" t="s">
        <v>243</v>
      </c>
      <c r="I61" s="1015" t="e">
        <f>MAX(C59:C62,C66:C67,C68)</f>
        <v>#DIV/0!</v>
      </c>
      <c r="J61" s="151" t="e">
        <f>IF((I62)&lt;=(K59),"1,65","2")</f>
        <v>#DIV/0!</v>
      </c>
      <c r="K61" s="152" t="s">
        <v>242</v>
      </c>
      <c r="L61" s="153" t="s">
        <v>237</v>
      </c>
      <c r="M61" s="360" t="s">
        <v>328</v>
      </c>
    </row>
    <row r="62" spans="1:21" s="48" customFormat="1" ht="57.95" customHeight="1" thickBot="1" x14ac:dyDescent="0.3">
      <c r="A62" s="1024" t="s">
        <v>49</v>
      </c>
      <c r="B62" s="1035"/>
      <c r="C62" s="1036" t="e">
        <f>+SQRT(SUMSQ(C60:C61))</f>
        <v>#N/A</v>
      </c>
      <c r="D62" s="1017" t="s">
        <v>3</v>
      </c>
      <c r="E62" s="1037" t="s">
        <v>240</v>
      </c>
      <c r="F62" s="139">
        <v>200</v>
      </c>
      <c r="G62" s="1112" t="e">
        <f t="shared" ref="G62:G68" si="0">(C62/$G$70)^2</f>
        <v>#N/A</v>
      </c>
      <c r="H62" s="133" t="s">
        <v>244</v>
      </c>
      <c r="I62" s="150" t="e">
        <f>SQRT((C59)^2+(C66)^2+(C67)^2)/I61</f>
        <v>#DIV/0!</v>
      </c>
      <c r="J62" s="126"/>
      <c r="K62" s="154" t="s">
        <v>242</v>
      </c>
      <c r="L62" s="155" t="s">
        <v>252</v>
      </c>
      <c r="M62" s="361" t="s">
        <v>329</v>
      </c>
    </row>
    <row r="63" spans="1:21" s="48" customFormat="1" ht="57.95" customHeight="1" x14ac:dyDescent="0.2">
      <c r="A63" s="1019" t="s">
        <v>345</v>
      </c>
      <c r="B63" s="1020"/>
      <c r="C63" s="1033" t="e">
        <f>+I49</f>
        <v>#DIV/0!</v>
      </c>
      <c r="D63" s="1021" t="s">
        <v>73</v>
      </c>
      <c r="E63" s="1034" t="s">
        <v>239</v>
      </c>
      <c r="F63" s="146" t="s">
        <v>265</v>
      </c>
      <c r="G63" s="1112"/>
      <c r="L63" s="46"/>
      <c r="T63" s="46"/>
      <c r="U63" s="46"/>
    </row>
    <row r="64" spans="1:21" s="48" customFormat="1" ht="57.95" customHeight="1" x14ac:dyDescent="0.2">
      <c r="A64" s="426" t="s">
        <v>50</v>
      </c>
      <c r="B64" s="1018"/>
      <c r="C64" s="425" t="e">
        <f>+H11/2</f>
        <v>#N/A</v>
      </c>
      <c r="D64" s="424" t="s">
        <v>73</v>
      </c>
      <c r="E64" s="423" t="s">
        <v>239</v>
      </c>
      <c r="F64" s="148" t="s">
        <v>265</v>
      </c>
      <c r="G64" s="1112"/>
      <c r="H64" s="130"/>
      <c r="J64" s="130"/>
      <c r="K64" s="130"/>
      <c r="L64" s="130"/>
      <c r="M64" s="130"/>
      <c r="Q64" s="47"/>
      <c r="R64" s="47"/>
      <c r="S64" s="47"/>
      <c r="T64" s="47"/>
      <c r="U64" s="47"/>
    </row>
    <row r="65" spans="1:21" s="48" customFormat="1" ht="57.95" customHeight="1" thickBot="1" x14ac:dyDescent="0.25">
      <c r="A65" s="1028" t="s">
        <v>346</v>
      </c>
      <c r="B65" s="1038"/>
      <c r="C65" s="1039" t="e">
        <f>+C14/2</f>
        <v>#N/A</v>
      </c>
      <c r="D65" s="1031" t="s">
        <v>73</v>
      </c>
      <c r="E65" s="1040" t="s">
        <v>239</v>
      </c>
      <c r="F65" s="147" t="s">
        <v>265</v>
      </c>
      <c r="G65" s="1112"/>
      <c r="H65" s="130"/>
      <c r="I65" s="130"/>
      <c r="J65" s="130"/>
      <c r="K65" s="130"/>
      <c r="L65" s="130"/>
      <c r="M65" s="130"/>
      <c r="Q65" s="46"/>
      <c r="R65" s="46"/>
      <c r="S65" s="46"/>
      <c r="T65" s="46"/>
      <c r="U65" s="46"/>
    </row>
    <row r="66" spans="1:21" s="48" customFormat="1" ht="57.95" customHeight="1" thickBot="1" x14ac:dyDescent="0.3">
      <c r="A66" s="1024" t="s">
        <v>347</v>
      </c>
      <c r="B66" s="1035"/>
      <c r="C66" s="1036" t="e">
        <f>+SQRT(ABS(((C10/1000+C11/1000000)*(C13-H10)/(C13*H10)*C63)^2+((C10/1000+C11/1000000)*(I48-I50))^2*C64^2/H10^4+(C10/1000+C11/1000000)^2*(I48-I50)*((I48-I50)-2*(C15-I50))*C65^2/C13^4))*1000000</f>
        <v>#N/A</v>
      </c>
      <c r="D66" s="1051" t="s">
        <v>3</v>
      </c>
      <c r="E66" s="1037" t="s">
        <v>240</v>
      </c>
      <c r="F66" s="139">
        <v>200</v>
      </c>
      <c r="G66" s="1112" t="e">
        <f t="shared" si="0"/>
        <v>#N/A</v>
      </c>
      <c r="H66" s="130"/>
      <c r="I66" s="1093" t="s">
        <v>554</v>
      </c>
      <c r="J66" s="1095" t="s">
        <v>556</v>
      </c>
      <c r="K66" s="1094" t="s">
        <v>555</v>
      </c>
      <c r="L66" s="130"/>
      <c r="M66" s="130"/>
      <c r="Q66" s="47"/>
      <c r="R66" s="47"/>
      <c r="S66" s="47"/>
      <c r="T66" s="47"/>
      <c r="U66" s="47"/>
    </row>
    <row r="67" spans="1:21" s="48" customFormat="1" ht="57.95" customHeight="1" thickBot="1" x14ac:dyDescent="0.3">
      <c r="A67" s="1047" t="s">
        <v>52</v>
      </c>
      <c r="B67" s="1048"/>
      <c r="C67" s="1049" t="e">
        <f>+(G15/2/3^0.5)*2^0.5*1000</f>
        <v>#N/A</v>
      </c>
      <c r="D67" s="1044" t="s">
        <v>3</v>
      </c>
      <c r="E67" s="1045" t="s">
        <v>239</v>
      </c>
      <c r="F67" s="1050">
        <v>200</v>
      </c>
      <c r="G67" s="1112" t="e">
        <f t="shared" si="0"/>
        <v>#N/A</v>
      </c>
      <c r="H67" s="130"/>
      <c r="I67" s="1096" t="e">
        <f>G70^4/((C59^4/F59)+(C62^4/F62)+(C66^4/F66)+(C67^4/F67)+(C68^4/F68))</f>
        <v>#DIV/0!</v>
      </c>
      <c r="J67" s="1097" t="e">
        <f>TINV(0.05,I67)</f>
        <v>#DIV/0!</v>
      </c>
      <c r="K67" s="1098" t="e">
        <f>1-TDIST(J67,I67,2)</f>
        <v>#DIV/0!</v>
      </c>
      <c r="L67" s="130"/>
      <c r="M67" s="130"/>
    </row>
    <row r="68" spans="1:21" s="46" customFormat="1" ht="65.25" customHeight="1" thickBot="1" x14ac:dyDescent="0.3">
      <c r="A68" s="1041" t="s">
        <v>551</v>
      </c>
      <c r="B68" s="1042"/>
      <c r="C68" s="1121">
        <f>0.01/SQRT(45)</f>
        <v>1.4907119849998597E-3</v>
      </c>
      <c r="D68" s="1044" t="s">
        <v>3</v>
      </c>
      <c r="E68" s="1045" t="s">
        <v>240</v>
      </c>
      <c r="F68" s="1046">
        <v>50</v>
      </c>
      <c r="G68" s="1113" t="e">
        <f t="shared" si="0"/>
        <v>#DIV/0!</v>
      </c>
      <c r="H68" s="130"/>
      <c r="I68" s="130"/>
      <c r="J68" s="130"/>
      <c r="K68" s="130"/>
      <c r="L68" s="130"/>
      <c r="M68" s="130"/>
      <c r="S68" s="48"/>
      <c r="T68" s="48"/>
      <c r="U68" s="48"/>
    </row>
    <row r="69" spans="1:21" s="46" customFormat="1" ht="65.25" customHeight="1" thickBot="1" x14ac:dyDescent="0.25">
      <c r="A69" s="130"/>
      <c r="B69" s="130"/>
      <c r="C69" s="130"/>
      <c r="D69" s="130"/>
      <c r="E69" s="130"/>
      <c r="F69" s="130"/>
      <c r="G69" s="1114" t="e">
        <f>SUM(G59,G62,G66,G67,G68)</f>
        <v>#DIV/0!</v>
      </c>
      <c r="H69" s="130"/>
      <c r="I69" s="130"/>
      <c r="J69" s="130"/>
      <c r="K69" s="130"/>
      <c r="L69" s="130"/>
      <c r="M69" s="130"/>
      <c r="S69" s="48"/>
      <c r="T69" s="48"/>
      <c r="U69" s="48"/>
    </row>
    <row r="70" spans="1:21" s="106" customFormat="1" ht="51.75" customHeight="1" thickBot="1" x14ac:dyDescent="0.3">
      <c r="D70" s="1306" t="s">
        <v>51</v>
      </c>
      <c r="E70" s="1307"/>
      <c r="F70" s="134"/>
      <c r="G70" s="140" t="e">
        <f>+SQRT(SUMSQ(C59,C62,C66,C67,C68))</f>
        <v>#DIV/0!</v>
      </c>
      <c r="H70" s="136" t="s">
        <v>3</v>
      </c>
      <c r="K70" s="130"/>
      <c r="L70" s="130"/>
      <c r="M70" s="130"/>
      <c r="S70" s="48"/>
      <c r="T70" s="48"/>
      <c r="U70" s="48"/>
    </row>
    <row r="71" spans="1:21" s="106" customFormat="1" ht="35.1" customHeight="1" thickBot="1" x14ac:dyDescent="0.25">
      <c r="D71" s="1306" t="s">
        <v>53</v>
      </c>
      <c r="E71" s="1307"/>
      <c r="F71" s="135"/>
      <c r="G71" s="140" t="e">
        <f>+G70*2</f>
        <v>#DIV/0!</v>
      </c>
      <c r="H71" s="137" t="s">
        <v>3</v>
      </c>
      <c r="K71" s="110"/>
      <c r="L71" s="107"/>
      <c r="O71" s="48"/>
      <c r="P71" s="48"/>
      <c r="Q71" s="48"/>
      <c r="R71" s="48"/>
      <c r="S71" s="48"/>
      <c r="T71" s="48"/>
      <c r="U71" s="48"/>
    </row>
    <row r="72" spans="1:21" s="106" customFormat="1" ht="33.75" customHeight="1" thickBot="1" x14ac:dyDescent="4.45">
      <c r="B72" s="1313" t="s">
        <v>54</v>
      </c>
      <c r="C72" s="1314"/>
      <c r="D72" s="1314"/>
      <c r="E72" s="1314"/>
      <c r="F72" s="1314"/>
      <c r="G72" s="1314"/>
      <c r="H72" s="1314"/>
      <c r="I72" s="1314"/>
      <c r="J72" s="1314"/>
      <c r="K72" s="1315"/>
      <c r="L72" s="117"/>
      <c r="O72" s="48"/>
      <c r="P72" s="48"/>
      <c r="Q72" s="48"/>
      <c r="R72" s="48"/>
      <c r="S72" s="48"/>
      <c r="T72" s="48"/>
      <c r="U72" s="48"/>
    </row>
    <row r="73" spans="1:21" s="106" customFormat="1" ht="35.1" customHeight="1" thickBot="1" x14ac:dyDescent="0.25">
      <c r="B73" s="1368" t="s">
        <v>255</v>
      </c>
      <c r="C73" s="1369"/>
      <c r="D73" s="1369"/>
      <c r="E73" s="1370"/>
      <c r="F73" s="79"/>
      <c r="G73" s="80"/>
      <c r="H73" s="1371"/>
      <c r="I73" s="1372"/>
      <c r="J73" s="1372"/>
      <c r="K73" s="1373"/>
      <c r="O73" s="48"/>
      <c r="P73" s="48"/>
      <c r="Q73" s="48"/>
      <c r="R73" s="48"/>
      <c r="S73" s="48"/>
      <c r="T73" s="48"/>
      <c r="U73" s="48"/>
    </row>
    <row r="74" spans="1:21" s="106" customFormat="1" ht="40.5" customHeight="1" x14ac:dyDescent="0.2">
      <c r="B74" s="118"/>
      <c r="C74" s="362" t="s">
        <v>348</v>
      </c>
      <c r="D74" s="119" t="s">
        <v>253</v>
      </c>
      <c r="E74" s="120"/>
      <c r="F74" s="1358"/>
      <c r="G74" s="1358"/>
      <c r="H74" s="1359" t="s">
        <v>266</v>
      </c>
      <c r="I74" s="1362" t="s">
        <v>254</v>
      </c>
      <c r="J74" s="1362"/>
      <c r="K74" s="1363"/>
      <c r="O74" s="48"/>
      <c r="P74" s="48"/>
      <c r="Q74" s="48"/>
      <c r="R74" s="48"/>
      <c r="S74" s="48"/>
      <c r="T74" s="48"/>
      <c r="U74" s="48"/>
    </row>
    <row r="75" spans="1:21" s="106" customFormat="1" ht="35.1" customHeight="1" x14ac:dyDescent="0.2">
      <c r="B75" s="81" t="e">
        <f>C10</f>
        <v>#N/A</v>
      </c>
      <c r="C75" s="77" t="e">
        <f>C11</f>
        <v>#N/A</v>
      </c>
      <c r="D75" s="78" t="e">
        <f>H54</f>
        <v>#DIV/0!</v>
      </c>
      <c r="E75" s="216" t="e">
        <f>B75+(C75/1000)+(D75/1000)</f>
        <v>#N/A</v>
      </c>
      <c r="F75" s="264" t="e">
        <f>E75*1000-B75*1000</f>
        <v>#N/A</v>
      </c>
      <c r="G75" s="61"/>
      <c r="H75" s="1360"/>
      <c r="I75" s="1055" t="e">
        <f>G71</f>
        <v>#DIV/0!</v>
      </c>
      <c r="J75" s="1364"/>
      <c r="K75" s="1365"/>
      <c r="O75" s="48"/>
      <c r="P75" s="48"/>
      <c r="Q75" s="48"/>
      <c r="R75" s="48"/>
      <c r="S75" s="48"/>
      <c r="T75" s="48"/>
      <c r="U75" s="48"/>
    </row>
    <row r="76" spans="1:21" s="106" customFormat="1" ht="35.1" customHeight="1" thickBot="1" x14ac:dyDescent="0.25">
      <c r="B76" s="87" t="e">
        <f>B75</f>
        <v>#N/A</v>
      </c>
      <c r="C76" s="88" t="e">
        <f>C75</f>
        <v>#N/A</v>
      </c>
      <c r="D76" s="88" t="e">
        <f>D75</f>
        <v>#DIV/0!</v>
      </c>
      <c r="E76" s="217" t="e">
        <f>B76+(C76/1000)+(D76/1000)</f>
        <v>#N/A</v>
      </c>
      <c r="F76" s="283" t="e">
        <f>F75/1000</f>
        <v>#N/A</v>
      </c>
      <c r="G76" s="89"/>
      <c r="H76" s="1361"/>
      <c r="I76" s="284" t="e">
        <f>I75/1000</f>
        <v>#DIV/0!</v>
      </c>
      <c r="J76" s="1366"/>
      <c r="K76" s="1367"/>
      <c r="O76" s="48"/>
      <c r="P76" s="48"/>
      <c r="Q76" s="48"/>
      <c r="R76" s="48"/>
      <c r="S76" s="48"/>
      <c r="T76" s="48"/>
      <c r="U76" s="48"/>
    </row>
    <row r="77" spans="1:21" s="106" customFormat="1" ht="35.1" customHeight="1" x14ac:dyDescent="0.2">
      <c r="G77" s="47"/>
      <c r="H77" s="47"/>
      <c r="I77" s="47"/>
      <c r="J77" s="47"/>
      <c r="O77" s="48"/>
      <c r="P77" s="48"/>
      <c r="Q77" s="48"/>
      <c r="R77" s="48"/>
      <c r="S77" s="48"/>
      <c r="T77" s="48"/>
      <c r="U77" s="48"/>
    </row>
    <row r="78" spans="1:21" s="106" customFormat="1" ht="35.1" customHeight="1" x14ac:dyDescent="0.2">
      <c r="G78" s="47"/>
      <c r="H78" s="47"/>
      <c r="I78" s="47"/>
      <c r="J78" s="47"/>
      <c r="O78" s="48"/>
      <c r="P78" s="48"/>
      <c r="Q78" s="48"/>
      <c r="R78" s="48"/>
      <c r="S78" s="48"/>
      <c r="T78" s="48"/>
      <c r="U78" s="48"/>
    </row>
    <row r="79" spans="1:21" s="106" customFormat="1" ht="35.1" customHeight="1" x14ac:dyDescent="0.2">
      <c r="G79" s="47"/>
      <c r="H79" s="47"/>
      <c r="I79" s="47"/>
      <c r="J79" s="47"/>
    </row>
    <row r="80" spans="1:21" s="107" customFormat="1" ht="35.1" customHeight="1" x14ac:dyDescent="0.2">
      <c r="A80" s="109"/>
      <c r="B80" s="106"/>
      <c r="C80" s="106"/>
      <c r="D80" s="106"/>
      <c r="E80" s="106"/>
      <c r="F80" s="106"/>
      <c r="G80" s="47"/>
      <c r="H80" s="47"/>
    </row>
    <row r="81" spans="2:11" s="111" customFormat="1" ht="35.1" customHeight="1" x14ac:dyDescent="0.2">
      <c r="B81" s="106"/>
      <c r="C81" s="106"/>
      <c r="D81" s="106"/>
      <c r="E81" s="106"/>
      <c r="F81" s="106"/>
      <c r="G81" s="47"/>
      <c r="H81" s="47"/>
    </row>
    <row r="82" spans="2:11" s="106" customFormat="1" ht="61.5" customHeight="1" x14ac:dyDescent="0.2">
      <c r="H82" s="111"/>
      <c r="I82" s="111"/>
      <c r="J82" s="111"/>
      <c r="K82" s="108"/>
    </row>
    <row r="83" spans="2:11" s="106" customFormat="1" ht="35.1" customHeight="1" x14ac:dyDescent="0.2">
      <c r="G83" s="111"/>
      <c r="H83" s="111"/>
      <c r="I83" s="111"/>
      <c r="J83" s="111"/>
      <c r="K83" s="108"/>
    </row>
    <row r="84" spans="2:11" s="106" customFormat="1" ht="35.1" customHeight="1" x14ac:dyDescent="0.2">
      <c r="G84" s="111"/>
      <c r="H84" s="111"/>
      <c r="I84" s="111"/>
      <c r="J84" s="111"/>
      <c r="K84" s="108"/>
    </row>
    <row r="85" spans="2:11" s="106" customFormat="1" ht="35.1" customHeight="1" x14ac:dyDescent="0.2">
      <c r="F85" s="107"/>
      <c r="K85" s="108"/>
    </row>
    <row r="86" spans="2:11" s="106" customFormat="1" ht="50.1" customHeight="1" x14ac:dyDescent="0.2"/>
    <row r="87" spans="2:11" s="106" customFormat="1" ht="57.75" customHeight="1" x14ac:dyDescent="0.2">
      <c r="C87" s="112"/>
      <c r="D87" s="112"/>
      <c r="E87" s="112"/>
    </row>
    <row r="88" spans="2:11" s="106" customFormat="1" ht="35.1" customHeight="1" x14ac:dyDescent="0.2"/>
    <row r="89" spans="2:11" s="106" customFormat="1" ht="35.1" customHeight="1" x14ac:dyDescent="0.2">
      <c r="F89" s="108"/>
      <c r="G89" s="108"/>
      <c r="H89" s="108"/>
      <c r="I89" s="108"/>
      <c r="J89" s="108"/>
    </row>
    <row r="90" spans="2:11" s="106" customFormat="1" ht="35.1" customHeight="1" x14ac:dyDescent="0.2"/>
    <row r="91" spans="2:11" s="106" customFormat="1" ht="50.1" customHeight="1" x14ac:dyDescent="0.2">
      <c r="J91" s="47"/>
    </row>
    <row r="92" spans="2:11" s="106" customFormat="1" ht="55.5" customHeight="1" x14ac:dyDescent="0.2">
      <c r="J92" s="111"/>
    </row>
    <row r="93" spans="2:11" s="106" customFormat="1" ht="50.1" customHeight="1" x14ac:dyDescent="0.2">
      <c r="J93" s="111"/>
    </row>
    <row r="94" spans="2:11" s="107" customFormat="1" ht="31.5" customHeight="1" x14ac:dyDescent="0.2">
      <c r="J94" s="111"/>
    </row>
    <row r="95" spans="2:11" s="106" customFormat="1" ht="35.1" customHeight="1" x14ac:dyDescent="0.2">
      <c r="G95" s="111"/>
      <c r="H95" s="111"/>
      <c r="I95" s="111"/>
      <c r="J95" s="111"/>
    </row>
    <row r="96" spans="2:11" s="106" customFormat="1" ht="35.1" customHeight="1" x14ac:dyDescent="0.2">
      <c r="G96" s="111"/>
      <c r="H96" s="111"/>
      <c r="I96" s="111"/>
      <c r="J96" s="111"/>
    </row>
    <row r="97" spans="1:12" s="106" customFormat="1" ht="9.9499999999999993" customHeight="1" x14ac:dyDescent="0.2">
      <c r="G97" s="108"/>
      <c r="H97" s="108"/>
      <c r="I97" s="108"/>
      <c r="J97" s="108"/>
    </row>
    <row r="98" spans="1:12" s="106" customFormat="1" ht="35.1" customHeight="1" x14ac:dyDescent="0.2">
      <c r="J98" s="108"/>
      <c r="K98" s="108"/>
      <c r="L98" s="108"/>
    </row>
    <row r="99" spans="1:12" s="46" customFormat="1" ht="15" customHeight="1" x14ac:dyDescent="0.2">
      <c r="A99" s="47"/>
      <c r="G99" s="47"/>
      <c r="H99" s="47"/>
      <c r="I99" s="47"/>
      <c r="J99" s="47"/>
      <c r="K99" s="48"/>
    </row>
    <row r="100" spans="1:12" s="48" customFormat="1" ht="31.5" customHeight="1" x14ac:dyDescent="0.2">
      <c r="A100" s="47"/>
      <c r="B100" s="47"/>
      <c r="C100" s="47"/>
      <c r="D100" s="47"/>
      <c r="E100" s="47"/>
      <c r="F100" s="47"/>
      <c r="G100" s="47"/>
      <c r="H100" s="47"/>
      <c r="I100" s="47"/>
      <c r="J100" s="47"/>
    </row>
    <row r="101" spans="1:12" s="48" customFormat="1" ht="31.5" customHeight="1" x14ac:dyDescent="0.2"/>
    <row r="102" spans="1:12" s="48" customFormat="1" ht="31.5" customHeight="1" x14ac:dyDescent="0.2"/>
    <row r="103" spans="1:12" s="48" customFormat="1" ht="52.5" customHeight="1" x14ac:dyDescent="0.2"/>
    <row r="104" spans="1:12" s="48" customFormat="1" ht="31.5" customHeight="1" x14ac:dyDescent="0.2">
      <c r="K104" s="8"/>
    </row>
    <row r="105" spans="1:12" s="48" customFormat="1" ht="31.5" customHeight="1" x14ac:dyDescent="0.2">
      <c r="K105" s="8"/>
    </row>
    <row r="106" spans="1:12" ht="31.5" customHeight="1" x14ac:dyDescent="0.2">
      <c r="G106" s="76"/>
    </row>
    <row r="107" spans="1:12" ht="51" customHeight="1" x14ac:dyDescent="0.2"/>
    <row r="109" spans="1:12" ht="31.5" customHeight="1" x14ac:dyDescent="0.2">
      <c r="B109" s="29"/>
      <c r="C109" s="29"/>
      <c r="D109" s="29"/>
      <c r="E109" s="29"/>
      <c r="F109" s="29"/>
      <c r="G109" s="29"/>
      <c r="H109" s="29"/>
      <c r="I109" s="29"/>
      <c r="J109" s="29"/>
    </row>
    <row r="110" spans="1:12" ht="31.5" customHeight="1" x14ac:dyDescent="0.2">
      <c r="B110" s="29"/>
      <c r="C110" s="29"/>
      <c r="D110" s="29"/>
      <c r="E110" s="29"/>
      <c r="F110" s="29"/>
      <c r="G110" s="29"/>
      <c r="H110" s="29"/>
      <c r="I110" s="29"/>
      <c r="J110" s="29"/>
    </row>
    <row r="111" spans="1:12" ht="31.5" customHeight="1" x14ac:dyDescent="0.2">
      <c r="B111" s="29"/>
      <c r="C111" s="29"/>
      <c r="D111" s="29"/>
      <c r="E111" s="29"/>
      <c r="F111" s="29"/>
      <c r="G111" s="29"/>
      <c r="H111" s="29"/>
      <c r="I111" s="29"/>
      <c r="J111" s="29"/>
    </row>
    <row r="112" spans="1:12" ht="31.5" customHeight="1" x14ac:dyDescent="0.2">
      <c r="B112" s="29"/>
      <c r="C112" s="29"/>
      <c r="D112" s="29"/>
      <c r="E112" s="29"/>
      <c r="F112" s="29"/>
      <c r="G112" s="29"/>
      <c r="H112" s="29"/>
      <c r="I112" s="29"/>
      <c r="J112" s="29"/>
    </row>
    <row r="113" spans="2:10" ht="31.5" customHeight="1" x14ac:dyDescent="0.2">
      <c r="B113" s="29"/>
      <c r="C113" s="29"/>
      <c r="D113" s="29"/>
      <c r="E113" s="29"/>
      <c r="F113" s="29"/>
      <c r="G113" s="29"/>
      <c r="H113" s="29"/>
      <c r="I113" s="29"/>
      <c r="J113" s="29"/>
    </row>
    <row r="114" spans="2:10" ht="31.5" customHeight="1" x14ac:dyDescent="0.2">
      <c r="B114" s="29"/>
      <c r="C114" s="29"/>
      <c r="D114" s="29"/>
      <c r="E114" s="29"/>
      <c r="F114" s="29"/>
      <c r="G114" s="29"/>
      <c r="H114" s="29"/>
      <c r="I114" s="29"/>
      <c r="J114" s="29"/>
    </row>
    <row r="115" spans="2:10" ht="31.5" customHeight="1" x14ac:dyDescent="0.2">
      <c r="B115" s="29"/>
      <c r="C115" s="29"/>
      <c r="D115" s="29"/>
      <c r="E115" s="29"/>
      <c r="F115" s="29"/>
      <c r="G115" s="29"/>
      <c r="H115" s="29"/>
      <c r="I115" s="29"/>
      <c r="J115" s="29"/>
    </row>
  </sheetData>
  <sheetProtection password="CF5C" sheet="1" objects="1" scenarios="1"/>
  <mergeCells count="62">
    <mergeCell ref="D70:E70"/>
    <mergeCell ref="D71:E71"/>
    <mergeCell ref="B72:K72"/>
    <mergeCell ref="B73:E73"/>
    <mergeCell ref="H73:K73"/>
    <mergeCell ref="F74:G74"/>
    <mergeCell ref="H74:H76"/>
    <mergeCell ref="I74:K74"/>
    <mergeCell ref="J75:K75"/>
    <mergeCell ref="J76:K76"/>
    <mergeCell ref="A56:J56"/>
    <mergeCell ref="A58:B58"/>
    <mergeCell ref="C58:D58"/>
    <mergeCell ref="E58:F58"/>
    <mergeCell ref="H60:M60"/>
    <mergeCell ref="A50:B50"/>
    <mergeCell ref="G50:H50"/>
    <mergeCell ref="A52:J52"/>
    <mergeCell ref="D53:E53"/>
    <mergeCell ref="H53:I53"/>
    <mergeCell ref="A49:B49"/>
    <mergeCell ref="G49:H49"/>
    <mergeCell ref="A28:A31"/>
    <mergeCell ref="C33:D33"/>
    <mergeCell ref="F33:G33"/>
    <mergeCell ref="A36:J36"/>
    <mergeCell ref="B38:F38"/>
    <mergeCell ref="H38:J38"/>
    <mergeCell ref="H39:J42"/>
    <mergeCell ref="A46:J46"/>
    <mergeCell ref="A47:B48"/>
    <mergeCell ref="C47:E47"/>
    <mergeCell ref="G48:H48"/>
    <mergeCell ref="A27:B27"/>
    <mergeCell ref="G27:H27"/>
    <mergeCell ref="A14:B14"/>
    <mergeCell ref="A15:B15"/>
    <mergeCell ref="A16:B16"/>
    <mergeCell ref="C16:D16"/>
    <mergeCell ref="A18:J18"/>
    <mergeCell ref="F19:G19"/>
    <mergeCell ref="J19:J20"/>
    <mergeCell ref="A20:B20"/>
    <mergeCell ref="E20:F20"/>
    <mergeCell ref="A22:J22"/>
    <mergeCell ref="C24:D24"/>
    <mergeCell ref="F24:G24"/>
    <mergeCell ref="C26:F26"/>
    <mergeCell ref="G26:H26"/>
    <mergeCell ref="A13:B13"/>
    <mergeCell ref="F13:I13"/>
    <mergeCell ref="A1:B1"/>
    <mergeCell ref="C1:M1"/>
    <mergeCell ref="I3:J4"/>
    <mergeCell ref="A6:D6"/>
    <mergeCell ref="F6:I6"/>
    <mergeCell ref="F9:G9"/>
    <mergeCell ref="A10:B10"/>
    <mergeCell ref="F10:G10"/>
    <mergeCell ref="A11:B11"/>
    <mergeCell ref="F11:G11"/>
    <mergeCell ref="A12:B12"/>
  </mergeCells>
  <printOptions horizontalCentered="1"/>
  <pageMargins left="0.70866141732283472" right="0.70866141732283472" top="0.74803149606299213" bottom="0.74803149606299213" header="0.31496062992125984" footer="0.31496062992125984"/>
  <pageSetup scale="13" orientation="portrait" r:id="rId1"/>
  <headerFooter>
    <oddHeader xml:space="preserve">&amp;C
&amp;16   
</oddHeader>
    <oddFooter xml:space="preserve">&amp;RRT03-F13 Vr.14 (2021-05-21)
</oddFooter>
  </headerFooter>
  <rowBreaks count="1" manualBreakCount="1">
    <brk id="34" max="12" man="1"/>
  </rowBreaks>
  <drawing r:id="rId2"/>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1100-000000000000}">
          <x14:formula1>
            <xm:f>'DATOS %'!$V$161:$V$165</xm:f>
          </x14:formula1>
          <xm:sqref>H25</xm:sqref>
        </x14:dataValidation>
        <x14:dataValidation type="list" allowBlank="1" showInputMessage="1" showErrorMessage="1" xr:uid="{00000000-0002-0000-1100-000001000000}">
          <x14:formula1>
            <xm:f>'DATOS %'!$V$120:$V$126</xm:f>
          </x14:formula1>
          <xm:sqref>J13</xm:sqref>
        </x14:dataValidation>
        <x14:dataValidation type="list" allowBlank="1" showInputMessage="1" showErrorMessage="1" xr:uid="{00000000-0002-0000-1100-000002000000}">
          <x14:formula1>
            <xm:f>'DATOS %'!$N$11:$N$112</xm:f>
          </x14:formula1>
          <xm:sqref>E6</xm:sqref>
        </x14:dataValidation>
        <x14:dataValidation type="list" allowBlank="1" showInputMessage="1" showErrorMessage="1" xr:uid="{00000000-0002-0000-1100-000003000000}">
          <x14:formula1>
            <xm:f>'DATOS %'!$N$121:$N$166</xm:f>
          </x14:formula1>
          <xm:sqref>F48</xm:sqref>
        </x14:dataValidation>
        <x14:dataValidation type="list" allowBlank="1" showInputMessage="1" showErrorMessage="1" xr:uid="{00000000-0002-0000-1100-000004000000}">
          <x14:formula1>
            <xm:f>'DATOS %'!$J$174:$J$179</xm:f>
          </x14:formula1>
          <xm:sqref>J19:J20</xm:sqref>
        </x14:dataValidation>
        <x14:dataValidation type="list" allowBlank="1" showInputMessage="1" showErrorMessage="1" xr:uid="{00000000-0002-0000-1100-000005000000}">
          <x14:formula1>
            <xm:f>'DATOS %'!$B$7:$B$40</xm:f>
          </x14:formula1>
          <xm:sqref>I3:J4</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sheetPr>
  <dimension ref="A1:U115"/>
  <sheetViews>
    <sheetView showGridLines="0" view="pageBreakPreview" zoomScale="80" zoomScaleNormal="60" zoomScaleSheetLayoutView="80" workbookViewId="0">
      <selection activeCell="C65" sqref="C65"/>
    </sheetView>
  </sheetViews>
  <sheetFormatPr baseColWidth="10" defaultColWidth="11.42578125" defaultRowHeight="31.5" customHeight="1" x14ac:dyDescent="0.2"/>
  <cols>
    <col min="1" max="1" width="14.7109375" style="37" customWidth="1"/>
    <col min="2" max="2" width="12.7109375" style="37" customWidth="1"/>
    <col min="3" max="3" width="15.7109375" style="37" customWidth="1"/>
    <col min="4" max="4" width="17" style="37" customWidth="1"/>
    <col min="5" max="5" width="15.5703125" style="37" customWidth="1"/>
    <col min="6" max="6" width="18.5703125" style="37" customWidth="1"/>
    <col min="7" max="7" width="15.7109375" style="37" customWidth="1"/>
    <col min="8" max="8" width="24.42578125" style="37" bestFit="1" customWidth="1"/>
    <col min="9" max="9" width="13.85546875" style="37" bestFit="1" customWidth="1"/>
    <col min="10" max="10" width="13.7109375" style="37" customWidth="1"/>
    <col min="11" max="19" width="11.42578125" style="8"/>
    <col min="20" max="20" width="15.85546875" style="8" bestFit="1" customWidth="1"/>
    <col min="21" max="21" width="14.42578125" style="8" bestFit="1" customWidth="1"/>
    <col min="22" max="16384" width="11.42578125" style="8"/>
  </cols>
  <sheetData>
    <row r="1" spans="1:16" ht="60" customHeight="1" thickBot="1" x14ac:dyDescent="0.25">
      <c r="A1" s="1257"/>
      <c r="B1" s="1258"/>
      <c r="C1" s="1259" t="s">
        <v>57</v>
      </c>
      <c r="D1" s="1260"/>
      <c r="E1" s="1260"/>
      <c r="F1" s="1260"/>
      <c r="G1" s="1260"/>
      <c r="H1" s="1260"/>
      <c r="I1" s="1260"/>
      <c r="J1" s="1260"/>
      <c r="K1" s="1260"/>
      <c r="L1" s="1260"/>
      <c r="M1" s="1261"/>
      <c r="N1" s="7"/>
      <c r="O1" s="7"/>
      <c r="P1" s="7"/>
    </row>
    <row r="2" spans="1:16" s="11" customFormat="1" ht="9.75" customHeight="1" thickBot="1" x14ac:dyDescent="0.25">
      <c r="A2" s="9"/>
      <c r="B2" s="9"/>
      <c r="C2" s="10"/>
      <c r="D2" s="10"/>
      <c r="E2" s="10"/>
      <c r="F2" s="10"/>
      <c r="G2" s="10"/>
      <c r="H2" s="10"/>
      <c r="K2" s="12"/>
      <c r="M2" s="7"/>
    </row>
    <row r="3" spans="1:16" s="12" customFormat="1" ht="35.25" customHeight="1" thickBot="1" x14ac:dyDescent="0.25">
      <c r="A3" s="13" t="s">
        <v>17</v>
      </c>
      <c r="B3" s="14" t="s">
        <v>55</v>
      </c>
      <c r="C3" s="15" t="s">
        <v>209</v>
      </c>
      <c r="D3" s="15" t="s">
        <v>56</v>
      </c>
      <c r="E3" s="15" t="s">
        <v>8</v>
      </c>
      <c r="F3" s="16" t="s">
        <v>18</v>
      </c>
      <c r="G3" s="16" t="s">
        <v>297</v>
      </c>
      <c r="H3" s="17" t="s">
        <v>24</v>
      </c>
      <c r="I3" s="1262"/>
      <c r="J3" s="1263"/>
      <c r="K3" s="11"/>
      <c r="M3" s="7"/>
    </row>
    <row r="4" spans="1:16" s="11" customFormat="1" ht="32.25" customHeight="1" thickBot="1" x14ac:dyDescent="0.25">
      <c r="A4" s="18" t="e">
        <f>VLOOKUP($I$3,'DATOS %'!B7:J40,2,FALSE)</f>
        <v>#N/A</v>
      </c>
      <c r="B4" s="212" t="e">
        <f>VLOOKUP($I$3,'DATOS %'!$B$7:$J$40,3,FALSE)</f>
        <v>#N/A</v>
      </c>
      <c r="C4" s="19" t="e">
        <f>VLOOKUP($I$3,'DATOS %'!$B$7:$J$40,8,FALSE)</f>
        <v>#N/A</v>
      </c>
      <c r="D4" s="19" t="e">
        <f>VLOOKUP($I$3,'DATOS %'!$B$7:$J$40,6,FALSE)</f>
        <v>#N/A</v>
      </c>
      <c r="E4" s="212" t="e">
        <f>VLOOKUP($I$3,'DATOS %'!$B$7:$J$40,7,FALSE)</f>
        <v>#N/A</v>
      </c>
      <c r="F4" s="18" t="e">
        <f>VLOOKUP($I$3,'DATOS %'!$B$7:$J$40,4,FALSE)</f>
        <v>#N/A</v>
      </c>
      <c r="G4" s="18" t="e">
        <f>VLOOKUP($I$3,'DATOS %'!$B$7:$J$40,5,FALSE)</f>
        <v>#N/A</v>
      </c>
      <c r="H4" s="19" t="e">
        <f>VLOOKUP($I$3,'DATOS %'!$B$7:$J$40,9,FALSE)</f>
        <v>#N/A</v>
      </c>
      <c r="I4" s="1264"/>
      <c r="J4" s="1265"/>
      <c r="K4" s="8"/>
      <c r="L4" s="20"/>
      <c r="M4" s="20"/>
    </row>
    <row r="5" spans="1:16" s="22" customFormat="1" ht="6.75" customHeight="1" thickBot="1" x14ac:dyDescent="0.25">
      <c r="A5" s="21"/>
      <c r="B5" s="21"/>
      <c r="C5" s="21"/>
      <c r="F5" s="21"/>
      <c r="G5" s="21"/>
      <c r="H5" s="21"/>
      <c r="K5" s="8"/>
    </row>
    <row r="6" spans="1:16" ht="31.5" customHeight="1" thickBot="1" x14ac:dyDescent="0.25">
      <c r="A6" s="1266" t="s">
        <v>19</v>
      </c>
      <c r="B6" s="1267"/>
      <c r="C6" s="1267"/>
      <c r="D6" s="1268"/>
      <c r="E6" s="4"/>
      <c r="F6" s="1266" t="s">
        <v>20</v>
      </c>
      <c r="G6" s="1267"/>
      <c r="H6" s="1267"/>
      <c r="I6" s="1268"/>
      <c r="J6" s="404">
        <f>I3</f>
        <v>0</v>
      </c>
    </row>
    <row r="7" spans="1:16" ht="31.5" customHeight="1" x14ac:dyDescent="0.2">
      <c r="A7" s="23" t="s">
        <v>21</v>
      </c>
      <c r="B7" s="24" t="e">
        <f>VLOOKUP($E$6,'DATOS %'!N11:AA113,2,FALSE)</f>
        <v>#N/A</v>
      </c>
      <c r="C7" s="25" t="s">
        <v>10</v>
      </c>
      <c r="D7" s="26" t="e">
        <f>VLOOKUP($E$6,'DATOS %'!N11:AA113,3,FALSE)</f>
        <v>#N/A</v>
      </c>
      <c r="E7" s="27"/>
      <c r="F7" s="23" t="s">
        <v>21</v>
      </c>
      <c r="G7" s="24" t="e">
        <f>VLOOKUP($J$6,'DATOS %'!B47:I79,2,FALSE)</f>
        <v>#N/A</v>
      </c>
      <c r="H7" s="28" t="s">
        <v>10</v>
      </c>
      <c r="I7" s="26" t="e">
        <f>VLOOKUP($J$6,'DATOS %'!B47:I79,3,FALSE)</f>
        <v>#N/A</v>
      </c>
      <c r="J7" s="29"/>
    </row>
    <row r="8" spans="1:16" ht="31.5" customHeight="1" x14ac:dyDescent="0.2">
      <c r="A8" s="30" t="s">
        <v>22</v>
      </c>
      <c r="B8" s="31" t="e">
        <f>VLOOKUP($E$6,'DATOS %'!N11:AA113,4,FALSE)</f>
        <v>#N/A</v>
      </c>
      <c r="C8" s="32" t="s">
        <v>23</v>
      </c>
      <c r="D8" s="33" t="e">
        <f>VLOOKUP($E$6,'DATOS %'!N11:AA113,5,FALSE)</f>
        <v>#N/A</v>
      </c>
      <c r="E8" s="27"/>
      <c r="F8" s="30" t="s">
        <v>22</v>
      </c>
      <c r="G8" s="31" t="e">
        <f>VLOOKUP($J$6,'DATOS %'!B47:I79,4,FALSE)</f>
        <v>#N/A</v>
      </c>
      <c r="H8" s="32" t="s">
        <v>23</v>
      </c>
      <c r="I8" s="297" t="e">
        <f>VLOOKUP($J$6,'DATOS %'!B47:I79,5,FALSE)</f>
        <v>#N/A</v>
      </c>
      <c r="J8" s="29"/>
    </row>
    <row r="9" spans="1:16" ht="31.5" customHeight="1" x14ac:dyDescent="0.2">
      <c r="A9" s="34" t="s">
        <v>24</v>
      </c>
      <c r="B9" s="31" t="e">
        <f>VLOOKUP($E$6,'DATOS %'!N11:AA113,6,FALSE)</f>
        <v>#N/A</v>
      </c>
      <c r="C9" s="35" t="s">
        <v>15</v>
      </c>
      <c r="D9" s="36" t="e">
        <f>VLOOKUP($E$6,'DATOS %'!N11:AA113,7,FALSE)</f>
        <v>#N/A</v>
      </c>
      <c r="F9" s="1252" t="s">
        <v>62</v>
      </c>
      <c r="G9" s="1253"/>
      <c r="H9" s="31" t="e">
        <f>VLOOKUP($J$6,'DATOS %'!B47:I79,6,FALSE)</f>
        <v>#N/A</v>
      </c>
      <c r="I9" s="33" t="s">
        <v>1</v>
      </c>
      <c r="J9" s="29"/>
      <c r="K9" s="208"/>
    </row>
    <row r="10" spans="1:16" s="38" customFormat="1" ht="31.5" customHeight="1" x14ac:dyDescent="0.25">
      <c r="A10" s="1252" t="s">
        <v>63</v>
      </c>
      <c r="B10" s="1253"/>
      <c r="C10" s="223" t="e">
        <f>VLOOKUP($E$6,'DATOS %'!N11:AA113,8,FALSE)</f>
        <v>#N/A</v>
      </c>
      <c r="D10" s="33" t="s">
        <v>1</v>
      </c>
      <c r="F10" s="1252" t="s">
        <v>64</v>
      </c>
      <c r="G10" s="1253"/>
      <c r="H10" s="213" t="e">
        <f>VLOOKUP($J$6,'DATOS %'!B47:I79,7,FALSE)</f>
        <v>#N/A</v>
      </c>
      <c r="I10" s="33" t="s">
        <v>76</v>
      </c>
      <c r="J10" s="39"/>
    </row>
    <row r="11" spans="1:16" s="38" customFormat="1" ht="31.5" customHeight="1" thickBot="1" x14ac:dyDescent="0.3">
      <c r="A11" s="1252" t="s">
        <v>65</v>
      </c>
      <c r="B11" s="1253"/>
      <c r="C11" s="31" t="e">
        <f>VLOOKUP($E$6,'DATOS %'!N11:AA113,9,FALSE)</f>
        <v>#N/A</v>
      </c>
      <c r="D11" s="33" t="s">
        <v>3</v>
      </c>
      <c r="E11" s="40"/>
      <c r="F11" s="1271" t="s">
        <v>66</v>
      </c>
      <c r="G11" s="1272"/>
      <c r="H11" s="41" t="e">
        <f>VLOOKUP($J$6,'DATOS %'!B47:I79,8,FALSE)</f>
        <v>#N/A</v>
      </c>
      <c r="I11" s="45" t="s">
        <v>76</v>
      </c>
      <c r="J11" s="39"/>
    </row>
    <row r="12" spans="1:16" s="38" customFormat="1" ht="31.5" customHeight="1" thickBot="1" x14ac:dyDescent="0.3">
      <c r="A12" s="1252" t="s">
        <v>67</v>
      </c>
      <c r="B12" s="1253"/>
      <c r="C12" s="31" t="e">
        <f>VLOOKUP($E$6,'DATOS %'!N11:AA113,10,FALSE)</f>
        <v>#N/A</v>
      </c>
      <c r="D12" s="33" t="s">
        <v>3</v>
      </c>
      <c r="E12" s="39"/>
      <c r="F12" s="39"/>
      <c r="G12" s="39"/>
      <c r="H12" s="39"/>
    </row>
    <row r="13" spans="1:16" s="38" customFormat="1" ht="31.5" customHeight="1" thickBot="1" x14ac:dyDescent="0.3">
      <c r="A13" s="1252" t="s">
        <v>68</v>
      </c>
      <c r="B13" s="1253"/>
      <c r="C13" s="213" t="e">
        <f>VLOOKUP($E$6,'DATOS %'!N11:AA113,11,FALSE)</f>
        <v>#N/A</v>
      </c>
      <c r="D13" s="33" t="s">
        <v>76</v>
      </c>
      <c r="E13" s="39"/>
      <c r="F13" s="1254" t="s">
        <v>559</v>
      </c>
      <c r="G13" s="1255"/>
      <c r="H13" s="1255"/>
      <c r="I13" s="1256"/>
      <c r="J13" s="5"/>
    </row>
    <row r="14" spans="1:16" s="38" customFormat="1" ht="31.5" customHeight="1" x14ac:dyDescent="0.2">
      <c r="A14" s="1252" t="s">
        <v>305</v>
      </c>
      <c r="B14" s="1253"/>
      <c r="C14" s="31" t="e">
        <f>VLOOKUP($E$6,'DATOS %'!N11:AA113,12,FALSE)</f>
        <v>#N/A</v>
      </c>
      <c r="D14" s="33" t="s">
        <v>76</v>
      </c>
      <c r="E14" s="39"/>
      <c r="F14" s="23" t="s">
        <v>10</v>
      </c>
      <c r="G14" s="24" t="e">
        <f>VLOOKUP($J$13,'DATOS %'!$V$119:$Y$126,2,FALSE)</f>
        <v>#N/A</v>
      </c>
      <c r="H14" s="28" t="s">
        <v>22</v>
      </c>
      <c r="I14" s="24" t="e">
        <f>VLOOKUP($J$13,'DATOS %'!$V$119:$Z$126,3,FALSE)</f>
        <v>#N/A</v>
      </c>
      <c r="J14" s="42"/>
      <c r="K14" s="8"/>
    </row>
    <row r="15" spans="1:16" ht="31.5" customHeight="1" thickBot="1" x14ac:dyDescent="0.25">
      <c r="A15" s="1277" t="s">
        <v>69</v>
      </c>
      <c r="B15" s="1278"/>
      <c r="C15" s="31" t="e">
        <f>VLOOKUP($E$6,'DATOS %'!N11:AA113,13,FALSE)</f>
        <v>#N/A</v>
      </c>
      <c r="D15" s="33" t="s">
        <v>76</v>
      </c>
      <c r="E15" s="29"/>
      <c r="F15" s="43" t="s">
        <v>61</v>
      </c>
      <c r="G15" s="41" t="e">
        <f>VLOOKUP($J$13,'DATOS %'!$V$119:$Y$126,4,FALSE)</f>
        <v>#N/A</v>
      </c>
      <c r="H15" s="41" t="s">
        <v>1</v>
      </c>
      <c r="I15" s="238" t="s">
        <v>210</v>
      </c>
      <c r="J15" s="45" t="e">
        <f>VLOOKUP($J$13,'DATOS %'!$V$119:$Z$126,5,FALSE)</f>
        <v>#N/A</v>
      </c>
      <c r="K15" s="22"/>
    </row>
    <row r="16" spans="1:16" ht="30.95" customHeight="1" thickBot="1" x14ac:dyDescent="0.25">
      <c r="A16" s="1279" t="s">
        <v>210</v>
      </c>
      <c r="B16" s="1280"/>
      <c r="C16" s="1281" t="e">
        <f>VLOOKUP($E$6,'DATOS %'!N11:AA113,14,FALSE)</f>
        <v>#N/A</v>
      </c>
      <c r="D16" s="1282"/>
      <c r="E16" s="29"/>
      <c r="F16" s="8"/>
      <c r="G16" s="8"/>
      <c r="H16" s="8"/>
      <c r="I16" s="8"/>
      <c r="J16" s="8"/>
    </row>
    <row r="17" spans="1:11" s="22" customFormat="1" ht="30.95" customHeight="1" thickBot="1" x14ac:dyDescent="0.25">
      <c r="A17" s="29"/>
      <c r="B17" s="29"/>
      <c r="C17" s="29"/>
      <c r="D17" s="29"/>
      <c r="E17" s="29"/>
      <c r="F17" s="29"/>
      <c r="G17" s="29"/>
      <c r="H17" s="29"/>
      <c r="I17" s="29"/>
      <c r="J17" s="29"/>
      <c r="K17" s="8"/>
    </row>
    <row r="18" spans="1:11" ht="31.5" customHeight="1" thickBot="1" x14ac:dyDescent="0.25">
      <c r="A18" s="1331" t="s">
        <v>26</v>
      </c>
      <c r="B18" s="1332"/>
      <c r="C18" s="1332"/>
      <c r="D18" s="1332"/>
      <c r="E18" s="1332"/>
      <c r="F18" s="1332"/>
      <c r="G18" s="1332"/>
      <c r="H18" s="1332"/>
      <c r="I18" s="1332"/>
      <c r="J18" s="1333"/>
    </row>
    <row r="19" spans="1:11" ht="46.5" customHeight="1" thickBot="1" x14ac:dyDescent="0.25">
      <c r="A19" s="407" t="s">
        <v>10</v>
      </c>
      <c r="B19" s="101" t="e">
        <f>VLOOKUP(J19,'DATOS %'!J174:W180,2,FALSE)</f>
        <v>#N/A</v>
      </c>
      <c r="C19" s="95" t="s">
        <v>7</v>
      </c>
      <c r="D19" s="408" t="e">
        <f>VLOOKUP(J19,'DATOS %'!J174:W180,3,FALSE)</f>
        <v>#N/A</v>
      </c>
      <c r="E19" s="409" t="s">
        <v>24</v>
      </c>
      <c r="F19" s="1286" t="e">
        <f>VLOOKUP(J19,'DATOS %'!J174:W180,5,FALSE)</f>
        <v>#N/A</v>
      </c>
      <c r="G19" s="1287"/>
      <c r="H19" s="95" t="s">
        <v>25</v>
      </c>
      <c r="I19" s="212" t="e">
        <f>VLOOKUP(J19,'DATOS %'!J174:W180,4,FALSE)</f>
        <v>#N/A</v>
      </c>
      <c r="J19" s="1374"/>
    </row>
    <row r="20" spans="1:11" ht="31.5" customHeight="1" thickBot="1" x14ac:dyDescent="0.25">
      <c r="A20" s="1290" t="s">
        <v>316</v>
      </c>
      <c r="B20" s="1291"/>
      <c r="C20" s="94" t="s">
        <v>27</v>
      </c>
      <c r="D20" s="101" t="e">
        <f>VLOOKUP(J19,'DATOS %'!J174:W180,6,FALSE)</f>
        <v>#N/A</v>
      </c>
      <c r="E20" s="1292" t="s">
        <v>307</v>
      </c>
      <c r="F20" s="1293"/>
      <c r="G20" s="101" t="e">
        <f>VLOOKUP(J19,'DATOS %'!J174:W180,7,FALSE)</f>
        <v>#N/A</v>
      </c>
      <c r="H20" s="95" t="s">
        <v>9</v>
      </c>
      <c r="I20" s="214" t="e">
        <f>VLOOKUP(J19,'DATOS %'!J174:W180,8,FALSE)</f>
        <v>#N/A</v>
      </c>
      <c r="J20" s="1289"/>
    </row>
    <row r="21" spans="1:11" s="46" customFormat="1" ht="15" customHeight="1" thickBot="1" x14ac:dyDescent="0.25">
      <c r="A21" s="47"/>
      <c r="B21" s="47"/>
      <c r="C21" s="47"/>
      <c r="D21" s="47"/>
      <c r="E21" s="47"/>
      <c r="F21" s="47"/>
      <c r="G21" s="47"/>
      <c r="H21" s="47"/>
      <c r="I21" s="47"/>
      <c r="J21" s="47"/>
      <c r="K21" s="8"/>
    </row>
    <row r="22" spans="1:11" s="48" customFormat="1" ht="31.5" customHeight="1" thickBot="1" x14ac:dyDescent="0.25">
      <c r="A22" s="1294" t="s">
        <v>28</v>
      </c>
      <c r="B22" s="1295"/>
      <c r="C22" s="1295"/>
      <c r="D22" s="1295"/>
      <c r="E22" s="1295"/>
      <c r="F22" s="1295"/>
      <c r="G22" s="1295"/>
      <c r="H22" s="1295"/>
      <c r="I22" s="1295"/>
      <c r="J22" s="1296"/>
      <c r="K22" s="47"/>
    </row>
    <row r="23" spans="1:11" s="47" customFormat="1" ht="2.25" customHeight="1" thickBot="1" x14ac:dyDescent="0.25">
      <c r="A23" s="49"/>
      <c r="B23" s="50"/>
      <c r="C23" s="50"/>
      <c r="D23" s="50"/>
      <c r="E23" s="50"/>
      <c r="F23" s="50"/>
      <c r="G23" s="50"/>
      <c r="H23" s="50"/>
      <c r="I23" s="50"/>
      <c r="J23" s="51"/>
      <c r="K23" s="48"/>
    </row>
    <row r="24" spans="1:11" s="48" customFormat="1" ht="31.5" customHeight="1" thickBot="1" x14ac:dyDescent="0.25">
      <c r="A24" s="52" t="s">
        <v>29</v>
      </c>
      <c r="B24" s="916"/>
      <c r="C24" s="1682" t="s">
        <v>27</v>
      </c>
      <c r="D24" s="1683"/>
      <c r="E24" s="1"/>
      <c r="F24" s="1684" t="s">
        <v>307</v>
      </c>
      <c r="G24" s="1685"/>
      <c r="H24" s="2"/>
      <c r="I24" s="972" t="s">
        <v>9</v>
      </c>
      <c r="J24" s="215"/>
      <c r="K24" s="46"/>
    </row>
    <row r="25" spans="1:11" s="46" customFormat="1" ht="15" customHeight="1" thickBot="1" x14ac:dyDescent="0.25">
      <c r="A25" s="47"/>
      <c r="B25" s="47"/>
      <c r="C25" s="47"/>
      <c r="D25" s="47"/>
      <c r="E25" s="47"/>
      <c r="F25" s="47"/>
      <c r="G25" s="47"/>
      <c r="H25" s="6"/>
      <c r="I25" s="47"/>
      <c r="K25" s="48"/>
    </row>
    <row r="26" spans="1:11" s="48" customFormat="1" ht="29.25" customHeight="1" thickBot="1" x14ac:dyDescent="0.25">
      <c r="A26" s="115" t="s">
        <v>129</v>
      </c>
      <c r="B26" s="105">
        <v>4</v>
      </c>
      <c r="C26" s="1301" t="s">
        <v>30</v>
      </c>
      <c r="D26" s="1302"/>
      <c r="E26" s="1302"/>
      <c r="F26" s="1303"/>
      <c r="G26" s="1304" t="s">
        <v>211</v>
      </c>
      <c r="H26" s="1305"/>
    </row>
    <row r="27" spans="1:11" s="48" customFormat="1" ht="31.5" customHeight="1" thickBot="1" x14ac:dyDescent="0.25">
      <c r="A27" s="1273" t="s">
        <v>31</v>
      </c>
      <c r="B27" s="1274"/>
      <c r="C27" s="237">
        <v>1</v>
      </c>
      <c r="D27" s="237">
        <v>2</v>
      </c>
      <c r="E27" s="237">
        <v>3</v>
      </c>
      <c r="F27" s="129">
        <v>4</v>
      </c>
      <c r="G27" s="1275" t="e">
        <f>VLOOKUP($H$25,'DATOS %'!$V$161:$AA$165,2,FALSE)</f>
        <v>#N/A</v>
      </c>
      <c r="H27" s="1276"/>
    </row>
    <row r="28" spans="1:11" s="48" customFormat="1" ht="31.5" customHeight="1" x14ac:dyDescent="0.2">
      <c r="A28" s="1310" t="s">
        <v>32</v>
      </c>
      <c r="B28" s="141" t="s">
        <v>0</v>
      </c>
      <c r="C28" s="142"/>
      <c r="D28" s="142"/>
      <c r="E28" s="142"/>
      <c r="F28" s="143"/>
      <c r="G28" s="47"/>
      <c r="H28" s="47"/>
      <c r="I28" s="47"/>
      <c r="J28" s="47"/>
    </row>
    <row r="29" spans="1:11" s="48" customFormat="1" ht="31.5" customHeight="1" x14ac:dyDescent="0.2">
      <c r="A29" s="1311"/>
      <c r="B29" s="104" t="s">
        <v>2</v>
      </c>
      <c r="C29" s="127"/>
      <c r="D29" s="127"/>
      <c r="E29" s="127"/>
      <c r="F29" s="128"/>
      <c r="G29" s="47"/>
      <c r="H29" s="47"/>
      <c r="I29" s="47"/>
      <c r="J29" s="47"/>
    </row>
    <row r="30" spans="1:11" s="48" customFormat="1" ht="31.5" customHeight="1" x14ac:dyDescent="0.2">
      <c r="A30" s="1311"/>
      <c r="B30" s="104" t="s">
        <v>2</v>
      </c>
      <c r="C30" s="127"/>
      <c r="D30" s="127"/>
      <c r="E30" s="127"/>
      <c r="F30" s="128"/>
      <c r="G30" s="47"/>
      <c r="H30" s="47"/>
      <c r="I30" s="47"/>
      <c r="J30" s="47"/>
    </row>
    <row r="31" spans="1:11" s="48" customFormat="1" ht="31.5" customHeight="1" thickBot="1" x14ac:dyDescent="0.25">
      <c r="A31" s="1312"/>
      <c r="B31" s="53" t="s">
        <v>0</v>
      </c>
      <c r="C31" s="144"/>
      <c r="D31" s="144"/>
      <c r="E31" s="144"/>
      <c r="F31" s="145"/>
      <c r="G31" s="47"/>
      <c r="H31" s="47"/>
      <c r="I31" s="47"/>
      <c r="J31" s="47"/>
      <c r="K31" s="46"/>
    </row>
    <row r="32" spans="1:11" s="46" customFormat="1" ht="15" customHeight="1" thickBot="1" x14ac:dyDescent="0.25">
      <c r="A32" s="47"/>
      <c r="B32" s="47"/>
      <c r="C32" s="47"/>
      <c r="D32" s="47"/>
      <c r="E32" s="47"/>
      <c r="F32" s="47"/>
      <c r="G32" s="47"/>
      <c r="H32" s="47"/>
      <c r="I32" s="47"/>
      <c r="J32" s="47"/>
      <c r="K32" s="48"/>
    </row>
    <row r="33" spans="1:11" s="48" customFormat="1" ht="31.5" customHeight="1" thickBot="1" x14ac:dyDescent="0.25">
      <c r="A33" s="54" t="s">
        <v>33</v>
      </c>
      <c r="B33" s="916"/>
      <c r="C33" s="1682" t="s">
        <v>27</v>
      </c>
      <c r="D33" s="1683"/>
      <c r="E33" s="1"/>
      <c r="F33" s="1684" t="s">
        <v>307</v>
      </c>
      <c r="G33" s="1685"/>
      <c r="H33" s="2"/>
      <c r="I33" s="973" t="s">
        <v>9</v>
      </c>
      <c r="J33" s="3"/>
      <c r="K33" s="46"/>
    </row>
    <row r="34" spans="1:11" s="46" customFormat="1" ht="12" customHeight="1" x14ac:dyDescent="0.2">
      <c r="A34" s="55"/>
      <c r="B34" s="55"/>
      <c r="C34" s="55"/>
      <c r="D34" s="55"/>
      <c r="E34" s="55"/>
      <c r="F34" s="55"/>
      <c r="G34" s="55"/>
      <c r="H34" s="55"/>
      <c r="I34" s="55"/>
      <c r="J34" s="55"/>
      <c r="K34" s="48"/>
    </row>
    <row r="35" spans="1:11" s="48" customFormat="1" ht="15" customHeight="1" thickBot="1" x14ac:dyDescent="0.25">
      <c r="A35" s="56"/>
      <c r="B35" s="56"/>
      <c r="C35" s="56"/>
      <c r="D35" s="56"/>
      <c r="E35" s="56"/>
      <c r="F35" s="56"/>
      <c r="G35" s="56"/>
      <c r="H35" s="56"/>
      <c r="I35" s="56"/>
      <c r="J35" s="56"/>
    </row>
    <row r="36" spans="1:11" s="48" customFormat="1" ht="32.25" customHeight="1" thickBot="1" x14ac:dyDescent="0.25">
      <c r="A36" s="1294" t="s">
        <v>34</v>
      </c>
      <c r="B36" s="1295"/>
      <c r="C36" s="1295"/>
      <c r="D36" s="1295"/>
      <c r="E36" s="1295"/>
      <c r="F36" s="1295"/>
      <c r="G36" s="1295"/>
      <c r="H36" s="1295"/>
      <c r="I36" s="1295"/>
      <c r="J36" s="1296"/>
    </row>
    <row r="37" spans="1:11" s="48" customFormat="1" ht="3.75" customHeight="1" thickBot="1" x14ac:dyDescent="0.25">
      <c r="A37" s="55"/>
      <c r="B37" s="47"/>
      <c r="C37" s="47"/>
      <c r="D37" s="47"/>
      <c r="E37" s="47"/>
      <c r="F37" s="47"/>
      <c r="G37" s="47"/>
      <c r="H37" s="47"/>
      <c r="I37" s="47"/>
      <c r="J37" s="55"/>
    </row>
    <row r="38" spans="1:11" s="48" customFormat="1" ht="31.5" customHeight="1" thickBot="1" x14ac:dyDescent="0.25">
      <c r="A38" s="47"/>
      <c r="B38" s="1316" t="s">
        <v>35</v>
      </c>
      <c r="C38" s="1317"/>
      <c r="D38" s="1317"/>
      <c r="E38" s="1317"/>
      <c r="F38" s="1318"/>
      <c r="G38" s="47"/>
      <c r="H38" s="1319" t="s">
        <v>236</v>
      </c>
      <c r="I38" s="1320"/>
      <c r="J38" s="1321"/>
    </row>
    <row r="39" spans="1:11" s="48" customFormat="1" ht="31.5" customHeight="1" thickBot="1" x14ac:dyDescent="0.25">
      <c r="A39" s="47"/>
      <c r="B39" s="57" t="s">
        <v>31</v>
      </c>
      <c r="C39" s="203">
        <v>1</v>
      </c>
      <c r="D39" s="141">
        <v>2</v>
      </c>
      <c r="E39" s="141">
        <v>3</v>
      </c>
      <c r="F39" s="204">
        <v>4</v>
      </c>
      <c r="G39" s="47"/>
      <c r="H39" s="1322"/>
      <c r="I39" s="1323"/>
      <c r="J39" s="1324"/>
    </row>
    <row r="40" spans="1:11" s="48" customFormat="1" ht="31.5" customHeight="1" x14ac:dyDescent="0.2">
      <c r="A40" s="58"/>
      <c r="B40" s="59"/>
      <c r="C40" s="121" t="e">
        <f>+AVERAGE(C28,C31)</f>
        <v>#DIV/0!</v>
      </c>
      <c r="D40" s="122" t="e">
        <f>+AVERAGE(D28,D31)</f>
        <v>#DIV/0!</v>
      </c>
      <c r="E40" s="122" t="e">
        <f>+AVERAGE(E28,E31)</f>
        <v>#DIV/0!</v>
      </c>
      <c r="F40" s="205" t="e">
        <f>+AVERAGE(F28,F31)</f>
        <v>#DIV/0!</v>
      </c>
      <c r="G40" s="47"/>
      <c r="H40" s="1325"/>
      <c r="I40" s="1326"/>
      <c r="J40" s="1327"/>
    </row>
    <row r="41" spans="1:11" s="48" customFormat="1" ht="31.5" customHeight="1" x14ac:dyDescent="0.2">
      <c r="A41" s="58"/>
      <c r="B41" s="60"/>
      <c r="C41" s="123" t="e">
        <f>+AVERAGE(C29:C30)</f>
        <v>#DIV/0!</v>
      </c>
      <c r="D41" s="61" t="e">
        <f>+AVERAGE(D29:D30)</f>
        <v>#DIV/0!</v>
      </c>
      <c r="E41" s="61" t="e">
        <f>+AVERAGE(E29:E30)</f>
        <v>#DIV/0!</v>
      </c>
      <c r="F41" s="206" t="e">
        <f>+AVERAGE(F29:F30)</f>
        <v>#DIV/0!</v>
      </c>
      <c r="G41" s="47"/>
      <c r="H41" s="1325"/>
      <c r="I41" s="1326"/>
      <c r="J41" s="1327"/>
    </row>
    <row r="42" spans="1:11" s="48" customFormat="1" ht="31.5" customHeight="1" thickBot="1" x14ac:dyDescent="0.25">
      <c r="A42" s="58"/>
      <c r="B42" s="62"/>
      <c r="C42" s="124" t="e">
        <f>+C41-C40</f>
        <v>#DIV/0!</v>
      </c>
      <c r="D42" s="125" t="e">
        <f>+D41-D40</f>
        <v>#DIV/0!</v>
      </c>
      <c r="E42" s="125" t="e">
        <f>+E41-E40</f>
        <v>#DIV/0!</v>
      </c>
      <c r="F42" s="207" t="e">
        <f>+F41-F40</f>
        <v>#DIV/0!</v>
      </c>
      <c r="G42" s="47"/>
      <c r="H42" s="1328"/>
      <c r="I42" s="1329"/>
      <c r="J42" s="1330"/>
    </row>
    <row r="43" spans="1:11" s="48" customFormat="1" ht="31.5" customHeight="1" thickBot="1" x14ac:dyDescent="0.25">
      <c r="A43" s="47"/>
      <c r="B43" s="63" t="s">
        <v>36</v>
      </c>
      <c r="C43" s="286" t="e">
        <f>+AVERAGE(C42:F42)</f>
        <v>#DIV/0!</v>
      </c>
      <c r="D43" s="47"/>
      <c r="E43" s="47"/>
      <c r="F43" s="47"/>
      <c r="G43" s="47"/>
      <c r="H43" s="47"/>
      <c r="I43" s="47"/>
      <c r="J43" s="47"/>
    </row>
    <row r="44" spans="1:11" s="48" customFormat="1" ht="31.5" customHeight="1" thickBot="1" x14ac:dyDescent="0.25">
      <c r="A44" s="47"/>
      <c r="B44" s="64" t="s">
        <v>77</v>
      </c>
      <c r="C44" s="287" t="e">
        <f>+STDEV(C42:F42)</f>
        <v>#DIV/0!</v>
      </c>
      <c r="D44" s="47"/>
      <c r="E44" s="47"/>
      <c r="F44" s="47"/>
      <c r="G44" s="47"/>
      <c r="H44" s="47"/>
      <c r="I44" s="47"/>
      <c r="J44" s="47"/>
      <c r="K44" s="46"/>
    </row>
    <row r="45" spans="1:11" s="46" customFormat="1" ht="15" customHeight="1" thickBot="1" x14ac:dyDescent="0.25">
      <c r="A45" s="47"/>
      <c r="B45" s="47"/>
      <c r="C45" s="47"/>
      <c r="D45" s="47"/>
      <c r="E45" s="47"/>
      <c r="F45" s="47"/>
      <c r="G45" s="65"/>
      <c r="H45" s="47"/>
      <c r="I45" s="47"/>
      <c r="J45" s="47"/>
      <c r="K45" s="48"/>
    </row>
    <row r="46" spans="1:11" s="48" customFormat="1" ht="31.5" customHeight="1" thickBot="1" x14ac:dyDescent="0.25">
      <c r="A46" s="1331" t="s">
        <v>37</v>
      </c>
      <c r="B46" s="1332"/>
      <c r="C46" s="1284"/>
      <c r="D46" s="1284"/>
      <c r="E46" s="1284"/>
      <c r="F46" s="1332"/>
      <c r="G46" s="1332"/>
      <c r="H46" s="1332"/>
      <c r="I46" s="1332"/>
      <c r="J46" s="1333"/>
    </row>
    <row r="47" spans="1:11" s="48" customFormat="1" ht="31.5" customHeight="1" thickBot="1" x14ac:dyDescent="0.25">
      <c r="A47" s="1375" t="s">
        <v>321</v>
      </c>
      <c r="B47" s="1376"/>
      <c r="C47" s="1338" t="s">
        <v>38</v>
      </c>
      <c r="D47" s="1339"/>
      <c r="E47" s="1340"/>
      <c r="F47" s="47"/>
      <c r="G47" s="47"/>
      <c r="H47" s="47"/>
      <c r="I47" s="47"/>
      <c r="J47" s="47"/>
    </row>
    <row r="48" spans="1:11" s="48" customFormat="1" ht="36.75" customHeight="1" thickBot="1" x14ac:dyDescent="0.25">
      <c r="A48" s="1377"/>
      <c r="B48" s="1378"/>
      <c r="C48" s="82" t="s">
        <v>27</v>
      </c>
      <c r="D48" s="93" t="s">
        <v>307</v>
      </c>
      <c r="E48" s="83" t="s">
        <v>9</v>
      </c>
      <c r="G48" s="1341" t="s">
        <v>70</v>
      </c>
      <c r="H48" s="1342"/>
      <c r="I48" s="102" t="e">
        <f>+(0.34848*E50-0.009*D50*EXP(0.061*C50))/(273.15+C50)</f>
        <v>#DIV/0!</v>
      </c>
      <c r="J48" s="103" t="s">
        <v>73</v>
      </c>
    </row>
    <row r="49" spans="1:21" s="48" customFormat="1" ht="33" customHeight="1" thickBot="1" x14ac:dyDescent="0.25">
      <c r="A49" s="1306" t="s">
        <v>39</v>
      </c>
      <c r="B49" s="1307"/>
      <c r="C49" s="90" t="e">
        <f>+AVERAGE(E33,E24)</f>
        <v>#DIV/0!</v>
      </c>
      <c r="D49" s="91" t="e">
        <f>+AVERAGE(H33,H24)</f>
        <v>#DIV/0!</v>
      </c>
      <c r="E49" s="92" t="e">
        <f>+AVERAGE(J33,J24)</f>
        <v>#DIV/0!</v>
      </c>
      <c r="G49" s="1308" t="s">
        <v>71</v>
      </c>
      <c r="H49" s="1309"/>
      <c r="I49" s="422" t="e">
        <f>I48*((0.0001)^2+(0.001*I20/2)^2+(-0.0034*D20/2)^2+(-0.01*G20/2)^2)^0.5</f>
        <v>#DIV/0!</v>
      </c>
      <c r="J49" s="138" t="s">
        <v>73</v>
      </c>
    </row>
    <row r="50" spans="1:21" s="48" customFormat="1" ht="36.75" customHeight="1" thickBot="1" x14ac:dyDescent="0.25">
      <c r="A50" s="1343" t="s">
        <v>322</v>
      </c>
      <c r="B50" s="1344"/>
      <c r="C50" s="84" t="e">
        <f>C49+(VLOOKUP(J19,'DATOS %'!J174:W180,9,FALSE))*C49+(VLOOKUP(J19,'DATOS %'!J174:W180,10,FALSE))</f>
        <v>#DIV/0!</v>
      </c>
      <c r="D50" s="85" t="e">
        <f>D49+(VLOOKUP(J19,'DATOS %'!J174:W180,11,FALSE))*D49+(VLOOKUP(J19,'DATOS %'!J174:W180,12,FALSE))</f>
        <v>#DIV/0!</v>
      </c>
      <c r="E50" s="86" t="e">
        <f>E49+(VLOOKUP(J19,'DATOS %'!J174:W180,13,FALSE))*E49+(VLOOKUP(J19,'DATOS %'!J174:W180,14,FALSE))</f>
        <v>#DIV/0!</v>
      </c>
      <c r="G50" s="1341" t="s">
        <v>72</v>
      </c>
      <c r="H50" s="1342"/>
      <c r="I50" s="67">
        <v>1.2</v>
      </c>
      <c r="J50" s="66" t="s">
        <v>73</v>
      </c>
    </row>
    <row r="51" spans="1:21" s="46" customFormat="1" ht="15" customHeight="1" thickBot="1" x14ac:dyDescent="0.25">
      <c r="A51" s="47"/>
      <c r="B51" s="47"/>
      <c r="C51" s="47"/>
      <c r="D51" s="47"/>
      <c r="E51" s="47"/>
      <c r="F51" s="47"/>
      <c r="G51" s="47"/>
      <c r="H51" s="47"/>
      <c r="I51" s="47"/>
      <c r="J51" s="47"/>
      <c r="K51" s="48"/>
    </row>
    <row r="52" spans="1:21" s="48" customFormat="1" ht="31.5" customHeight="1" thickBot="1" x14ac:dyDescent="0.25">
      <c r="A52" s="1331" t="s">
        <v>40</v>
      </c>
      <c r="B52" s="1332"/>
      <c r="C52" s="1332"/>
      <c r="D52" s="1332"/>
      <c r="E52" s="1332"/>
      <c r="F52" s="1332"/>
      <c r="G52" s="1332"/>
      <c r="H52" s="1332"/>
      <c r="I52" s="1332"/>
      <c r="J52" s="1333"/>
    </row>
    <row r="53" spans="1:21" s="48" customFormat="1" ht="31.5" customHeight="1" x14ac:dyDescent="0.35">
      <c r="A53" s="47"/>
      <c r="B53" s="68" t="s">
        <v>41</v>
      </c>
      <c r="C53" s="69"/>
      <c r="D53" s="1345" t="s">
        <v>74</v>
      </c>
      <c r="E53" s="1345"/>
      <c r="F53" s="70" t="s">
        <v>42</v>
      </c>
      <c r="G53" s="71" t="s">
        <v>43</v>
      </c>
      <c r="H53" s="1346" t="s">
        <v>44</v>
      </c>
      <c r="I53" s="1347"/>
      <c r="J53" s="47"/>
    </row>
    <row r="54" spans="1:21" s="48" customFormat="1" ht="31.5" customHeight="1" thickBot="1" x14ac:dyDescent="0.25">
      <c r="A54" s="47"/>
      <c r="B54" s="72" t="e">
        <f>+C43</f>
        <v>#DIV/0!</v>
      </c>
      <c r="C54" s="73" t="s">
        <v>1</v>
      </c>
      <c r="D54" s="74" t="e">
        <f>+C10+C11/1000</f>
        <v>#N/A</v>
      </c>
      <c r="E54" s="73" t="s">
        <v>1</v>
      </c>
      <c r="F54" s="74" t="e">
        <f>+(I48-I50)*(1/H10-1/C13)</f>
        <v>#DIV/0!</v>
      </c>
      <c r="G54" s="75"/>
      <c r="H54" s="67" t="e">
        <f>+(B54+D54*F54)*1000</f>
        <v>#DIV/0!</v>
      </c>
      <c r="I54" s="66" t="s">
        <v>3</v>
      </c>
      <c r="J54" s="47"/>
      <c r="K54" s="46"/>
    </row>
    <row r="55" spans="1:21" s="46" customFormat="1" ht="15" customHeight="1" x14ac:dyDescent="0.2">
      <c r="A55" s="47"/>
      <c r="B55" s="47"/>
      <c r="C55" s="47"/>
      <c r="D55" s="47"/>
      <c r="E55" s="47"/>
      <c r="F55" s="47"/>
      <c r="G55" s="47"/>
      <c r="H55" s="47"/>
      <c r="I55" s="47"/>
      <c r="J55" s="47"/>
      <c r="K55" s="48"/>
    </row>
    <row r="56" spans="1:21" s="48" customFormat="1" ht="31.5" customHeight="1" x14ac:dyDescent="0.2">
      <c r="A56" s="1348" t="s">
        <v>45</v>
      </c>
      <c r="B56" s="1349"/>
      <c r="C56" s="1349"/>
      <c r="D56" s="1349"/>
      <c r="E56" s="1349"/>
      <c r="F56" s="1349"/>
      <c r="G56" s="1349"/>
      <c r="H56" s="1349"/>
      <c r="I56" s="1349"/>
      <c r="J56" s="1349"/>
      <c r="K56" s="46"/>
    </row>
    <row r="57" spans="1:21" s="46" customFormat="1" ht="15" customHeight="1" thickBot="1" x14ac:dyDescent="0.25">
      <c r="A57" s="47"/>
      <c r="B57" s="47"/>
      <c r="C57" s="47"/>
      <c r="D57" s="47"/>
      <c r="E57" s="47"/>
      <c r="K57" s="48"/>
    </row>
    <row r="58" spans="1:21" s="48" customFormat="1" ht="31.5" customHeight="1" thickBot="1" x14ac:dyDescent="0.25">
      <c r="A58" s="1350" t="s">
        <v>38</v>
      </c>
      <c r="B58" s="1351"/>
      <c r="C58" s="1352" t="s">
        <v>46</v>
      </c>
      <c r="D58" s="1353"/>
      <c r="E58" s="1354" t="s">
        <v>238</v>
      </c>
      <c r="F58" s="1379"/>
      <c r="G58" s="1061" t="s">
        <v>553</v>
      </c>
      <c r="J58" s="114"/>
      <c r="L58" s="46"/>
      <c r="Q58" s="47"/>
      <c r="R58" s="47"/>
      <c r="S58" s="47"/>
      <c r="T58" s="47"/>
      <c r="U58" s="47"/>
    </row>
    <row r="59" spans="1:21" s="48" customFormat="1" ht="57.95" customHeight="1" thickBot="1" x14ac:dyDescent="0.25">
      <c r="A59" s="1024" t="s">
        <v>47</v>
      </c>
      <c r="B59" s="1025"/>
      <c r="C59" s="1026" t="e">
        <f>+C44/B26^0.5*1000</f>
        <v>#DIV/0!</v>
      </c>
      <c r="D59" s="1017" t="s">
        <v>3</v>
      </c>
      <c r="E59" s="1027" t="s">
        <v>240</v>
      </c>
      <c r="F59" s="139">
        <f>$B$26-1</f>
        <v>3</v>
      </c>
      <c r="G59" s="1111" t="e">
        <f>(C59/$G$70)^2</f>
        <v>#DIV/0!</v>
      </c>
      <c r="H59" s="47"/>
      <c r="K59" s="156">
        <v>0.3</v>
      </c>
      <c r="L59" s="157">
        <v>1.65</v>
      </c>
      <c r="M59" s="113"/>
    </row>
    <row r="60" spans="1:21" s="48" customFormat="1" ht="57.95" customHeight="1" thickBot="1" x14ac:dyDescent="0.25">
      <c r="A60" s="1019" t="s">
        <v>343</v>
      </c>
      <c r="B60" s="1020" t="s">
        <v>48</v>
      </c>
      <c r="C60" s="1021" t="e">
        <f>+C12/2</f>
        <v>#N/A</v>
      </c>
      <c r="D60" s="1022" t="s">
        <v>3</v>
      </c>
      <c r="E60" s="1023" t="s">
        <v>239</v>
      </c>
      <c r="F60" s="146" t="s">
        <v>265</v>
      </c>
      <c r="G60" s="1112"/>
      <c r="H60" s="1380" t="s">
        <v>241</v>
      </c>
      <c r="I60" s="1356"/>
      <c r="J60" s="1356"/>
      <c r="K60" s="1356"/>
      <c r="L60" s="1356"/>
      <c r="M60" s="1357"/>
    </row>
    <row r="61" spans="1:21" s="48" customFormat="1" ht="57.95" customHeight="1" thickBot="1" x14ac:dyDescent="0.25">
      <c r="A61" s="1028" t="s">
        <v>344</v>
      </c>
      <c r="B61" s="1029"/>
      <c r="C61" s="1030" t="e">
        <f>+C12/3^0.5</f>
        <v>#N/A</v>
      </c>
      <c r="D61" s="1031" t="s">
        <v>3</v>
      </c>
      <c r="E61" s="1032" t="s">
        <v>239</v>
      </c>
      <c r="F61" s="147" t="s">
        <v>265</v>
      </c>
      <c r="G61" s="1112"/>
      <c r="H61" s="132" t="s">
        <v>243</v>
      </c>
      <c r="I61" s="1015" t="e">
        <f>MAX(C59:C62,C66:C67,C68)</f>
        <v>#DIV/0!</v>
      </c>
      <c r="J61" s="151" t="e">
        <f>IF((I62)&lt;=(K59),"1,65","2")</f>
        <v>#DIV/0!</v>
      </c>
      <c r="K61" s="152" t="s">
        <v>242</v>
      </c>
      <c r="L61" s="153" t="s">
        <v>237</v>
      </c>
      <c r="M61" s="360" t="s">
        <v>328</v>
      </c>
    </row>
    <row r="62" spans="1:21" s="48" customFormat="1" ht="57.95" customHeight="1" thickBot="1" x14ac:dyDescent="0.3">
      <c r="A62" s="1024" t="s">
        <v>49</v>
      </c>
      <c r="B62" s="1035"/>
      <c r="C62" s="1036" t="e">
        <f>+SQRT(SUMSQ(C60:C61))</f>
        <v>#N/A</v>
      </c>
      <c r="D62" s="1017" t="s">
        <v>3</v>
      </c>
      <c r="E62" s="1037" t="s">
        <v>240</v>
      </c>
      <c r="F62" s="139">
        <v>200</v>
      </c>
      <c r="G62" s="1112" t="e">
        <f t="shared" ref="G62:G68" si="0">(C62/$G$70)^2</f>
        <v>#N/A</v>
      </c>
      <c r="H62" s="133" t="s">
        <v>244</v>
      </c>
      <c r="I62" s="150" t="e">
        <f>SQRT((C59)^2+(C66)^2+(C67)^2)/I61</f>
        <v>#DIV/0!</v>
      </c>
      <c r="J62" s="126"/>
      <c r="K62" s="154" t="s">
        <v>242</v>
      </c>
      <c r="L62" s="155" t="s">
        <v>252</v>
      </c>
      <c r="M62" s="361" t="s">
        <v>329</v>
      </c>
    </row>
    <row r="63" spans="1:21" s="48" customFormat="1" ht="57.95" customHeight="1" x14ac:dyDescent="0.2">
      <c r="A63" s="1019" t="s">
        <v>345</v>
      </c>
      <c r="B63" s="1020"/>
      <c r="C63" s="1033" t="e">
        <f>+I49</f>
        <v>#DIV/0!</v>
      </c>
      <c r="D63" s="1021" t="s">
        <v>73</v>
      </c>
      <c r="E63" s="1034" t="s">
        <v>239</v>
      </c>
      <c r="F63" s="146" t="s">
        <v>265</v>
      </c>
      <c r="G63" s="1112"/>
      <c r="L63" s="46"/>
      <c r="T63" s="46"/>
      <c r="U63" s="46"/>
    </row>
    <row r="64" spans="1:21" s="48" customFormat="1" ht="57.95" customHeight="1" x14ac:dyDescent="0.2">
      <c r="A64" s="426" t="s">
        <v>50</v>
      </c>
      <c r="B64" s="1018"/>
      <c r="C64" s="425" t="e">
        <f>+H11/2</f>
        <v>#N/A</v>
      </c>
      <c r="D64" s="424" t="s">
        <v>73</v>
      </c>
      <c r="E64" s="423" t="s">
        <v>239</v>
      </c>
      <c r="F64" s="148" t="s">
        <v>265</v>
      </c>
      <c r="G64" s="1112"/>
      <c r="H64" s="130"/>
      <c r="J64" s="130"/>
      <c r="K64" s="130"/>
      <c r="L64" s="130"/>
      <c r="M64" s="130"/>
      <c r="Q64" s="47"/>
      <c r="R64" s="47"/>
      <c r="S64" s="47"/>
      <c r="T64" s="47"/>
      <c r="U64" s="47"/>
    </row>
    <row r="65" spans="1:21" s="48" customFormat="1" ht="57.95" customHeight="1" thickBot="1" x14ac:dyDescent="0.25">
      <c r="A65" s="1028" t="s">
        <v>346</v>
      </c>
      <c r="B65" s="1038"/>
      <c r="C65" s="1039" t="e">
        <f>+C14/2</f>
        <v>#N/A</v>
      </c>
      <c r="D65" s="1031" t="s">
        <v>73</v>
      </c>
      <c r="E65" s="1040" t="s">
        <v>239</v>
      </c>
      <c r="F65" s="147" t="s">
        <v>265</v>
      </c>
      <c r="G65" s="1112"/>
      <c r="H65" s="130"/>
      <c r="I65" s="130"/>
      <c r="J65" s="130"/>
      <c r="K65" s="130"/>
      <c r="L65" s="130"/>
      <c r="M65" s="130"/>
      <c r="Q65" s="46"/>
      <c r="R65" s="46"/>
      <c r="S65" s="46"/>
      <c r="T65" s="46"/>
      <c r="U65" s="46"/>
    </row>
    <row r="66" spans="1:21" s="48" customFormat="1" ht="57.95" customHeight="1" thickBot="1" x14ac:dyDescent="0.3">
      <c r="A66" s="1024" t="s">
        <v>347</v>
      </c>
      <c r="B66" s="1035"/>
      <c r="C66" s="1036" t="e">
        <f>+SQRT(ABS(((C10/1000+C11/1000000)*(C13-H10)/(C13*H10)*C63)^2+((C10/1000+C11/1000000)*(I48-I50))^2*C64^2/H10^4+(C10/1000+C11/1000000)^2*(I48-I50)*((I48-I50)-2*(C15-I50))*C65^2/C13^4))*1000000</f>
        <v>#N/A</v>
      </c>
      <c r="D66" s="1051" t="s">
        <v>3</v>
      </c>
      <c r="E66" s="1037" t="s">
        <v>240</v>
      </c>
      <c r="F66" s="139">
        <v>200</v>
      </c>
      <c r="G66" s="1112" t="e">
        <f t="shared" si="0"/>
        <v>#N/A</v>
      </c>
      <c r="H66" s="130"/>
      <c r="I66" s="1093" t="s">
        <v>554</v>
      </c>
      <c r="J66" s="1095" t="s">
        <v>556</v>
      </c>
      <c r="K66" s="1094" t="s">
        <v>555</v>
      </c>
      <c r="L66" s="130"/>
      <c r="M66" s="130"/>
      <c r="Q66" s="47"/>
      <c r="R66" s="47"/>
      <c r="S66" s="47"/>
      <c r="T66" s="47"/>
      <c r="U66" s="47"/>
    </row>
    <row r="67" spans="1:21" s="48" customFormat="1" ht="57.95" customHeight="1" thickBot="1" x14ac:dyDescent="0.3">
      <c r="A67" s="1047" t="s">
        <v>52</v>
      </c>
      <c r="B67" s="1048"/>
      <c r="C67" s="1049" t="e">
        <f>+(G15/2/3^0.5)*2^0.5*1000</f>
        <v>#N/A</v>
      </c>
      <c r="D67" s="1044" t="s">
        <v>3</v>
      </c>
      <c r="E67" s="1045" t="s">
        <v>239</v>
      </c>
      <c r="F67" s="1050">
        <v>200</v>
      </c>
      <c r="G67" s="1112" t="e">
        <f t="shared" si="0"/>
        <v>#N/A</v>
      </c>
      <c r="H67" s="130"/>
      <c r="I67" s="1096" t="e">
        <f>G70^4/((C59^4/F59)+(C62^4/F62)+(C66^4/F66)+(C67^4/F67)+(C68^4/F68))</f>
        <v>#DIV/0!</v>
      </c>
      <c r="J67" s="1097" t="e">
        <f>TINV(0.05,I67)</f>
        <v>#DIV/0!</v>
      </c>
      <c r="K67" s="1098" t="e">
        <f>1-TDIST(J67,I67,2)</f>
        <v>#DIV/0!</v>
      </c>
      <c r="L67" s="130"/>
      <c r="M67" s="130"/>
    </row>
    <row r="68" spans="1:21" s="46" customFormat="1" ht="65.25" customHeight="1" thickBot="1" x14ac:dyDescent="0.3">
      <c r="A68" s="1041" t="s">
        <v>551</v>
      </c>
      <c r="B68" s="1042"/>
      <c r="C68" s="1043">
        <f>0.01/SQRT(45)</f>
        <v>1.4907119849998597E-3</v>
      </c>
      <c r="D68" s="1044" t="s">
        <v>3</v>
      </c>
      <c r="E68" s="1045" t="s">
        <v>240</v>
      </c>
      <c r="F68" s="1046">
        <v>50</v>
      </c>
      <c r="G68" s="1113" t="e">
        <f t="shared" si="0"/>
        <v>#DIV/0!</v>
      </c>
      <c r="H68" s="130"/>
      <c r="I68" s="130"/>
      <c r="J68" s="130"/>
      <c r="K68" s="130"/>
      <c r="L68" s="130"/>
      <c r="M68" s="130"/>
      <c r="S68" s="48"/>
      <c r="T68" s="48"/>
      <c r="U68" s="48"/>
    </row>
    <row r="69" spans="1:21" s="46" customFormat="1" ht="65.25" customHeight="1" thickBot="1" x14ac:dyDescent="0.25">
      <c r="A69" s="130"/>
      <c r="B69" s="130"/>
      <c r="C69" s="130"/>
      <c r="D69" s="130"/>
      <c r="E69" s="130"/>
      <c r="F69" s="130"/>
      <c r="G69" s="1114" t="e">
        <f>SUM(G59,G62,G66,G67,G68)</f>
        <v>#DIV/0!</v>
      </c>
      <c r="H69" s="130"/>
      <c r="I69" s="130"/>
      <c r="J69" s="130"/>
      <c r="K69" s="130"/>
      <c r="L69" s="130"/>
      <c r="M69" s="130"/>
      <c r="S69" s="48"/>
      <c r="T69" s="48"/>
      <c r="U69" s="48"/>
    </row>
    <row r="70" spans="1:21" s="106" customFormat="1" ht="51.75" customHeight="1" thickBot="1" x14ac:dyDescent="0.3">
      <c r="D70" s="1306" t="s">
        <v>51</v>
      </c>
      <c r="E70" s="1307"/>
      <c r="F70" s="134"/>
      <c r="G70" s="140" t="e">
        <f>+SQRT(SUMSQ(C59,C62,C66,C67,C68))</f>
        <v>#DIV/0!</v>
      </c>
      <c r="H70" s="136" t="s">
        <v>3</v>
      </c>
      <c r="K70" s="130"/>
      <c r="L70" s="130"/>
      <c r="M70" s="130"/>
      <c r="S70" s="48"/>
      <c r="T70" s="48"/>
      <c r="U70" s="48"/>
    </row>
    <row r="71" spans="1:21" s="106" customFormat="1" ht="35.1" customHeight="1" thickBot="1" x14ac:dyDescent="0.25">
      <c r="D71" s="1306" t="s">
        <v>53</v>
      </c>
      <c r="E71" s="1307"/>
      <c r="F71" s="135"/>
      <c r="G71" s="140" t="e">
        <f>+G70*2</f>
        <v>#DIV/0!</v>
      </c>
      <c r="H71" s="137" t="s">
        <v>3</v>
      </c>
      <c r="K71" s="110"/>
      <c r="L71" s="107"/>
      <c r="O71" s="48"/>
      <c r="P71" s="48"/>
      <c r="Q71" s="48"/>
      <c r="R71" s="48"/>
      <c r="S71" s="48"/>
      <c r="T71" s="48"/>
      <c r="U71" s="48"/>
    </row>
    <row r="72" spans="1:21" s="106" customFormat="1" ht="33.75" customHeight="1" thickBot="1" x14ac:dyDescent="4.45">
      <c r="B72" s="1313" t="s">
        <v>54</v>
      </c>
      <c r="C72" s="1314"/>
      <c r="D72" s="1314"/>
      <c r="E72" s="1314"/>
      <c r="F72" s="1314"/>
      <c r="G72" s="1314"/>
      <c r="H72" s="1314"/>
      <c r="I72" s="1314"/>
      <c r="J72" s="1314"/>
      <c r="K72" s="1315"/>
      <c r="L72" s="117"/>
      <c r="O72" s="48"/>
      <c r="P72" s="48"/>
      <c r="Q72" s="48"/>
      <c r="R72" s="48"/>
      <c r="S72" s="48"/>
      <c r="T72" s="48"/>
      <c r="U72" s="48"/>
    </row>
    <row r="73" spans="1:21" s="106" customFormat="1" ht="35.1" customHeight="1" thickBot="1" x14ac:dyDescent="0.25">
      <c r="B73" s="1368" t="s">
        <v>255</v>
      </c>
      <c r="C73" s="1369"/>
      <c r="D73" s="1369"/>
      <c r="E73" s="1370"/>
      <c r="F73" s="79"/>
      <c r="G73" s="80"/>
      <c r="H73" s="1371"/>
      <c r="I73" s="1372"/>
      <c r="J73" s="1372"/>
      <c r="K73" s="1373"/>
      <c r="O73" s="48"/>
      <c r="P73" s="48"/>
      <c r="Q73" s="48"/>
      <c r="R73" s="48"/>
      <c r="S73" s="48"/>
      <c r="T73" s="48"/>
      <c r="U73" s="48"/>
    </row>
    <row r="74" spans="1:21" s="106" customFormat="1" ht="40.5" customHeight="1" x14ac:dyDescent="0.2">
      <c r="B74" s="118"/>
      <c r="C74" s="362" t="s">
        <v>348</v>
      </c>
      <c r="D74" s="119" t="s">
        <v>253</v>
      </c>
      <c r="E74" s="120"/>
      <c r="F74" s="1358"/>
      <c r="G74" s="1358"/>
      <c r="H74" s="1359" t="s">
        <v>266</v>
      </c>
      <c r="I74" s="1381" t="s">
        <v>254</v>
      </c>
      <c r="J74" s="1381"/>
      <c r="K74" s="1382"/>
      <c r="O74" s="48"/>
      <c r="P74" s="48"/>
      <c r="Q74" s="48"/>
      <c r="R74" s="48"/>
      <c r="S74" s="48"/>
      <c r="T74" s="48"/>
      <c r="U74" s="48"/>
    </row>
    <row r="75" spans="1:21" s="106" customFormat="1" ht="35.1" customHeight="1" x14ac:dyDescent="0.2">
      <c r="B75" s="81" t="e">
        <f>C10</f>
        <v>#N/A</v>
      </c>
      <c r="C75" s="77" t="e">
        <f>C11</f>
        <v>#N/A</v>
      </c>
      <c r="D75" s="78" t="e">
        <f>H54</f>
        <v>#DIV/0!</v>
      </c>
      <c r="E75" s="216" t="e">
        <f>B75+(C75/1000)+(D75/1000)</f>
        <v>#N/A</v>
      </c>
      <c r="F75" s="264" t="e">
        <f>E75*1000-B75*1000</f>
        <v>#N/A</v>
      </c>
      <c r="G75" s="61"/>
      <c r="H75" s="1360"/>
      <c r="I75" s="1055" t="e">
        <f>G71</f>
        <v>#DIV/0!</v>
      </c>
      <c r="J75" s="1364"/>
      <c r="K75" s="1365"/>
      <c r="O75" s="48"/>
      <c r="P75" s="48"/>
      <c r="Q75" s="48"/>
      <c r="R75" s="48"/>
      <c r="S75" s="48"/>
      <c r="T75" s="48"/>
      <c r="U75" s="48"/>
    </row>
    <row r="76" spans="1:21" s="106" customFormat="1" ht="35.1" customHeight="1" thickBot="1" x14ac:dyDescent="0.25">
      <c r="B76" s="87" t="e">
        <f>B75</f>
        <v>#N/A</v>
      </c>
      <c r="C76" s="88" t="e">
        <f>C75</f>
        <v>#N/A</v>
      </c>
      <c r="D76" s="88" t="e">
        <f>D75</f>
        <v>#DIV/0!</v>
      </c>
      <c r="E76" s="217" t="e">
        <f>B76+(C76/1000)+(D76/1000)</f>
        <v>#N/A</v>
      </c>
      <c r="F76" s="227" t="e">
        <f>F75/1000</f>
        <v>#N/A</v>
      </c>
      <c r="G76" s="89"/>
      <c r="H76" s="1361"/>
      <c r="I76" s="226" t="e">
        <f>I75/1000</f>
        <v>#DIV/0!</v>
      </c>
      <c r="J76" s="1366"/>
      <c r="K76" s="1367"/>
      <c r="O76" s="48"/>
      <c r="P76" s="48"/>
      <c r="Q76" s="48"/>
      <c r="R76" s="48"/>
      <c r="S76" s="48"/>
      <c r="T76" s="48"/>
      <c r="U76" s="48"/>
    </row>
    <row r="77" spans="1:21" s="106" customFormat="1" ht="35.1" customHeight="1" x14ac:dyDescent="0.2">
      <c r="G77" s="47"/>
      <c r="H77" s="47"/>
      <c r="I77" s="47"/>
      <c r="J77" s="47"/>
      <c r="O77" s="48"/>
      <c r="P77" s="48"/>
      <c r="Q77" s="48"/>
      <c r="R77" s="48"/>
      <c r="S77" s="48"/>
      <c r="T77" s="48"/>
      <c r="U77" s="48"/>
    </row>
    <row r="78" spans="1:21" s="106" customFormat="1" ht="35.1" customHeight="1" x14ac:dyDescent="0.2">
      <c r="G78" s="47"/>
      <c r="H78" s="47"/>
      <c r="I78" s="47"/>
      <c r="J78" s="47"/>
      <c r="O78" s="48"/>
      <c r="P78" s="48"/>
      <c r="Q78" s="48"/>
      <c r="R78" s="48"/>
      <c r="S78" s="48"/>
      <c r="T78" s="48"/>
      <c r="U78" s="48"/>
    </row>
    <row r="79" spans="1:21" s="106" customFormat="1" ht="35.1" customHeight="1" x14ac:dyDescent="0.2">
      <c r="G79" s="47"/>
      <c r="H79" s="47"/>
      <c r="I79" s="47"/>
      <c r="J79" s="47"/>
    </row>
    <row r="80" spans="1:21" s="107" customFormat="1" ht="35.1" customHeight="1" x14ac:dyDescent="0.2">
      <c r="A80" s="109"/>
      <c r="B80" s="106"/>
      <c r="C80" s="106"/>
      <c r="D80" s="106"/>
      <c r="E80" s="106"/>
      <c r="F80" s="106"/>
      <c r="G80" s="47"/>
      <c r="H80" s="47"/>
    </row>
    <row r="81" spans="2:11" s="111" customFormat="1" ht="35.1" customHeight="1" x14ac:dyDescent="0.2">
      <c r="B81" s="106"/>
      <c r="C81" s="106"/>
      <c r="D81" s="106"/>
      <c r="E81" s="106"/>
      <c r="F81" s="106"/>
      <c r="G81" s="47"/>
      <c r="H81" s="47"/>
    </row>
    <row r="82" spans="2:11" s="106" customFormat="1" ht="61.5" customHeight="1" x14ac:dyDescent="0.2">
      <c r="H82" s="111"/>
      <c r="I82" s="111"/>
      <c r="J82" s="111"/>
      <c r="K82" s="108"/>
    </row>
    <row r="83" spans="2:11" s="106" customFormat="1" ht="35.1" customHeight="1" x14ac:dyDescent="0.2">
      <c r="G83" s="111"/>
      <c r="H83" s="111"/>
      <c r="I83" s="111"/>
      <c r="J83" s="111"/>
      <c r="K83" s="108"/>
    </row>
    <row r="84" spans="2:11" s="106" customFormat="1" ht="35.1" customHeight="1" x14ac:dyDescent="0.2">
      <c r="G84" s="111"/>
      <c r="H84" s="111"/>
      <c r="I84" s="111"/>
      <c r="J84" s="111"/>
      <c r="K84" s="108"/>
    </row>
    <row r="85" spans="2:11" s="106" customFormat="1" ht="35.1" customHeight="1" x14ac:dyDescent="0.2">
      <c r="F85" s="107"/>
      <c r="K85" s="108"/>
    </row>
    <row r="86" spans="2:11" s="106" customFormat="1" ht="50.1" customHeight="1" x14ac:dyDescent="0.2"/>
    <row r="87" spans="2:11" s="106" customFormat="1" ht="57.75" customHeight="1" x14ac:dyDescent="0.2">
      <c r="C87" s="112"/>
      <c r="D87" s="112"/>
      <c r="E87" s="112"/>
    </row>
    <row r="88" spans="2:11" s="106" customFormat="1" ht="35.1" customHeight="1" x14ac:dyDescent="0.2"/>
    <row r="89" spans="2:11" s="106" customFormat="1" ht="35.1" customHeight="1" x14ac:dyDescent="0.2">
      <c r="F89" s="108"/>
      <c r="G89" s="108"/>
      <c r="H89" s="108"/>
      <c r="I89" s="108"/>
      <c r="J89" s="108"/>
    </row>
    <row r="90" spans="2:11" s="106" customFormat="1" ht="35.1" customHeight="1" x14ac:dyDescent="0.2"/>
    <row r="91" spans="2:11" s="106" customFormat="1" ht="50.1" customHeight="1" x14ac:dyDescent="0.2">
      <c r="J91" s="47"/>
    </row>
    <row r="92" spans="2:11" s="106" customFormat="1" ht="55.5" customHeight="1" x14ac:dyDescent="0.2">
      <c r="J92" s="111"/>
    </row>
    <row r="93" spans="2:11" s="106" customFormat="1" ht="50.1" customHeight="1" x14ac:dyDescent="0.2">
      <c r="J93" s="111"/>
    </row>
    <row r="94" spans="2:11" s="107" customFormat="1" ht="31.5" customHeight="1" x14ac:dyDescent="0.2">
      <c r="J94" s="111"/>
    </row>
    <row r="95" spans="2:11" s="106" customFormat="1" ht="35.1" customHeight="1" x14ac:dyDescent="0.2">
      <c r="G95" s="111"/>
      <c r="H95" s="111"/>
      <c r="I95" s="111"/>
      <c r="J95" s="111"/>
    </row>
    <row r="96" spans="2:11" s="106" customFormat="1" ht="35.1" customHeight="1" x14ac:dyDescent="0.2">
      <c r="G96" s="111"/>
      <c r="H96" s="111"/>
      <c r="I96" s="111"/>
      <c r="J96" s="111"/>
    </row>
    <row r="97" spans="1:12" s="106" customFormat="1" ht="9.9499999999999993" customHeight="1" x14ac:dyDescent="0.2">
      <c r="G97" s="108"/>
      <c r="H97" s="108"/>
      <c r="I97" s="108"/>
      <c r="J97" s="108"/>
    </row>
    <row r="98" spans="1:12" s="106" customFormat="1" ht="35.1" customHeight="1" x14ac:dyDescent="0.2">
      <c r="J98" s="108"/>
      <c r="K98" s="108"/>
      <c r="L98" s="108"/>
    </row>
    <row r="99" spans="1:12" s="46" customFormat="1" ht="15" customHeight="1" x14ac:dyDescent="0.2">
      <c r="A99" s="47"/>
      <c r="G99" s="47"/>
      <c r="H99" s="47"/>
      <c r="I99" s="47"/>
      <c r="J99" s="47"/>
      <c r="K99" s="48"/>
    </row>
    <row r="100" spans="1:12" s="48" customFormat="1" ht="31.5" customHeight="1" x14ac:dyDescent="0.2">
      <c r="A100" s="47"/>
      <c r="B100" s="47"/>
      <c r="C100" s="47"/>
      <c r="D100" s="47"/>
      <c r="E100" s="47"/>
      <c r="F100" s="47"/>
      <c r="G100" s="47"/>
      <c r="H100" s="47"/>
      <c r="I100" s="47"/>
      <c r="J100" s="47"/>
    </row>
    <row r="101" spans="1:12" s="48" customFormat="1" ht="31.5" customHeight="1" x14ac:dyDescent="0.2"/>
    <row r="102" spans="1:12" s="48" customFormat="1" ht="31.5" customHeight="1" x14ac:dyDescent="0.2"/>
    <row r="103" spans="1:12" s="48" customFormat="1" ht="52.5" customHeight="1" x14ac:dyDescent="0.2"/>
    <row r="104" spans="1:12" s="48" customFormat="1" ht="31.5" customHeight="1" x14ac:dyDescent="0.2">
      <c r="K104" s="8"/>
    </row>
    <row r="105" spans="1:12" s="48" customFormat="1" ht="31.5" customHeight="1" x14ac:dyDescent="0.2">
      <c r="K105" s="8"/>
    </row>
    <row r="106" spans="1:12" ht="31.5" customHeight="1" x14ac:dyDescent="0.2">
      <c r="G106" s="76"/>
    </row>
    <row r="107" spans="1:12" ht="51" customHeight="1" x14ac:dyDescent="0.2"/>
    <row r="109" spans="1:12" ht="31.5" customHeight="1" x14ac:dyDescent="0.2">
      <c r="B109" s="29"/>
      <c r="C109" s="29"/>
      <c r="D109" s="29"/>
      <c r="E109" s="29"/>
      <c r="F109" s="29"/>
      <c r="G109" s="29"/>
      <c r="H109" s="29"/>
      <c r="I109" s="29"/>
      <c r="J109" s="29"/>
    </row>
    <row r="110" spans="1:12" ht="31.5" customHeight="1" x14ac:dyDescent="0.2">
      <c r="B110" s="29"/>
      <c r="C110" s="29"/>
      <c r="D110" s="29"/>
      <c r="E110" s="29"/>
      <c r="F110" s="29"/>
      <c r="G110" s="29"/>
      <c r="H110" s="29"/>
      <c r="I110" s="29"/>
      <c r="J110" s="29"/>
    </row>
    <row r="111" spans="1:12" ht="31.5" customHeight="1" x14ac:dyDescent="0.2">
      <c r="B111" s="29"/>
      <c r="C111" s="29"/>
      <c r="D111" s="29"/>
      <c r="E111" s="29"/>
      <c r="F111" s="29"/>
      <c r="G111" s="29"/>
      <c r="H111" s="29"/>
      <c r="I111" s="29"/>
      <c r="J111" s="29"/>
    </row>
    <row r="112" spans="1:12" ht="31.5" customHeight="1" x14ac:dyDescent="0.2">
      <c r="B112" s="29"/>
      <c r="C112" s="29"/>
      <c r="D112" s="29"/>
      <c r="E112" s="29"/>
      <c r="F112" s="29"/>
      <c r="G112" s="29"/>
      <c r="H112" s="29"/>
      <c r="I112" s="29"/>
      <c r="J112" s="29"/>
    </row>
    <row r="113" spans="2:10" ht="31.5" customHeight="1" x14ac:dyDescent="0.2">
      <c r="B113" s="29"/>
      <c r="C113" s="29"/>
      <c r="D113" s="29"/>
      <c r="E113" s="29"/>
      <c r="F113" s="29"/>
      <c r="G113" s="29"/>
      <c r="H113" s="29"/>
      <c r="I113" s="29"/>
      <c r="J113" s="29"/>
    </row>
    <row r="114" spans="2:10" ht="31.5" customHeight="1" x14ac:dyDescent="0.2">
      <c r="B114" s="29"/>
      <c r="C114" s="29"/>
      <c r="D114" s="29"/>
      <c r="E114" s="29"/>
      <c r="F114" s="29"/>
      <c r="G114" s="29"/>
      <c r="H114" s="29"/>
      <c r="I114" s="29"/>
      <c r="J114" s="29"/>
    </row>
    <row r="115" spans="2:10" ht="31.5" customHeight="1" x14ac:dyDescent="0.2">
      <c r="B115" s="29"/>
      <c r="C115" s="29"/>
      <c r="D115" s="29"/>
      <c r="E115" s="29"/>
      <c r="F115" s="29"/>
      <c r="G115" s="29"/>
      <c r="H115" s="29"/>
      <c r="I115" s="29"/>
      <c r="J115" s="29"/>
    </row>
  </sheetData>
  <sheetProtection password="CF5C" sheet="1" objects="1" scenarios="1"/>
  <mergeCells count="62">
    <mergeCell ref="D70:E70"/>
    <mergeCell ref="D71:E71"/>
    <mergeCell ref="B72:K72"/>
    <mergeCell ref="B73:E73"/>
    <mergeCell ref="H73:K73"/>
    <mergeCell ref="F74:G74"/>
    <mergeCell ref="H74:H76"/>
    <mergeCell ref="I74:K74"/>
    <mergeCell ref="J75:K75"/>
    <mergeCell ref="J76:K76"/>
    <mergeCell ref="A56:J56"/>
    <mergeCell ref="A58:B58"/>
    <mergeCell ref="C58:D58"/>
    <mergeCell ref="E58:F58"/>
    <mergeCell ref="H60:M60"/>
    <mergeCell ref="A50:B50"/>
    <mergeCell ref="G50:H50"/>
    <mergeCell ref="A52:J52"/>
    <mergeCell ref="D53:E53"/>
    <mergeCell ref="H53:I53"/>
    <mergeCell ref="A49:B49"/>
    <mergeCell ref="G49:H49"/>
    <mergeCell ref="A28:A31"/>
    <mergeCell ref="C33:D33"/>
    <mergeCell ref="F33:G33"/>
    <mergeCell ref="A36:J36"/>
    <mergeCell ref="B38:F38"/>
    <mergeCell ref="H38:J38"/>
    <mergeCell ref="H39:J42"/>
    <mergeCell ref="A46:J46"/>
    <mergeCell ref="A47:B48"/>
    <mergeCell ref="C47:E47"/>
    <mergeCell ref="G48:H48"/>
    <mergeCell ref="A27:B27"/>
    <mergeCell ref="G27:H27"/>
    <mergeCell ref="A14:B14"/>
    <mergeCell ref="A15:B15"/>
    <mergeCell ref="A16:B16"/>
    <mergeCell ref="C16:D16"/>
    <mergeCell ref="A18:J18"/>
    <mergeCell ref="F19:G19"/>
    <mergeCell ref="J19:J20"/>
    <mergeCell ref="A20:B20"/>
    <mergeCell ref="E20:F20"/>
    <mergeCell ref="A22:J22"/>
    <mergeCell ref="C24:D24"/>
    <mergeCell ref="F24:G24"/>
    <mergeCell ref="C26:F26"/>
    <mergeCell ref="G26:H26"/>
    <mergeCell ref="A13:B13"/>
    <mergeCell ref="F13:I13"/>
    <mergeCell ref="A1:B1"/>
    <mergeCell ref="C1:M1"/>
    <mergeCell ref="I3:J4"/>
    <mergeCell ref="A6:D6"/>
    <mergeCell ref="F6:I6"/>
    <mergeCell ref="F9:G9"/>
    <mergeCell ref="A10:B10"/>
    <mergeCell ref="F10:G10"/>
    <mergeCell ref="A11:B11"/>
    <mergeCell ref="F11:G11"/>
    <mergeCell ref="A12:B12"/>
  </mergeCells>
  <printOptions horizontalCentered="1"/>
  <pageMargins left="0.70866141732283472" right="0.70866141732283472" top="0.74803149606299213" bottom="0.74803149606299213" header="0.31496062992125984" footer="0.31496062992125984"/>
  <pageSetup scale="13" orientation="portrait" r:id="rId1"/>
  <headerFooter>
    <oddHeader xml:space="preserve">&amp;C
&amp;16   
</oddHeader>
    <oddFooter xml:space="preserve">&amp;RRT03-F13 Vr.14 (2021-05-21)
</oddFooter>
  </headerFooter>
  <rowBreaks count="1" manualBreakCount="1">
    <brk id="34" max="12" man="1"/>
  </rowBreaks>
  <drawing r:id="rId2"/>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1200-000000000000}">
          <x14:formula1>
            <xm:f>'DATOS %'!$J$174:$J$179</xm:f>
          </x14:formula1>
          <xm:sqref>J19:J20</xm:sqref>
        </x14:dataValidation>
        <x14:dataValidation type="list" allowBlank="1" showInputMessage="1" showErrorMessage="1" xr:uid="{00000000-0002-0000-1200-000001000000}">
          <x14:formula1>
            <xm:f>'DATOS %'!$N$121:$N$166</xm:f>
          </x14:formula1>
          <xm:sqref>F48</xm:sqref>
        </x14:dataValidation>
        <x14:dataValidation type="list" allowBlank="1" showInputMessage="1" showErrorMessage="1" xr:uid="{00000000-0002-0000-1200-000002000000}">
          <x14:formula1>
            <xm:f>'DATOS %'!$N$29:$N$113</xm:f>
          </x14:formula1>
          <xm:sqref>E6</xm:sqref>
        </x14:dataValidation>
        <x14:dataValidation type="list" allowBlank="1" showInputMessage="1" showErrorMessage="1" xr:uid="{00000000-0002-0000-1200-000003000000}">
          <x14:formula1>
            <xm:f>'DATOS %'!$V$120:$V$126</xm:f>
          </x14:formula1>
          <xm:sqref>J13</xm:sqref>
        </x14:dataValidation>
        <x14:dataValidation type="list" allowBlank="1" showInputMessage="1" showErrorMessage="1" xr:uid="{00000000-0002-0000-1200-000004000000}">
          <x14:formula1>
            <xm:f>'DATOS %'!$V$161:$V$165</xm:f>
          </x14:formula1>
          <xm:sqref>H25</xm:sqref>
        </x14:dataValidation>
        <x14:dataValidation type="list" allowBlank="1" showInputMessage="1" showErrorMessage="1" xr:uid="{00000000-0002-0000-1200-000005000000}">
          <x14:formula1>
            <xm:f>'DATOS %'!$B$7:$B$40</xm:f>
          </x14:formula1>
          <xm:sqref>I3:J4</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FF00"/>
  </sheetPr>
  <dimension ref="A1:U115"/>
  <sheetViews>
    <sheetView showGridLines="0" view="pageBreakPreview" topLeftCell="A20" zoomScale="80" zoomScaleNormal="60" zoomScaleSheetLayoutView="80" workbookViewId="0">
      <selection activeCell="C65" sqref="C65"/>
    </sheetView>
  </sheetViews>
  <sheetFormatPr baseColWidth="10" defaultColWidth="11.42578125" defaultRowHeight="31.5" customHeight="1" x14ac:dyDescent="0.2"/>
  <cols>
    <col min="1" max="1" width="14.7109375" style="37" customWidth="1"/>
    <col min="2" max="2" width="12.85546875" style="37" customWidth="1"/>
    <col min="3" max="3" width="15.7109375" style="37" customWidth="1"/>
    <col min="4" max="4" width="17" style="37" customWidth="1"/>
    <col min="5" max="5" width="15.5703125" style="37" customWidth="1"/>
    <col min="6" max="6" width="18.5703125" style="37" customWidth="1"/>
    <col min="7" max="7" width="15.7109375" style="37" customWidth="1"/>
    <col min="8" max="8" width="24.42578125" style="37" bestFit="1" customWidth="1"/>
    <col min="9" max="9" width="13.85546875" style="37" bestFit="1" customWidth="1"/>
    <col min="10" max="10" width="13.7109375" style="37" customWidth="1"/>
    <col min="11" max="19" width="11.42578125" style="8"/>
    <col min="20" max="20" width="15.85546875" style="8" bestFit="1" customWidth="1"/>
    <col min="21" max="21" width="14.42578125" style="8" bestFit="1" customWidth="1"/>
    <col min="22" max="16384" width="11.42578125" style="8"/>
  </cols>
  <sheetData>
    <row r="1" spans="1:16" ht="60" customHeight="1" thickBot="1" x14ac:dyDescent="0.25">
      <c r="A1" s="1257"/>
      <c r="B1" s="1258"/>
      <c r="C1" s="1259" t="s">
        <v>57</v>
      </c>
      <c r="D1" s="1260"/>
      <c r="E1" s="1260"/>
      <c r="F1" s="1260"/>
      <c r="G1" s="1260"/>
      <c r="H1" s="1260"/>
      <c r="I1" s="1260"/>
      <c r="J1" s="1260"/>
      <c r="K1" s="1260"/>
      <c r="L1" s="1260"/>
      <c r="M1" s="1261"/>
      <c r="N1" s="7"/>
      <c r="O1" s="7"/>
      <c r="P1" s="7"/>
    </row>
    <row r="2" spans="1:16" s="11" customFormat="1" ht="9.75" customHeight="1" thickBot="1" x14ac:dyDescent="0.25">
      <c r="A2" s="9"/>
      <c r="B2" s="9"/>
      <c r="C2" s="10"/>
      <c r="D2" s="10"/>
      <c r="E2" s="10"/>
      <c r="F2" s="10"/>
      <c r="G2" s="10"/>
      <c r="H2" s="10"/>
      <c r="K2" s="12"/>
      <c r="M2" s="7"/>
    </row>
    <row r="3" spans="1:16" s="12" customFormat="1" ht="35.25" customHeight="1" thickBot="1" x14ac:dyDescent="0.25">
      <c r="A3" s="13" t="s">
        <v>17</v>
      </c>
      <c r="B3" s="14" t="s">
        <v>55</v>
      </c>
      <c r="C3" s="15" t="s">
        <v>209</v>
      </c>
      <c r="D3" s="15" t="s">
        <v>56</v>
      </c>
      <c r="E3" s="15" t="s">
        <v>8</v>
      </c>
      <c r="F3" s="16" t="s">
        <v>18</v>
      </c>
      <c r="G3" s="16" t="s">
        <v>297</v>
      </c>
      <c r="H3" s="17" t="s">
        <v>24</v>
      </c>
      <c r="I3" s="1262"/>
      <c r="J3" s="1263"/>
      <c r="K3" s="11"/>
      <c r="M3" s="7"/>
    </row>
    <row r="4" spans="1:16" s="11" customFormat="1" ht="32.25" customHeight="1" thickBot="1" x14ac:dyDescent="0.25">
      <c r="A4" s="18" t="e">
        <f>VLOOKUP($I$3,'DATOS %'!B7:J29,2,FALSE)</f>
        <v>#N/A</v>
      </c>
      <c r="B4" s="212" t="e">
        <f>VLOOKUP($I$3,'DATOS %'!$B$7:$J$29,3,FALSE)</f>
        <v>#N/A</v>
      </c>
      <c r="C4" s="19" t="e">
        <f>VLOOKUP($I$3,'DATOS %'!$B$7:$J$29,8,FALSE)</f>
        <v>#N/A</v>
      </c>
      <c r="D4" s="19" t="e">
        <f>VLOOKUP($I$3,'DATOS %'!$B$7:$J$29,6,FALSE)</f>
        <v>#N/A</v>
      </c>
      <c r="E4" s="212" t="e">
        <f>VLOOKUP($I$3,'DATOS %'!$B$7:$J$29,7,FALSE)</f>
        <v>#N/A</v>
      </c>
      <c r="F4" s="18" t="e">
        <f>VLOOKUP($I$3,'DATOS %'!$B$7:$J$29,4,FALSE)</f>
        <v>#N/A</v>
      </c>
      <c r="G4" s="18" t="e">
        <f>VLOOKUP($I$3,'DATOS %'!$B$7:$J$29,5,FALSE)</f>
        <v>#N/A</v>
      </c>
      <c r="H4" s="19" t="e">
        <f>VLOOKUP($I$3,'DATOS %'!$B$7:$J$29,9,FALSE)</f>
        <v>#N/A</v>
      </c>
      <c r="I4" s="1264"/>
      <c r="J4" s="1265"/>
      <c r="K4" s="8"/>
      <c r="L4" s="20"/>
      <c r="M4" s="20"/>
    </row>
    <row r="5" spans="1:16" s="22" customFormat="1" ht="6.75" customHeight="1" thickBot="1" x14ac:dyDescent="0.25">
      <c r="A5" s="21"/>
      <c r="B5" s="21"/>
      <c r="C5" s="21"/>
      <c r="F5" s="21"/>
      <c r="G5" s="21"/>
      <c r="H5" s="21"/>
      <c r="K5" s="8"/>
    </row>
    <row r="6" spans="1:16" ht="31.5" customHeight="1" thickBot="1" x14ac:dyDescent="0.25">
      <c r="A6" s="1266" t="s">
        <v>19</v>
      </c>
      <c r="B6" s="1267"/>
      <c r="C6" s="1267"/>
      <c r="D6" s="1268"/>
      <c r="E6" s="4"/>
      <c r="F6" s="1266" t="s">
        <v>20</v>
      </c>
      <c r="G6" s="1267"/>
      <c r="H6" s="1267"/>
      <c r="I6" s="1268"/>
      <c r="J6" s="402">
        <f>I3</f>
        <v>0</v>
      </c>
    </row>
    <row r="7" spans="1:16" ht="31.5" customHeight="1" x14ac:dyDescent="0.2">
      <c r="A7" s="23" t="s">
        <v>21</v>
      </c>
      <c r="B7" s="24" t="e">
        <f>VLOOKUP($E$6,'DATOS %'!N11:AA113,2,FALSE)</f>
        <v>#N/A</v>
      </c>
      <c r="C7" s="25" t="s">
        <v>10</v>
      </c>
      <c r="D7" s="26" t="e">
        <f>VLOOKUP($E$6,'DATOS %'!N11:AA113,3,FALSE)</f>
        <v>#N/A</v>
      </c>
      <c r="E7" s="27"/>
      <c r="F7" s="23" t="s">
        <v>21</v>
      </c>
      <c r="G7" s="24" t="e">
        <f>VLOOKUP($J$6,'DATOS %'!B47:I79,2,FALSE)</f>
        <v>#N/A</v>
      </c>
      <c r="H7" s="28" t="s">
        <v>10</v>
      </c>
      <c r="I7" s="26" t="e">
        <f>VLOOKUP($J$6,'DATOS %'!B47:I79,3,FALSE)</f>
        <v>#N/A</v>
      </c>
      <c r="J7" s="29"/>
    </row>
    <row r="8" spans="1:16" ht="31.5" customHeight="1" x14ac:dyDescent="0.2">
      <c r="A8" s="30" t="s">
        <v>22</v>
      </c>
      <c r="B8" s="31" t="e">
        <f>VLOOKUP($E$6,'DATOS %'!N11:AA113,4,FALSE)</f>
        <v>#N/A</v>
      </c>
      <c r="C8" s="32" t="s">
        <v>23</v>
      </c>
      <c r="D8" s="33" t="e">
        <f>VLOOKUP($E$6,'DATOS %'!N11:AA113,5,FALSE)</f>
        <v>#N/A</v>
      </c>
      <c r="E8" s="27"/>
      <c r="F8" s="30" t="s">
        <v>22</v>
      </c>
      <c r="G8" s="31" t="e">
        <f>VLOOKUP($J$6,'DATOS %'!B47:I79,4,FALSE)</f>
        <v>#N/A</v>
      </c>
      <c r="H8" s="32" t="s">
        <v>23</v>
      </c>
      <c r="I8" s="297" t="e">
        <f>VLOOKUP($J$6,'DATOS %'!B47:I79,5,FALSE)</f>
        <v>#N/A</v>
      </c>
      <c r="J8" s="29"/>
    </row>
    <row r="9" spans="1:16" ht="31.5" customHeight="1" x14ac:dyDescent="0.2">
      <c r="A9" s="34" t="s">
        <v>24</v>
      </c>
      <c r="B9" s="31" t="e">
        <f>VLOOKUP($E$6,'DATOS %'!N11:AA113,6,FALSE)</f>
        <v>#N/A</v>
      </c>
      <c r="C9" s="35" t="s">
        <v>15</v>
      </c>
      <c r="D9" s="36" t="e">
        <f>VLOOKUP($E$6,'DATOS %'!N11:AA113,7,FALSE)</f>
        <v>#N/A</v>
      </c>
      <c r="F9" s="1252" t="s">
        <v>62</v>
      </c>
      <c r="G9" s="1253"/>
      <c r="H9" s="31" t="e">
        <f>(VLOOKUP($J$6,'DATOS %'!B47:I79,6,FALSE))/1000</f>
        <v>#N/A</v>
      </c>
      <c r="I9" s="33" t="s">
        <v>1</v>
      </c>
      <c r="J9" s="29"/>
      <c r="K9" s="411"/>
    </row>
    <row r="10" spans="1:16" s="38" customFormat="1" ht="31.5" customHeight="1" x14ac:dyDescent="0.25">
      <c r="A10" s="1252" t="s">
        <v>63</v>
      </c>
      <c r="B10" s="1253"/>
      <c r="C10" s="926" t="e">
        <f>(VLOOKUP($E$6,'DATOS %'!N11:AA113,8,FALSE))/1000</f>
        <v>#N/A</v>
      </c>
      <c r="D10" s="33" t="s">
        <v>1</v>
      </c>
      <c r="F10" s="1252" t="s">
        <v>64</v>
      </c>
      <c r="G10" s="1253"/>
      <c r="H10" s="213" t="e">
        <f>VLOOKUP($J$6,'DATOS %'!B47:I79,7,FALSE)</f>
        <v>#N/A</v>
      </c>
      <c r="I10" s="33" t="s">
        <v>76</v>
      </c>
      <c r="J10" s="39"/>
    </row>
    <row r="11" spans="1:16" s="38" customFormat="1" ht="31.5" customHeight="1" thickBot="1" x14ac:dyDescent="0.3">
      <c r="A11" s="1252" t="s">
        <v>65</v>
      </c>
      <c r="B11" s="1253"/>
      <c r="C11" s="31" t="e">
        <f>VLOOKUP($E$6,'DATOS %'!N11:AA113,9,FALSE)</f>
        <v>#N/A</v>
      </c>
      <c r="D11" s="33" t="s">
        <v>3</v>
      </c>
      <c r="E11" s="40"/>
      <c r="F11" s="1271" t="s">
        <v>66</v>
      </c>
      <c r="G11" s="1272"/>
      <c r="H11" s="41" t="e">
        <f>VLOOKUP($J$6,'DATOS %'!B47:I79,8,FALSE)</f>
        <v>#N/A</v>
      </c>
      <c r="I11" s="45" t="s">
        <v>76</v>
      </c>
      <c r="J11" s="39"/>
    </row>
    <row r="12" spans="1:16" s="38" customFormat="1" ht="31.5" customHeight="1" thickBot="1" x14ac:dyDescent="0.3">
      <c r="A12" s="1252" t="s">
        <v>67</v>
      </c>
      <c r="B12" s="1253"/>
      <c r="C12" s="1115" t="e">
        <f>VLOOKUP($E$6,'DATOS %'!N11:AA113,10,FALSE)</f>
        <v>#N/A</v>
      </c>
      <c r="D12" s="33" t="s">
        <v>3</v>
      </c>
      <c r="E12" s="39"/>
      <c r="F12" s="39"/>
      <c r="G12" s="39"/>
      <c r="H12" s="39"/>
    </row>
    <row r="13" spans="1:16" s="38" customFormat="1" ht="31.5" customHeight="1" thickBot="1" x14ac:dyDescent="0.3">
      <c r="A13" s="1252" t="s">
        <v>68</v>
      </c>
      <c r="B13" s="1253"/>
      <c r="C13" s="213" t="e">
        <f>VLOOKUP($E$6,'DATOS %'!N11:AA113,11,FALSE)</f>
        <v>#N/A</v>
      </c>
      <c r="D13" s="33" t="s">
        <v>532</v>
      </c>
      <c r="E13" s="39"/>
      <c r="F13" s="1254" t="s">
        <v>559</v>
      </c>
      <c r="G13" s="1255"/>
      <c r="H13" s="1255"/>
      <c r="I13" s="1256"/>
      <c r="J13" s="5"/>
    </row>
    <row r="14" spans="1:16" s="38" customFormat="1" ht="31.5" customHeight="1" x14ac:dyDescent="0.2">
      <c r="A14" s="1252" t="s">
        <v>305</v>
      </c>
      <c r="B14" s="1253"/>
      <c r="C14" s="31" t="e">
        <f>VLOOKUP($E$6,'DATOS %'!N11:AA113,12,FALSE)</f>
        <v>#N/A</v>
      </c>
      <c r="D14" s="33" t="s">
        <v>532</v>
      </c>
      <c r="E14" s="39"/>
      <c r="F14" s="23" t="s">
        <v>10</v>
      </c>
      <c r="G14" s="24" t="e">
        <f>VLOOKUP($J$13,'DATOS %'!$V$119:$Y$126,2,FALSE)</f>
        <v>#N/A</v>
      </c>
      <c r="H14" s="28" t="s">
        <v>22</v>
      </c>
      <c r="I14" s="24" t="e">
        <f>VLOOKUP($J$13,'DATOS %'!$V$119:$Z$126,3,FALSE)</f>
        <v>#N/A</v>
      </c>
      <c r="J14" s="42"/>
      <c r="K14" s="8"/>
    </row>
    <row r="15" spans="1:16" ht="31.5" customHeight="1" thickBot="1" x14ac:dyDescent="0.25">
      <c r="A15" s="1277" t="s">
        <v>69</v>
      </c>
      <c r="B15" s="1278"/>
      <c r="C15" s="31" t="e">
        <f>VLOOKUP($E$6,'DATOS %'!N11:AA113,13,FALSE)</f>
        <v>#N/A</v>
      </c>
      <c r="D15" s="33" t="s">
        <v>532</v>
      </c>
      <c r="E15" s="29"/>
      <c r="F15" s="43" t="s">
        <v>61</v>
      </c>
      <c r="G15" s="41" t="e">
        <f>VLOOKUP($J$13,'DATOS %'!$V$119:$Y$126,4,FALSE)</f>
        <v>#N/A</v>
      </c>
      <c r="H15" s="41" t="s">
        <v>1</v>
      </c>
      <c r="I15" s="243" t="s">
        <v>210</v>
      </c>
      <c r="J15" s="45" t="e">
        <f>VLOOKUP($J$13,'DATOS %'!$V$119:$Z$126,5,FALSE)</f>
        <v>#N/A</v>
      </c>
      <c r="K15" s="22"/>
    </row>
    <row r="16" spans="1:16" ht="30.95" customHeight="1" thickBot="1" x14ac:dyDescent="0.25">
      <c r="A16" s="1279" t="s">
        <v>210</v>
      </c>
      <c r="B16" s="1280"/>
      <c r="C16" s="1281" t="e">
        <f>VLOOKUP($E$6,'DATOS %'!N11:AA113,14,FALSE)</f>
        <v>#N/A</v>
      </c>
      <c r="D16" s="1282"/>
      <c r="E16" s="29"/>
      <c r="F16" s="8"/>
      <c r="G16" s="8"/>
      <c r="H16" s="8"/>
      <c r="I16" s="8"/>
      <c r="J16" s="8"/>
    </row>
    <row r="17" spans="1:11" s="22" customFormat="1" ht="30.95" customHeight="1" thickBot="1" x14ac:dyDescent="0.25">
      <c r="A17" s="29"/>
      <c r="B17" s="29"/>
      <c r="C17" s="29"/>
      <c r="D17" s="29"/>
      <c r="E17" s="29"/>
      <c r="F17" s="29"/>
      <c r="G17" s="29"/>
      <c r="H17" s="29"/>
      <c r="I17" s="29"/>
      <c r="J17" s="29"/>
      <c r="K17" s="8"/>
    </row>
    <row r="18" spans="1:11" ht="31.5" customHeight="1" thickBot="1" x14ac:dyDescent="0.25">
      <c r="A18" s="1331" t="s">
        <v>26</v>
      </c>
      <c r="B18" s="1332"/>
      <c r="C18" s="1332"/>
      <c r="D18" s="1332"/>
      <c r="E18" s="1332"/>
      <c r="F18" s="1332"/>
      <c r="G18" s="1332"/>
      <c r="H18" s="1332"/>
      <c r="I18" s="1332"/>
      <c r="J18" s="1333"/>
    </row>
    <row r="19" spans="1:11" ht="46.5" customHeight="1" thickBot="1" x14ac:dyDescent="0.25">
      <c r="A19" s="407" t="s">
        <v>10</v>
      </c>
      <c r="B19" s="101" t="e">
        <f>VLOOKUP(J19,'DATOS %'!J174:W180,2,FALSE)</f>
        <v>#N/A</v>
      </c>
      <c r="C19" s="95" t="s">
        <v>7</v>
      </c>
      <c r="D19" s="408" t="e">
        <f>VLOOKUP(J19,'DATOS %'!J174:W180,3,FALSE)</f>
        <v>#N/A</v>
      </c>
      <c r="E19" s="409" t="s">
        <v>24</v>
      </c>
      <c r="F19" s="1286" t="e">
        <f>VLOOKUP(J19,'DATOS %'!J174:W180,5,FALSE)</f>
        <v>#N/A</v>
      </c>
      <c r="G19" s="1287"/>
      <c r="H19" s="95" t="s">
        <v>25</v>
      </c>
      <c r="I19" s="212" t="e">
        <f>VLOOKUP(J19,'DATOS %'!J174:W180,4,FALSE)</f>
        <v>#N/A</v>
      </c>
      <c r="J19" s="1374"/>
    </row>
    <row r="20" spans="1:11" ht="31.5" customHeight="1" thickBot="1" x14ac:dyDescent="0.25">
      <c r="A20" s="1290" t="s">
        <v>316</v>
      </c>
      <c r="B20" s="1291"/>
      <c r="C20" s="94" t="s">
        <v>27</v>
      </c>
      <c r="D20" s="101" t="e">
        <f>VLOOKUP(J19,'DATOS %'!J174:W180,6,FALSE)</f>
        <v>#N/A</v>
      </c>
      <c r="E20" s="1292" t="s">
        <v>307</v>
      </c>
      <c r="F20" s="1293"/>
      <c r="G20" s="101" t="e">
        <f>VLOOKUP(J19,'DATOS %'!J174:W180,7,FALSE)</f>
        <v>#N/A</v>
      </c>
      <c r="H20" s="95" t="s">
        <v>9</v>
      </c>
      <c r="I20" s="363" t="e">
        <f>VLOOKUP(J19,'DATOS %'!J174:W180,8,FALSE)</f>
        <v>#N/A</v>
      </c>
      <c r="J20" s="1289"/>
    </row>
    <row r="21" spans="1:11" s="46" customFormat="1" ht="15" customHeight="1" thickBot="1" x14ac:dyDescent="0.25">
      <c r="A21" s="47"/>
      <c r="B21" s="47"/>
      <c r="C21" s="47"/>
      <c r="D21" s="47"/>
      <c r="E21" s="47"/>
      <c r="F21" s="47"/>
      <c r="G21" s="47"/>
      <c r="H21" s="47"/>
      <c r="I21" s="47"/>
      <c r="J21" s="47"/>
      <c r="K21" s="8"/>
    </row>
    <row r="22" spans="1:11" s="48" customFormat="1" ht="31.5" customHeight="1" thickBot="1" x14ac:dyDescent="0.25">
      <c r="A22" s="1294" t="s">
        <v>28</v>
      </c>
      <c r="B22" s="1295"/>
      <c r="C22" s="1295"/>
      <c r="D22" s="1295"/>
      <c r="E22" s="1295"/>
      <c r="F22" s="1295"/>
      <c r="G22" s="1295"/>
      <c r="H22" s="1295"/>
      <c r="I22" s="1295"/>
      <c r="J22" s="1296"/>
      <c r="K22" s="47"/>
    </row>
    <row r="23" spans="1:11" s="47" customFormat="1" ht="2.25" customHeight="1" thickBot="1" x14ac:dyDescent="0.25">
      <c r="A23" s="49"/>
      <c r="B23" s="50"/>
      <c r="C23" s="50"/>
      <c r="D23" s="50"/>
      <c r="E23" s="50"/>
      <c r="F23" s="50"/>
      <c r="G23" s="50"/>
      <c r="H23" s="50"/>
      <c r="I23" s="50"/>
      <c r="J23" s="51"/>
      <c r="K23" s="48"/>
    </row>
    <row r="24" spans="1:11" s="48" customFormat="1" ht="31.5" customHeight="1" thickBot="1" x14ac:dyDescent="0.25">
      <c r="A24" s="52" t="s">
        <v>29</v>
      </c>
      <c r="B24" s="916"/>
      <c r="C24" s="1297" t="s">
        <v>27</v>
      </c>
      <c r="D24" s="1298"/>
      <c r="E24" s="1"/>
      <c r="F24" s="1299" t="s">
        <v>307</v>
      </c>
      <c r="G24" s="1300"/>
      <c r="H24" s="2"/>
      <c r="I24" s="224" t="s">
        <v>9</v>
      </c>
      <c r="J24" s="215"/>
      <c r="K24" s="46"/>
    </row>
    <row r="25" spans="1:11" s="46" customFormat="1" ht="15" customHeight="1" thickBot="1" x14ac:dyDescent="0.25">
      <c r="A25" s="47"/>
      <c r="B25" s="47"/>
      <c r="C25" s="47"/>
      <c r="D25" s="47"/>
      <c r="E25" s="47"/>
      <c r="F25" s="47"/>
      <c r="G25" s="47"/>
      <c r="H25" s="6"/>
      <c r="I25" s="47"/>
      <c r="K25" s="48"/>
    </row>
    <row r="26" spans="1:11" s="48" customFormat="1" ht="29.25" customHeight="1" thickBot="1" x14ac:dyDescent="0.25">
      <c r="A26" s="115" t="s">
        <v>129</v>
      </c>
      <c r="B26" s="105">
        <v>4</v>
      </c>
      <c r="C26" s="1301" t="s">
        <v>30</v>
      </c>
      <c r="D26" s="1302"/>
      <c r="E26" s="1302"/>
      <c r="F26" s="1303"/>
      <c r="G26" s="1304" t="s">
        <v>211</v>
      </c>
      <c r="H26" s="1305"/>
    </row>
    <row r="27" spans="1:11" s="48" customFormat="1" ht="31.5" customHeight="1" thickBot="1" x14ac:dyDescent="0.25">
      <c r="A27" s="1273" t="s">
        <v>31</v>
      </c>
      <c r="B27" s="1274"/>
      <c r="C27" s="525">
        <v>1</v>
      </c>
      <c r="D27" s="525">
        <v>2</v>
      </c>
      <c r="E27" s="525">
        <v>3</v>
      </c>
      <c r="F27" s="129">
        <v>4</v>
      </c>
      <c r="G27" s="1275" t="e">
        <f>VLOOKUP($H$25,'DATOS %'!$V$161:$AA$165,2,FALSE)</f>
        <v>#N/A</v>
      </c>
      <c r="H27" s="1276"/>
    </row>
    <row r="28" spans="1:11" s="48" customFormat="1" ht="31.5" customHeight="1" x14ac:dyDescent="0.2">
      <c r="A28" s="1310" t="s">
        <v>32</v>
      </c>
      <c r="B28" s="910" t="s">
        <v>0</v>
      </c>
      <c r="C28" s="913"/>
      <c r="D28" s="142"/>
      <c r="E28" s="142"/>
      <c r="F28" s="143"/>
      <c r="G28" s="47"/>
      <c r="H28" s="47"/>
      <c r="I28" s="47"/>
      <c r="J28" s="47"/>
    </row>
    <row r="29" spans="1:11" s="48" customFormat="1" ht="31.5" customHeight="1" x14ac:dyDescent="0.2">
      <c r="A29" s="1311"/>
      <c r="B29" s="911" t="s">
        <v>2</v>
      </c>
      <c r="C29" s="914"/>
      <c r="D29" s="127"/>
      <c r="E29" s="127"/>
      <c r="F29" s="128"/>
      <c r="G29" s="47"/>
      <c r="H29" s="47"/>
      <c r="I29" s="47"/>
      <c r="J29" s="47"/>
    </row>
    <row r="30" spans="1:11" s="48" customFormat="1" ht="31.5" customHeight="1" x14ac:dyDescent="0.2">
      <c r="A30" s="1311"/>
      <c r="B30" s="911" t="s">
        <v>2</v>
      </c>
      <c r="C30" s="914"/>
      <c r="D30" s="127"/>
      <c r="E30" s="127"/>
      <c r="F30" s="128"/>
      <c r="G30" s="47"/>
      <c r="H30" s="47"/>
      <c r="I30" s="47"/>
      <c r="J30" s="47"/>
    </row>
    <row r="31" spans="1:11" s="48" customFormat="1" ht="31.5" customHeight="1" thickBot="1" x14ac:dyDescent="0.25">
      <c r="A31" s="1312"/>
      <c r="B31" s="912" t="s">
        <v>0</v>
      </c>
      <c r="C31" s="915"/>
      <c r="D31" s="144"/>
      <c r="E31" s="144"/>
      <c r="F31" s="145"/>
      <c r="G31" s="47"/>
      <c r="H31" s="47"/>
      <c r="I31" s="47"/>
      <c r="J31" s="47"/>
      <c r="K31" s="46"/>
    </row>
    <row r="32" spans="1:11" s="46" customFormat="1" ht="15" customHeight="1" thickBot="1" x14ac:dyDescent="0.25">
      <c r="A32" s="47"/>
      <c r="B32" s="47"/>
      <c r="C32" s="47"/>
      <c r="D32" s="47"/>
      <c r="E32" s="47"/>
      <c r="F32" s="47"/>
      <c r="G32" s="47"/>
      <c r="H32" s="47"/>
      <c r="I32" s="47"/>
      <c r="J32" s="47"/>
      <c r="K32" s="48"/>
    </row>
    <row r="33" spans="1:11" s="48" customFormat="1" ht="31.5" customHeight="1" thickBot="1" x14ac:dyDescent="0.25">
      <c r="A33" s="54" t="s">
        <v>33</v>
      </c>
      <c r="B33" s="916"/>
      <c r="C33" s="1297" t="s">
        <v>27</v>
      </c>
      <c r="D33" s="1298"/>
      <c r="E33" s="1"/>
      <c r="F33" s="1299" t="s">
        <v>307</v>
      </c>
      <c r="G33" s="1300"/>
      <c r="H33" s="2"/>
      <c r="I33" s="225" t="s">
        <v>9</v>
      </c>
      <c r="J33" s="3"/>
      <c r="K33" s="46"/>
    </row>
    <row r="34" spans="1:11" s="46" customFormat="1" ht="12" customHeight="1" x14ac:dyDescent="0.2">
      <c r="A34" s="55"/>
      <c r="B34" s="55"/>
      <c r="C34" s="55"/>
      <c r="D34" s="55"/>
      <c r="E34" s="55"/>
      <c r="F34" s="55"/>
      <c r="G34" s="55"/>
      <c r="H34" s="55"/>
      <c r="I34" s="55"/>
      <c r="J34" s="55"/>
      <c r="K34" s="48"/>
    </row>
    <row r="35" spans="1:11" s="48" customFormat="1" ht="15" customHeight="1" thickBot="1" x14ac:dyDescent="0.25">
      <c r="A35" s="56"/>
      <c r="B35" s="56"/>
      <c r="C35" s="56"/>
      <c r="D35" s="56"/>
      <c r="E35" s="56"/>
      <c r="F35" s="56"/>
      <c r="G35" s="56"/>
      <c r="H35" s="56"/>
      <c r="I35" s="56"/>
      <c r="J35" s="56"/>
    </row>
    <row r="36" spans="1:11" s="48" customFormat="1" ht="32.25" customHeight="1" thickBot="1" x14ac:dyDescent="0.25">
      <c r="A36" s="1313" t="s">
        <v>34</v>
      </c>
      <c r="B36" s="1314"/>
      <c r="C36" s="1314"/>
      <c r="D36" s="1314"/>
      <c r="E36" s="1314"/>
      <c r="F36" s="1314"/>
      <c r="G36" s="1314"/>
      <c r="H36" s="1314"/>
      <c r="I36" s="1314"/>
      <c r="J36" s="1315"/>
    </row>
    <row r="37" spans="1:11" s="48" customFormat="1" ht="3.75" customHeight="1" thickBot="1" x14ac:dyDescent="0.25">
      <c r="A37" s="55"/>
      <c r="B37" s="47"/>
      <c r="C37" s="47"/>
      <c r="D37" s="47"/>
      <c r="E37" s="47"/>
      <c r="F37" s="47"/>
      <c r="G37" s="47"/>
      <c r="H37" s="47"/>
      <c r="I37" s="47"/>
      <c r="J37" s="55"/>
    </row>
    <row r="38" spans="1:11" s="48" customFormat="1" ht="31.5" customHeight="1" thickBot="1" x14ac:dyDescent="0.25">
      <c r="A38" s="47"/>
      <c r="B38" s="1316" t="s">
        <v>35</v>
      </c>
      <c r="C38" s="1317"/>
      <c r="D38" s="1317"/>
      <c r="E38" s="1317"/>
      <c r="F38" s="1318"/>
      <c r="G38" s="47"/>
      <c r="H38" s="1319" t="s">
        <v>236</v>
      </c>
      <c r="I38" s="1320"/>
      <c r="J38" s="1321"/>
    </row>
    <row r="39" spans="1:11" s="48" customFormat="1" ht="31.5" customHeight="1" thickBot="1" x14ac:dyDescent="0.25">
      <c r="A39" s="47"/>
      <c r="B39" s="57" t="s">
        <v>31</v>
      </c>
      <c r="C39" s="203">
        <v>1</v>
      </c>
      <c r="D39" s="141">
        <v>2</v>
      </c>
      <c r="E39" s="141">
        <v>3</v>
      </c>
      <c r="F39" s="204">
        <v>4</v>
      </c>
      <c r="G39" s="47"/>
      <c r="H39" s="1322"/>
      <c r="I39" s="1323"/>
      <c r="J39" s="1324"/>
    </row>
    <row r="40" spans="1:11" s="48" customFormat="1" ht="31.5" customHeight="1" x14ac:dyDescent="0.2">
      <c r="A40" s="58"/>
      <c r="B40" s="59"/>
      <c r="C40" s="121" t="e">
        <f>+AVERAGE(C28,C31)</f>
        <v>#DIV/0!</v>
      </c>
      <c r="D40" s="122" t="e">
        <f>+AVERAGE(D28,D31)</f>
        <v>#DIV/0!</v>
      </c>
      <c r="E40" s="122" t="e">
        <f>+AVERAGE(E28,E31)</f>
        <v>#DIV/0!</v>
      </c>
      <c r="F40" s="205" t="e">
        <f>+AVERAGE(F28,F31)</f>
        <v>#DIV/0!</v>
      </c>
      <c r="G40" s="47"/>
      <c r="H40" s="1325"/>
      <c r="I40" s="1326"/>
      <c r="J40" s="1327"/>
    </row>
    <row r="41" spans="1:11" s="48" customFormat="1" ht="31.5" customHeight="1" x14ac:dyDescent="0.2">
      <c r="A41" s="58"/>
      <c r="B41" s="60"/>
      <c r="C41" s="123" t="e">
        <f>+AVERAGE(C29:C30)</f>
        <v>#DIV/0!</v>
      </c>
      <c r="D41" s="61" t="e">
        <f>+AVERAGE(D29:D30)</f>
        <v>#DIV/0!</v>
      </c>
      <c r="E41" s="61" t="e">
        <f>+AVERAGE(E29:E30)</f>
        <v>#DIV/0!</v>
      </c>
      <c r="F41" s="206" t="e">
        <f>+AVERAGE(F29:F30)</f>
        <v>#DIV/0!</v>
      </c>
      <c r="G41" s="47"/>
      <c r="H41" s="1325"/>
      <c r="I41" s="1326"/>
      <c r="J41" s="1327"/>
    </row>
    <row r="42" spans="1:11" s="48" customFormat="1" ht="31.5" customHeight="1" thickBot="1" x14ac:dyDescent="0.25">
      <c r="A42" s="58"/>
      <c r="B42" s="62"/>
      <c r="C42" s="124" t="e">
        <f>+C41-C40</f>
        <v>#DIV/0!</v>
      </c>
      <c r="D42" s="125" t="e">
        <f>+D41-D40</f>
        <v>#DIV/0!</v>
      </c>
      <c r="E42" s="125" t="e">
        <f>+E41-E40</f>
        <v>#DIV/0!</v>
      </c>
      <c r="F42" s="207" t="e">
        <f>+F41-F40</f>
        <v>#DIV/0!</v>
      </c>
      <c r="G42" s="47"/>
      <c r="H42" s="1328"/>
      <c r="I42" s="1329"/>
      <c r="J42" s="1330"/>
    </row>
    <row r="43" spans="1:11" s="48" customFormat="1" ht="31.5" customHeight="1" thickBot="1" x14ac:dyDescent="0.25">
      <c r="A43" s="47"/>
      <c r="B43" s="63" t="s">
        <v>36</v>
      </c>
      <c r="C43" s="286" t="e">
        <f>+AVERAGE(C42:F42)</f>
        <v>#DIV/0!</v>
      </c>
      <c r="D43" s="47"/>
      <c r="E43" s="47"/>
      <c r="F43" s="47"/>
      <c r="G43" s="47"/>
      <c r="H43" s="47"/>
      <c r="I43" s="47"/>
      <c r="J43" s="47"/>
    </row>
    <row r="44" spans="1:11" s="48" customFormat="1" ht="31.5" customHeight="1" thickBot="1" x14ac:dyDescent="0.25">
      <c r="A44" s="47"/>
      <c r="B44" s="64" t="s">
        <v>77</v>
      </c>
      <c r="C44" s="416" t="e">
        <f>+STDEV(C42:F42)</f>
        <v>#DIV/0!</v>
      </c>
      <c r="D44" s="47"/>
      <c r="E44" s="47"/>
      <c r="F44" s="47"/>
      <c r="G44" s="47"/>
      <c r="H44" s="47"/>
      <c r="I44" s="47"/>
      <c r="J44" s="47"/>
      <c r="K44" s="46"/>
    </row>
    <row r="45" spans="1:11" s="46" customFormat="1" ht="15" customHeight="1" thickBot="1" x14ac:dyDescent="0.25">
      <c r="A45" s="47"/>
      <c r="B45" s="47"/>
      <c r="C45" s="47"/>
      <c r="D45" s="47"/>
      <c r="E45" s="47"/>
      <c r="F45" s="47"/>
      <c r="G45" s="65"/>
      <c r="H45" s="47"/>
      <c r="I45" s="47"/>
      <c r="J45" s="47"/>
      <c r="K45" s="48"/>
    </row>
    <row r="46" spans="1:11" s="48" customFormat="1" ht="31.5" customHeight="1" thickBot="1" x14ac:dyDescent="0.25">
      <c r="A46" s="1331" t="s">
        <v>37</v>
      </c>
      <c r="B46" s="1332"/>
      <c r="C46" s="1284"/>
      <c r="D46" s="1284"/>
      <c r="E46" s="1284"/>
      <c r="F46" s="1332"/>
      <c r="G46" s="1332"/>
      <c r="H46" s="1332"/>
      <c r="I46" s="1332"/>
      <c r="J46" s="1333"/>
    </row>
    <row r="47" spans="1:11" s="48" customFormat="1" ht="31.5" customHeight="1" thickBot="1" x14ac:dyDescent="0.25">
      <c r="A47" s="1375" t="s">
        <v>321</v>
      </c>
      <c r="B47" s="1376"/>
      <c r="C47" s="1338" t="s">
        <v>38</v>
      </c>
      <c r="D47" s="1339"/>
      <c r="E47" s="1340"/>
      <c r="F47" s="47"/>
      <c r="G47" s="47"/>
      <c r="H47" s="47"/>
      <c r="I47" s="47"/>
      <c r="J47" s="47"/>
    </row>
    <row r="48" spans="1:11" s="48" customFormat="1" ht="36.75" customHeight="1" thickBot="1" x14ac:dyDescent="0.25">
      <c r="A48" s="1377"/>
      <c r="B48" s="1378"/>
      <c r="C48" s="82" t="s">
        <v>27</v>
      </c>
      <c r="D48" s="93" t="s">
        <v>307</v>
      </c>
      <c r="E48" s="83" t="s">
        <v>9</v>
      </c>
      <c r="G48" s="1341" t="s">
        <v>70</v>
      </c>
      <c r="H48" s="1342"/>
      <c r="I48" s="441" t="e">
        <f>+(0.34848*E50-0.009*D50*EXP(0.061*C50))/(273.15+C50)</f>
        <v>#DIV/0!</v>
      </c>
      <c r="J48" s="103" t="s">
        <v>73</v>
      </c>
    </row>
    <row r="49" spans="1:21" s="48" customFormat="1" ht="33" customHeight="1" thickBot="1" x14ac:dyDescent="0.25">
      <c r="A49" s="1306" t="s">
        <v>39</v>
      </c>
      <c r="B49" s="1307"/>
      <c r="C49" s="90" t="e">
        <f>+AVERAGE(E33,E24)</f>
        <v>#DIV/0!</v>
      </c>
      <c r="D49" s="91" t="e">
        <f>+AVERAGE(H33,H24)</f>
        <v>#DIV/0!</v>
      </c>
      <c r="E49" s="92" t="e">
        <f>+AVERAGE(J33,J24)</f>
        <v>#DIV/0!</v>
      </c>
      <c r="G49" s="1308" t="s">
        <v>71</v>
      </c>
      <c r="H49" s="1309"/>
      <c r="I49" s="422" t="e">
        <f>I48*((0.0001)^2+(0.001*I20/2)^2+(-0.0034*D20/2)^2+(-0.01*G20/2)^2)^0.5</f>
        <v>#DIV/0!</v>
      </c>
      <c r="J49" s="66" t="s">
        <v>73</v>
      </c>
      <c r="K49" s="367"/>
      <c r="L49" s="367"/>
    </row>
    <row r="50" spans="1:21" s="48" customFormat="1" ht="36.75" customHeight="1" thickBot="1" x14ac:dyDescent="0.25">
      <c r="A50" s="1343" t="s">
        <v>322</v>
      </c>
      <c r="B50" s="1344"/>
      <c r="C50" s="84" t="e">
        <f>C49+(VLOOKUP(J19,'DATOS %'!J174:W180,9,FALSE))*C49+(VLOOKUP(J19,'DATOS %'!J174:W180,10,FALSE))</f>
        <v>#DIV/0!</v>
      </c>
      <c r="D50" s="85" t="e">
        <f>D49+(VLOOKUP(J19,'DATOS %'!J174:W180,11,FALSE))*D49+(VLOOKUP(J19,'DATOS %'!J174:W180,12,FALSE))</f>
        <v>#DIV/0!</v>
      </c>
      <c r="E50" s="86" t="e">
        <f>E49+(VLOOKUP(J19,'DATOS %'!J174:W180,13,FALSE))*E49+(VLOOKUP(J19,'DATOS %'!J174:W180,14,FALSE))</f>
        <v>#DIV/0!</v>
      </c>
      <c r="G50" s="1341" t="s">
        <v>72</v>
      </c>
      <c r="H50" s="1342"/>
      <c r="I50" s="67">
        <v>1.2</v>
      </c>
      <c r="J50" s="66" t="s">
        <v>73</v>
      </c>
    </row>
    <row r="51" spans="1:21" s="46" customFormat="1" ht="15" customHeight="1" thickBot="1" x14ac:dyDescent="0.25">
      <c r="A51" s="47"/>
      <c r="B51" s="47"/>
      <c r="C51" s="47"/>
      <c r="D51" s="47"/>
      <c r="E51" s="47"/>
      <c r="F51" s="47"/>
      <c r="G51" s="47"/>
      <c r="H51" s="47"/>
      <c r="I51" s="47"/>
      <c r="J51" s="47"/>
      <c r="K51" s="48"/>
    </row>
    <row r="52" spans="1:21" s="48" customFormat="1" ht="31.5" customHeight="1" thickBot="1" x14ac:dyDescent="0.25">
      <c r="A52" s="1331" t="s">
        <v>40</v>
      </c>
      <c r="B52" s="1332"/>
      <c r="C52" s="1332"/>
      <c r="D52" s="1332"/>
      <c r="E52" s="1332"/>
      <c r="F52" s="1332"/>
      <c r="G52" s="1332"/>
      <c r="H52" s="1332"/>
      <c r="I52" s="1332"/>
      <c r="J52" s="1333"/>
    </row>
    <row r="53" spans="1:21" s="48" customFormat="1" ht="31.5" customHeight="1" x14ac:dyDescent="0.35">
      <c r="A53" s="47"/>
      <c r="B53" s="68" t="s">
        <v>41</v>
      </c>
      <c r="C53" s="69"/>
      <c r="D53" s="1345" t="s">
        <v>74</v>
      </c>
      <c r="E53" s="1345"/>
      <c r="F53" s="70" t="s">
        <v>42</v>
      </c>
      <c r="G53" s="71" t="s">
        <v>43</v>
      </c>
      <c r="H53" s="1346" t="s">
        <v>44</v>
      </c>
      <c r="I53" s="1347"/>
      <c r="J53" s="47"/>
    </row>
    <row r="54" spans="1:21" s="48" customFormat="1" ht="31.5" customHeight="1" thickBot="1" x14ac:dyDescent="0.25">
      <c r="A54" s="47"/>
      <c r="B54" s="72" t="e">
        <f>C43</f>
        <v>#DIV/0!</v>
      </c>
      <c r="C54" s="934" t="s">
        <v>1</v>
      </c>
      <c r="D54" s="935" t="e">
        <f>(C10+C11)/1000</f>
        <v>#N/A</v>
      </c>
      <c r="E54" s="934" t="s">
        <v>1</v>
      </c>
      <c r="F54" s="936" t="e">
        <f>(I48-I50)*(1/H10-1/C13)</f>
        <v>#DIV/0!</v>
      </c>
      <c r="G54" s="75"/>
      <c r="H54" s="937" t="e">
        <f>(B54+D54*F54)*1000</f>
        <v>#DIV/0!</v>
      </c>
      <c r="I54" s="66" t="s">
        <v>3</v>
      </c>
      <c r="J54" s="47"/>
      <c r="K54" s="46"/>
    </row>
    <row r="55" spans="1:21" s="46" customFormat="1" ht="15" customHeight="1" x14ac:dyDescent="0.2">
      <c r="A55" s="47"/>
      <c r="B55" s="47"/>
      <c r="C55" s="47"/>
      <c r="D55" s="47"/>
      <c r="E55" s="47"/>
      <c r="F55" s="47"/>
      <c r="G55" s="47"/>
      <c r="H55" s="47"/>
      <c r="I55" s="47"/>
      <c r="J55" s="47"/>
      <c r="K55" s="48"/>
    </row>
    <row r="56" spans="1:21" s="48" customFormat="1" ht="31.5" customHeight="1" x14ac:dyDescent="0.2">
      <c r="A56" s="1348" t="s">
        <v>45</v>
      </c>
      <c r="B56" s="1349"/>
      <c r="C56" s="1349"/>
      <c r="D56" s="1349"/>
      <c r="E56" s="1349"/>
      <c r="F56" s="1349"/>
      <c r="G56" s="1349"/>
      <c r="H56" s="1349"/>
      <c r="I56" s="1349"/>
      <c r="J56" s="1349"/>
      <c r="K56" s="46"/>
    </row>
    <row r="57" spans="1:21" s="46" customFormat="1" ht="15" customHeight="1" thickBot="1" x14ac:dyDescent="0.25">
      <c r="A57" s="47"/>
      <c r="B57" s="47"/>
      <c r="C57" s="47"/>
      <c r="D57" s="47"/>
      <c r="E57" s="47"/>
      <c r="K57" s="48"/>
    </row>
    <row r="58" spans="1:21" s="48" customFormat="1" ht="31.5" customHeight="1" thickBot="1" x14ac:dyDescent="0.25">
      <c r="A58" s="1350" t="s">
        <v>38</v>
      </c>
      <c r="B58" s="1351"/>
      <c r="C58" s="1352" t="s">
        <v>46</v>
      </c>
      <c r="D58" s="1353"/>
      <c r="E58" s="1354" t="s">
        <v>238</v>
      </c>
      <c r="F58" s="1379"/>
      <c r="G58" s="1061" t="s">
        <v>553</v>
      </c>
      <c r="J58" s="114"/>
      <c r="L58" s="46"/>
      <c r="Q58" s="47"/>
      <c r="R58" s="47"/>
      <c r="S58" s="47"/>
      <c r="T58" s="47"/>
      <c r="U58" s="47"/>
    </row>
    <row r="59" spans="1:21" s="48" customFormat="1" ht="57.95" customHeight="1" thickBot="1" x14ac:dyDescent="0.25">
      <c r="A59" s="1024" t="s">
        <v>47</v>
      </c>
      <c r="B59" s="1025"/>
      <c r="C59" s="1026" t="e">
        <f>+C44/B26^0.5*1000</f>
        <v>#DIV/0!</v>
      </c>
      <c r="D59" s="1017" t="s">
        <v>3</v>
      </c>
      <c r="E59" s="1027" t="s">
        <v>240</v>
      </c>
      <c r="F59" s="139">
        <f>$B$26-1</f>
        <v>3</v>
      </c>
      <c r="G59" s="1107" t="e">
        <f>(C59/$G$70)^2</f>
        <v>#DIV/0!</v>
      </c>
      <c r="H59" s="280"/>
      <c r="K59" s="156">
        <v>0.3</v>
      </c>
      <c r="L59" s="157">
        <v>1.65</v>
      </c>
      <c r="M59" s="113"/>
    </row>
    <row r="60" spans="1:21" s="48" customFormat="1" ht="57.95" customHeight="1" thickBot="1" x14ac:dyDescent="0.25">
      <c r="A60" s="1019" t="s">
        <v>343</v>
      </c>
      <c r="B60" s="1020" t="s">
        <v>48</v>
      </c>
      <c r="C60" s="1021" t="e">
        <f>+C12/2</f>
        <v>#N/A</v>
      </c>
      <c r="D60" s="1022" t="s">
        <v>3</v>
      </c>
      <c r="E60" s="1023" t="s">
        <v>239</v>
      </c>
      <c r="F60" s="146" t="s">
        <v>265</v>
      </c>
      <c r="G60" s="1108"/>
      <c r="H60" s="1380" t="s">
        <v>241</v>
      </c>
      <c r="I60" s="1356"/>
      <c r="J60" s="1356"/>
      <c r="K60" s="1356"/>
      <c r="L60" s="1356"/>
      <c r="M60" s="1357"/>
    </row>
    <row r="61" spans="1:21" s="48" customFormat="1" ht="57.95" customHeight="1" thickBot="1" x14ac:dyDescent="0.25">
      <c r="A61" s="1028" t="s">
        <v>344</v>
      </c>
      <c r="B61" s="1029"/>
      <c r="C61" s="1030" t="e">
        <f>+C12/3^0.5</f>
        <v>#N/A</v>
      </c>
      <c r="D61" s="1031" t="s">
        <v>3</v>
      </c>
      <c r="E61" s="1032" t="s">
        <v>239</v>
      </c>
      <c r="F61" s="147" t="s">
        <v>265</v>
      </c>
      <c r="G61" s="1108"/>
      <c r="H61" s="132" t="s">
        <v>243</v>
      </c>
      <c r="I61" s="1016" t="e">
        <f>MAX(C59:C62,C66:C67,C68)</f>
        <v>#DIV/0!</v>
      </c>
      <c r="J61" s="151" t="e">
        <f>IF((I62)&lt;=(K59),"1,65","2")</f>
        <v>#DIV/0!</v>
      </c>
      <c r="K61" s="152" t="s">
        <v>242</v>
      </c>
      <c r="L61" s="153" t="s">
        <v>237</v>
      </c>
      <c r="M61" s="360" t="s">
        <v>328</v>
      </c>
    </row>
    <row r="62" spans="1:21" s="48" customFormat="1" ht="57.95" customHeight="1" thickBot="1" x14ac:dyDescent="0.3">
      <c r="A62" s="1024" t="s">
        <v>49</v>
      </c>
      <c r="B62" s="1035"/>
      <c r="C62" s="1036" t="e">
        <f>+SQRT(SUMSQ(C60:C61))</f>
        <v>#N/A</v>
      </c>
      <c r="D62" s="1017" t="s">
        <v>3</v>
      </c>
      <c r="E62" s="1037" t="s">
        <v>240</v>
      </c>
      <c r="F62" s="139">
        <v>200</v>
      </c>
      <c r="G62" s="1108" t="e">
        <f t="shared" ref="G62:G68" si="0">(C62/$G$70)^2</f>
        <v>#N/A</v>
      </c>
      <c r="H62" s="133" t="s">
        <v>244</v>
      </c>
      <c r="I62" s="150" t="e">
        <f>SQRT((C59)^2+(C66)^2+(C67)^2+(C68)^2)/I61</f>
        <v>#DIV/0!</v>
      </c>
      <c r="J62" s="126"/>
      <c r="K62" s="154" t="s">
        <v>242</v>
      </c>
      <c r="L62" s="155" t="s">
        <v>252</v>
      </c>
      <c r="M62" s="361" t="s">
        <v>329</v>
      </c>
      <c r="O62" s="1126"/>
    </row>
    <row r="63" spans="1:21" s="48" customFormat="1" ht="57.95" customHeight="1" x14ac:dyDescent="0.2">
      <c r="A63" s="1019" t="s">
        <v>345</v>
      </c>
      <c r="B63" s="1020"/>
      <c r="C63" s="1033" t="e">
        <f>+I49</f>
        <v>#DIV/0!</v>
      </c>
      <c r="D63" s="1021" t="s">
        <v>73</v>
      </c>
      <c r="E63" s="1034" t="s">
        <v>239</v>
      </c>
      <c r="F63" s="146" t="s">
        <v>265</v>
      </c>
      <c r="G63" s="1108"/>
      <c r="L63" s="46"/>
      <c r="O63" s="1127"/>
      <c r="T63" s="46"/>
      <c r="U63" s="46"/>
    </row>
    <row r="64" spans="1:21" s="48" customFormat="1" ht="57.95" customHeight="1" x14ac:dyDescent="0.2">
      <c r="A64" s="426" t="s">
        <v>50</v>
      </c>
      <c r="B64" s="1018"/>
      <c r="C64" s="425" t="e">
        <f>+H11/2</f>
        <v>#N/A</v>
      </c>
      <c r="D64" s="424" t="s">
        <v>73</v>
      </c>
      <c r="E64" s="423" t="s">
        <v>239</v>
      </c>
      <c r="F64" s="148" t="s">
        <v>265</v>
      </c>
      <c r="G64" s="1108"/>
      <c r="H64" s="130"/>
      <c r="J64" s="130"/>
      <c r="K64" s="130"/>
      <c r="L64" s="130"/>
      <c r="M64" s="130"/>
      <c r="O64" s="1127"/>
      <c r="Q64" s="47"/>
      <c r="R64" s="47"/>
      <c r="S64" s="47"/>
      <c r="T64" s="47"/>
      <c r="U64" s="47"/>
    </row>
    <row r="65" spans="1:21" s="48" customFormat="1" ht="57.95" customHeight="1" thickBot="1" x14ac:dyDescent="0.25">
      <c r="A65" s="1028" t="s">
        <v>346</v>
      </c>
      <c r="B65" s="1038"/>
      <c r="C65" s="1039" t="e">
        <f>+C14/2</f>
        <v>#N/A</v>
      </c>
      <c r="D65" s="1031" t="s">
        <v>73</v>
      </c>
      <c r="E65" s="1040" t="s">
        <v>239</v>
      </c>
      <c r="F65" s="147" t="s">
        <v>265</v>
      </c>
      <c r="G65" s="1108"/>
      <c r="H65" s="130"/>
      <c r="I65" s="130"/>
      <c r="J65" s="130"/>
      <c r="K65" s="130"/>
      <c r="L65" s="130"/>
      <c r="M65" s="130"/>
      <c r="O65" s="1128"/>
      <c r="Q65" s="47"/>
      <c r="R65" s="47"/>
      <c r="S65" s="47"/>
      <c r="T65" s="46"/>
      <c r="U65" s="46"/>
    </row>
    <row r="66" spans="1:21" s="48" customFormat="1" ht="57.95" customHeight="1" thickBot="1" x14ac:dyDescent="0.3">
      <c r="A66" s="1024" t="s">
        <v>347</v>
      </c>
      <c r="B66" s="1035"/>
      <c r="C66" s="1036" t="e">
        <f>+SQRT(ABS(((C10/1000+C11/1000000)*(C13-H10)/(C13*H10)*C63)^2+((C10/1000+C11/1000000)*(I48-I50))^2*C64^2/H10^4+(C10/1000+C11/1000000)^2*(I48-I50)*((I48-I50)-2*(C15-I50))*C65^2/C13^4))*1000000</f>
        <v>#N/A</v>
      </c>
      <c r="D66" s="1051" t="s">
        <v>3</v>
      </c>
      <c r="E66" s="1037" t="s">
        <v>240</v>
      </c>
      <c r="F66" s="139">
        <v>200</v>
      </c>
      <c r="G66" s="1108" t="e">
        <f t="shared" si="0"/>
        <v>#N/A</v>
      </c>
      <c r="I66" s="1093" t="s">
        <v>554</v>
      </c>
      <c r="J66" s="1095" t="s">
        <v>556</v>
      </c>
      <c r="K66" s="1094" t="s">
        <v>555</v>
      </c>
      <c r="O66" s="1127"/>
      <c r="Q66" s="47"/>
      <c r="R66" s="47"/>
      <c r="S66" s="47"/>
      <c r="T66" s="47"/>
      <c r="U66" s="47"/>
    </row>
    <row r="67" spans="1:21" s="48" customFormat="1" ht="57.95" customHeight="1" thickBot="1" x14ac:dyDescent="0.3">
      <c r="A67" s="1047" t="s">
        <v>52</v>
      </c>
      <c r="B67" s="1048"/>
      <c r="C67" s="1049" t="e">
        <f>+(G15/2/3^0.5)*2^0.5*1000</f>
        <v>#N/A</v>
      </c>
      <c r="D67" s="1044" t="s">
        <v>3</v>
      </c>
      <c r="E67" s="1045" t="s">
        <v>239</v>
      </c>
      <c r="F67" s="1050">
        <v>200</v>
      </c>
      <c r="G67" s="1108" t="e">
        <f t="shared" si="0"/>
        <v>#N/A</v>
      </c>
      <c r="I67" s="1096" t="e">
        <f>G70^4/((C59^4/F59)+(C62^4/F62)+(C66^4/F66)+(C67^4/F67)+(C68^4/F68))</f>
        <v>#DIV/0!</v>
      </c>
      <c r="J67" s="1097" t="e">
        <f>TINV(0.05,I67)</f>
        <v>#DIV/0!</v>
      </c>
      <c r="K67" s="1098" t="e">
        <f>1-TDIST(J67,I67,2)</f>
        <v>#DIV/0!</v>
      </c>
      <c r="Q67" s="47"/>
      <c r="R67" s="47"/>
      <c r="S67" s="47"/>
    </row>
    <row r="68" spans="1:21" s="46" customFormat="1" ht="65.25" customHeight="1" thickBot="1" x14ac:dyDescent="0.3">
      <c r="A68" s="1041" t="s">
        <v>552</v>
      </c>
      <c r="B68" s="1042"/>
      <c r="C68" s="1043">
        <f>0.01/SQRT(45)</f>
        <v>1.4907119849998597E-3</v>
      </c>
      <c r="D68" s="1044" t="s">
        <v>3</v>
      </c>
      <c r="E68" s="1045" t="s">
        <v>240</v>
      </c>
      <c r="F68" s="1046">
        <v>50</v>
      </c>
      <c r="G68" s="1109" t="e">
        <f t="shared" si="0"/>
        <v>#DIV/0!</v>
      </c>
      <c r="N68" s="48"/>
      <c r="O68" s="48"/>
      <c r="P68" s="48"/>
      <c r="Q68" s="47"/>
      <c r="R68" s="47"/>
      <c r="S68" s="47"/>
      <c r="T68" s="48"/>
      <c r="U68" s="48"/>
    </row>
    <row r="69" spans="1:21" s="46" customFormat="1" ht="65.25" customHeight="1" thickBot="1" x14ac:dyDescent="0.25">
      <c r="A69" s="130"/>
      <c r="B69" s="130"/>
      <c r="C69" s="130"/>
      <c r="D69" s="130"/>
      <c r="E69" s="130"/>
      <c r="F69" s="130"/>
      <c r="G69" s="1110" t="e">
        <f>SUM(G59,G62,G66,G67,G68)</f>
        <v>#DIV/0!</v>
      </c>
      <c r="H69" s="130"/>
      <c r="I69" s="130"/>
      <c r="J69" s="130"/>
      <c r="K69" s="130"/>
      <c r="L69" s="130"/>
      <c r="M69" s="130"/>
      <c r="S69" s="48"/>
      <c r="T69" s="48"/>
      <c r="U69" s="48"/>
    </row>
    <row r="70" spans="1:21" s="106" customFormat="1" ht="51.75" customHeight="1" thickBot="1" x14ac:dyDescent="0.3">
      <c r="D70" s="1306" t="s">
        <v>51</v>
      </c>
      <c r="E70" s="1307"/>
      <c r="F70" s="134"/>
      <c r="G70" s="140" t="e">
        <f>SQRT(SUMSQ(C59,C62,C66,C67,C68))</f>
        <v>#DIV/0!</v>
      </c>
      <c r="H70" s="136" t="s">
        <v>3</v>
      </c>
      <c r="K70" s="130"/>
      <c r="L70" s="130"/>
      <c r="M70" s="130"/>
      <c r="S70" s="48"/>
      <c r="T70" s="48"/>
      <c r="U70" s="48"/>
    </row>
    <row r="71" spans="1:21" s="106" customFormat="1" ht="35.1" customHeight="1" thickBot="1" x14ac:dyDescent="0.25">
      <c r="D71" s="1306" t="s">
        <v>53</v>
      </c>
      <c r="E71" s="1307"/>
      <c r="F71" s="135"/>
      <c r="G71" s="140" t="e">
        <f>+G70*2</f>
        <v>#DIV/0!</v>
      </c>
      <c r="H71" s="137" t="s">
        <v>3</v>
      </c>
      <c r="K71" s="110"/>
      <c r="L71" s="107"/>
      <c r="O71" s="48"/>
      <c r="P71" s="48"/>
      <c r="Q71" s="48"/>
      <c r="R71" s="48"/>
      <c r="S71" s="48"/>
      <c r="T71" s="48"/>
      <c r="U71" s="48"/>
    </row>
    <row r="72" spans="1:21" s="106" customFormat="1" ht="33.75" customHeight="1" thickBot="1" x14ac:dyDescent="4.45">
      <c r="B72" s="1313" t="s">
        <v>54</v>
      </c>
      <c r="C72" s="1314"/>
      <c r="D72" s="1314"/>
      <c r="E72" s="1314"/>
      <c r="F72" s="1314"/>
      <c r="G72" s="1314"/>
      <c r="H72" s="1314"/>
      <c r="I72" s="1314"/>
      <c r="J72" s="1314"/>
      <c r="K72" s="1315"/>
      <c r="L72" s="117"/>
      <c r="O72" s="48"/>
      <c r="P72" s="48"/>
      <c r="Q72" s="48"/>
      <c r="R72" s="48"/>
      <c r="S72" s="48"/>
      <c r="T72" s="48"/>
      <c r="U72" s="48"/>
    </row>
    <row r="73" spans="1:21" s="106" customFormat="1" ht="35.1" customHeight="1" thickBot="1" x14ac:dyDescent="0.25">
      <c r="B73" s="1368" t="s">
        <v>255</v>
      </c>
      <c r="C73" s="1369"/>
      <c r="D73" s="1369"/>
      <c r="E73" s="1370"/>
      <c r="F73" s="79"/>
      <c r="G73" s="80"/>
      <c r="H73" s="1371"/>
      <c r="I73" s="1372"/>
      <c r="J73" s="1372"/>
      <c r="K73" s="1373"/>
      <c r="O73" s="48"/>
      <c r="P73" s="48"/>
      <c r="Q73" s="48"/>
      <c r="R73" s="48"/>
      <c r="S73" s="48"/>
      <c r="T73" s="48"/>
      <c r="U73" s="48"/>
    </row>
    <row r="74" spans="1:21" s="106" customFormat="1" ht="40.5" customHeight="1" x14ac:dyDescent="0.2">
      <c r="B74" s="118"/>
      <c r="C74" s="362" t="s">
        <v>348</v>
      </c>
      <c r="D74" s="119" t="s">
        <v>253</v>
      </c>
      <c r="E74" s="120"/>
      <c r="F74" s="1358"/>
      <c r="G74" s="1358"/>
      <c r="H74" s="1359" t="s">
        <v>266</v>
      </c>
      <c r="I74" s="1362" t="s">
        <v>254</v>
      </c>
      <c r="J74" s="1362"/>
      <c r="K74" s="1363"/>
      <c r="O74" s="48"/>
      <c r="P74" s="48"/>
      <c r="Q74" s="48"/>
      <c r="R74" s="48"/>
      <c r="S74" s="48"/>
      <c r="T74" s="48"/>
      <c r="U74" s="48"/>
    </row>
    <row r="75" spans="1:21" s="106" customFormat="1" ht="35.1" customHeight="1" x14ac:dyDescent="0.2">
      <c r="B75" s="927" t="e">
        <f>C10</f>
        <v>#N/A</v>
      </c>
      <c r="C75" s="77" t="e">
        <f>C11</f>
        <v>#N/A</v>
      </c>
      <c r="D75" s="78" t="e">
        <f>H54</f>
        <v>#DIV/0!</v>
      </c>
      <c r="E75" s="940" t="e">
        <f>B75+(C75/1000)+(D75/1000)</f>
        <v>#N/A</v>
      </c>
      <c r="F75" s="264" t="e">
        <f>E75*1000-B75*1000</f>
        <v>#N/A</v>
      </c>
      <c r="G75" s="61"/>
      <c r="H75" s="1360"/>
      <c r="I75" s="285" t="e">
        <f>G71</f>
        <v>#DIV/0!</v>
      </c>
      <c r="J75" s="1364"/>
      <c r="K75" s="1365"/>
      <c r="O75" s="48"/>
      <c r="P75" s="48"/>
      <c r="Q75" s="48"/>
      <c r="R75" s="48"/>
      <c r="S75" s="48"/>
      <c r="T75" s="48"/>
      <c r="U75" s="48"/>
    </row>
    <row r="76" spans="1:21" s="106" customFormat="1" ht="35.1" customHeight="1" thickBot="1" x14ac:dyDescent="0.25">
      <c r="B76" s="928" t="e">
        <f>B75</f>
        <v>#N/A</v>
      </c>
      <c r="C76" s="88" t="e">
        <f>C75</f>
        <v>#N/A</v>
      </c>
      <c r="D76" s="88" t="e">
        <f>D75</f>
        <v>#DIV/0!</v>
      </c>
      <c r="E76" s="262" t="e">
        <f>B76+(C76/1000)+(D76/1000)</f>
        <v>#N/A</v>
      </c>
      <c r="F76" s="283" t="e">
        <f>F75/1000</f>
        <v>#N/A</v>
      </c>
      <c r="G76" s="89"/>
      <c r="H76" s="1361"/>
      <c r="I76" s="284" t="e">
        <f>I75/1000</f>
        <v>#DIV/0!</v>
      </c>
      <c r="J76" s="1366"/>
      <c r="K76" s="1367"/>
      <c r="O76" s="48"/>
      <c r="P76" s="48"/>
      <c r="Q76" s="48"/>
      <c r="R76" s="48"/>
      <c r="S76" s="48"/>
      <c r="T76" s="48"/>
      <c r="U76" s="48"/>
    </row>
    <row r="77" spans="1:21" s="106" customFormat="1" ht="35.1" customHeight="1" x14ac:dyDescent="0.2">
      <c r="G77" s="47"/>
      <c r="H77" s="47"/>
      <c r="I77" s="47"/>
      <c r="J77" s="47"/>
      <c r="O77" s="48"/>
      <c r="P77" s="48"/>
      <c r="Q77" s="48"/>
      <c r="R77" s="48"/>
      <c r="S77" s="48"/>
      <c r="T77" s="48"/>
      <c r="U77" s="48"/>
    </row>
    <row r="78" spans="1:21" s="106" customFormat="1" ht="35.1" customHeight="1" x14ac:dyDescent="0.2">
      <c r="G78" s="47"/>
      <c r="H78" s="47"/>
      <c r="I78" s="47"/>
      <c r="J78" s="47"/>
      <c r="O78" s="48"/>
      <c r="P78" s="48"/>
      <c r="Q78" s="48"/>
      <c r="R78" s="48"/>
      <c r="S78" s="48"/>
      <c r="T78" s="48"/>
      <c r="U78" s="48"/>
    </row>
    <row r="79" spans="1:21" s="106" customFormat="1" ht="35.1" customHeight="1" x14ac:dyDescent="0.2">
      <c r="G79" s="47"/>
      <c r="H79" s="47"/>
      <c r="I79" s="47"/>
      <c r="J79" s="47"/>
    </row>
    <row r="80" spans="1:21" s="107" customFormat="1" ht="9.9499999999999993" customHeight="1" x14ac:dyDescent="0.2">
      <c r="A80" s="109"/>
      <c r="B80" s="106"/>
      <c r="C80" s="106"/>
      <c r="D80" s="106"/>
      <c r="E80" s="106"/>
      <c r="F80" s="106"/>
      <c r="G80" s="47"/>
      <c r="H80" s="47"/>
    </row>
    <row r="81" spans="2:11" s="111" customFormat="1" ht="35.1" customHeight="1" x14ac:dyDescent="0.2">
      <c r="B81" s="106"/>
      <c r="C81" s="106"/>
      <c r="D81" s="106"/>
      <c r="E81" s="106"/>
      <c r="F81" s="106"/>
      <c r="G81" s="47"/>
      <c r="H81" s="47"/>
    </row>
    <row r="82" spans="2:11" s="106" customFormat="1" ht="61.5" customHeight="1" x14ac:dyDescent="0.2">
      <c r="H82" s="111"/>
      <c r="I82" s="111"/>
      <c r="J82" s="111"/>
      <c r="K82" s="108"/>
    </row>
    <row r="83" spans="2:11" s="106" customFormat="1" ht="35.1" customHeight="1" x14ac:dyDescent="0.2">
      <c r="G83" s="111"/>
      <c r="H83" s="111"/>
      <c r="I83" s="111"/>
      <c r="J83" s="111"/>
      <c r="K83" s="108"/>
    </row>
    <row r="84" spans="2:11" s="106" customFormat="1" ht="35.1" customHeight="1" x14ac:dyDescent="0.2">
      <c r="G84" s="111"/>
      <c r="H84" s="111"/>
      <c r="I84" s="111"/>
      <c r="J84" s="111"/>
      <c r="K84" s="108"/>
    </row>
    <row r="85" spans="2:11" s="106" customFormat="1" ht="35.1" customHeight="1" x14ac:dyDescent="0.2">
      <c r="F85" s="107"/>
      <c r="K85" s="108"/>
    </row>
    <row r="86" spans="2:11" s="106" customFormat="1" ht="50.1" customHeight="1" x14ac:dyDescent="0.2"/>
    <row r="87" spans="2:11" s="106" customFormat="1" ht="57.75" customHeight="1" x14ac:dyDescent="0.2">
      <c r="C87" s="112"/>
      <c r="D87" s="112"/>
      <c r="E87" s="112"/>
    </row>
    <row r="88" spans="2:11" s="106" customFormat="1" ht="35.1" customHeight="1" x14ac:dyDescent="0.2"/>
    <row r="89" spans="2:11" s="106" customFormat="1" ht="35.1" customHeight="1" x14ac:dyDescent="0.2">
      <c r="F89" s="108"/>
      <c r="G89" s="108"/>
      <c r="H89" s="108"/>
      <c r="I89" s="108"/>
      <c r="J89" s="108"/>
    </row>
    <row r="90" spans="2:11" s="106" customFormat="1" ht="35.1" customHeight="1" x14ac:dyDescent="0.2"/>
    <row r="91" spans="2:11" s="106" customFormat="1" ht="50.1" customHeight="1" x14ac:dyDescent="0.2">
      <c r="J91" s="47"/>
    </row>
    <row r="92" spans="2:11" s="106" customFormat="1" ht="55.5" customHeight="1" x14ac:dyDescent="0.2">
      <c r="J92" s="111"/>
    </row>
    <row r="93" spans="2:11" s="106" customFormat="1" ht="50.1" customHeight="1" x14ac:dyDescent="0.2">
      <c r="J93" s="111"/>
    </row>
    <row r="94" spans="2:11" s="107" customFormat="1" ht="31.5" customHeight="1" x14ac:dyDescent="0.2">
      <c r="J94" s="111"/>
    </row>
    <row r="95" spans="2:11" s="106" customFormat="1" ht="35.1" customHeight="1" x14ac:dyDescent="0.2">
      <c r="G95" s="111"/>
      <c r="H95" s="111"/>
      <c r="I95" s="111"/>
      <c r="J95" s="111"/>
    </row>
    <row r="96" spans="2:11" s="106" customFormat="1" ht="35.1" customHeight="1" x14ac:dyDescent="0.2">
      <c r="G96" s="111"/>
      <c r="H96" s="111"/>
      <c r="I96" s="111"/>
      <c r="J96" s="111"/>
    </row>
    <row r="97" spans="1:12" s="106" customFormat="1" ht="9.9499999999999993" customHeight="1" x14ac:dyDescent="0.2">
      <c r="G97" s="108"/>
      <c r="H97" s="108"/>
      <c r="I97" s="108"/>
      <c r="J97" s="108"/>
    </row>
    <row r="98" spans="1:12" s="106" customFormat="1" ht="35.1" customHeight="1" x14ac:dyDescent="0.2">
      <c r="J98" s="108"/>
      <c r="K98" s="108"/>
      <c r="L98" s="108"/>
    </row>
    <row r="99" spans="1:12" s="46" customFormat="1" ht="15" customHeight="1" x14ac:dyDescent="0.2">
      <c r="A99" s="47"/>
      <c r="G99" s="47"/>
      <c r="H99" s="47"/>
      <c r="I99" s="47"/>
      <c r="J99" s="47"/>
      <c r="K99" s="48"/>
    </row>
    <row r="100" spans="1:12" s="48" customFormat="1" ht="31.5" customHeight="1" x14ac:dyDescent="0.2">
      <c r="A100" s="47"/>
      <c r="B100" s="47"/>
      <c r="C100" s="47"/>
      <c r="D100" s="47"/>
      <c r="E100" s="47"/>
      <c r="F100" s="47"/>
      <c r="G100" s="47"/>
      <c r="H100" s="47"/>
      <c r="I100" s="47"/>
      <c r="J100" s="47"/>
    </row>
    <row r="101" spans="1:12" s="48" customFormat="1" ht="31.5" customHeight="1" x14ac:dyDescent="0.2"/>
    <row r="102" spans="1:12" s="48" customFormat="1" ht="31.5" customHeight="1" x14ac:dyDescent="0.2"/>
    <row r="103" spans="1:12" s="48" customFormat="1" ht="52.5" customHeight="1" x14ac:dyDescent="0.2"/>
    <row r="104" spans="1:12" s="48" customFormat="1" ht="31.5" customHeight="1" x14ac:dyDescent="0.2">
      <c r="K104" s="8"/>
    </row>
    <row r="105" spans="1:12" s="48" customFormat="1" ht="31.5" customHeight="1" x14ac:dyDescent="0.2">
      <c r="K105" s="8"/>
    </row>
    <row r="106" spans="1:12" ht="31.5" customHeight="1" x14ac:dyDescent="0.2">
      <c r="G106" s="76"/>
    </row>
    <row r="107" spans="1:12" ht="51" customHeight="1" x14ac:dyDescent="0.2"/>
    <row r="109" spans="1:12" ht="31.5" customHeight="1" x14ac:dyDescent="0.2">
      <c r="B109" s="29"/>
      <c r="C109" s="29"/>
      <c r="D109" s="29"/>
      <c r="E109" s="29"/>
      <c r="F109" s="29"/>
      <c r="G109" s="29"/>
      <c r="H109" s="29"/>
      <c r="I109" s="29"/>
      <c r="J109" s="29"/>
    </row>
    <row r="110" spans="1:12" ht="31.5" customHeight="1" x14ac:dyDescent="0.2">
      <c r="B110" s="29"/>
      <c r="C110" s="29"/>
      <c r="D110" s="29"/>
      <c r="E110" s="29"/>
      <c r="F110" s="29"/>
      <c r="G110" s="29"/>
      <c r="H110" s="29"/>
      <c r="I110" s="29"/>
      <c r="J110" s="29"/>
    </row>
    <row r="111" spans="1:12" ht="31.5" customHeight="1" x14ac:dyDescent="0.2">
      <c r="B111" s="29"/>
      <c r="C111" s="29"/>
      <c r="D111" s="29"/>
      <c r="E111" s="29"/>
      <c r="F111" s="29"/>
      <c r="G111" s="29"/>
      <c r="H111" s="29"/>
      <c r="I111" s="29"/>
      <c r="J111" s="29"/>
    </row>
    <row r="112" spans="1:12" ht="31.5" customHeight="1" x14ac:dyDescent="0.2">
      <c r="B112" s="29"/>
      <c r="C112" s="29"/>
      <c r="D112" s="29"/>
      <c r="E112" s="29"/>
      <c r="F112" s="29"/>
      <c r="G112" s="29"/>
      <c r="H112" s="29"/>
      <c r="I112" s="29"/>
      <c r="J112" s="29"/>
    </row>
    <row r="113" spans="2:10" ht="31.5" customHeight="1" x14ac:dyDescent="0.2">
      <c r="B113" s="29"/>
      <c r="C113" s="29"/>
      <c r="D113" s="29"/>
      <c r="E113" s="29"/>
      <c r="F113" s="29"/>
      <c r="G113" s="29"/>
      <c r="H113" s="29"/>
      <c r="I113" s="29"/>
      <c r="J113" s="29"/>
    </row>
    <row r="114" spans="2:10" ht="31.5" customHeight="1" x14ac:dyDescent="0.2">
      <c r="B114" s="29"/>
      <c r="C114" s="29"/>
      <c r="D114" s="29"/>
      <c r="E114" s="29"/>
      <c r="F114" s="29"/>
      <c r="G114" s="29"/>
      <c r="H114" s="29"/>
      <c r="I114" s="29"/>
      <c r="J114" s="29"/>
    </row>
    <row r="115" spans="2:10" ht="31.5" customHeight="1" x14ac:dyDescent="0.2">
      <c r="B115" s="29"/>
      <c r="C115" s="29"/>
      <c r="D115" s="29"/>
      <c r="E115" s="29"/>
      <c r="F115" s="29"/>
      <c r="G115" s="29"/>
      <c r="H115" s="29"/>
      <c r="I115" s="29"/>
      <c r="J115" s="29"/>
    </row>
  </sheetData>
  <sheetProtection password="CF5C" sheet="1" objects="1" scenarios="1"/>
  <mergeCells count="62">
    <mergeCell ref="D70:E70"/>
    <mergeCell ref="D71:E71"/>
    <mergeCell ref="B72:K72"/>
    <mergeCell ref="B73:E73"/>
    <mergeCell ref="H73:K73"/>
    <mergeCell ref="F74:G74"/>
    <mergeCell ref="H74:H76"/>
    <mergeCell ref="I74:K74"/>
    <mergeCell ref="J75:K75"/>
    <mergeCell ref="J76:K76"/>
    <mergeCell ref="A56:J56"/>
    <mergeCell ref="A58:B58"/>
    <mergeCell ref="C58:D58"/>
    <mergeCell ref="E58:F58"/>
    <mergeCell ref="H60:M60"/>
    <mergeCell ref="A50:B50"/>
    <mergeCell ref="G50:H50"/>
    <mergeCell ref="A52:J52"/>
    <mergeCell ref="D53:E53"/>
    <mergeCell ref="H53:I53"/>
    <mergeCell ref="A49:B49"/>
    <mergeCell ref="G49:H49"/>
    <mergeCell ref="A28:A31"/>
    <mergeCell ref="C33:D33"/>
    <mergeCell ref="F33:G33"/>
    <mergeCell ref="A36:J36"/>
    <mergeCell ref="B38:F38"/>
    <mergeCell ref="H38:J38"/>
    <mergeCell ref="H39:J42"/>
    <mergeCell ref="A46:J46"/>
    <mergeCell ref="A47:B48"/>
    <mergeCell ref="C47:E47"/>
    <mergeCell ref="G48:H48"/>
    <mergeCell ref="A27:B27"/>
    <mergeCell ref="G27:H27"/>
    <mergeCell ref="A14:B14"/>
    <mergeCell ref="A15:B15"/>
    <mergeCell ref="A16:B16"/>
    <mergeCell ref="C16:D16"/>
    <mergeCell ref="A18:J18"/>
    <mergeCell ref="F19:G19"/>
    <mergeCell ref="J19:J20"/>
    <mergeCell ref="A20:B20"/>
    <mergeCell ref="E20:F20"/>
    <mergeCell ref="A22:J22"/>
    <mergeCell ref="C24:D24"/>
    <mergeCell ref="F24:G24"/>
    <mergeCell ref="C26:F26"/>
    <mergeCell ref="G26:H26"/>
    <mergeCell ref="A13:B13"/>
    <mergeCell ref="F13:I13"/>
    <mergeCell ref="A1:B1"/>
    <mergeCell ref="C1:M1"/>
    <mergeCell ref="I3:J4"/>
    <mergeCell ref="A6:D6"/>
    <mergeCell ref="F6:I6"/>
    <mergeCell ref="F9:G9"/>
    <mergeCell ref="A10:B10"/>
    <mergeCell ref="F10:G10"/>
    <mergeCell ref="A11:B11"/>
    <mergeCell ref="F11:G11"/>
    <mergeCell ref="A12:B12"/>
  </mergeCells>
  <printOptions horizontalCentered="1"/>
  <pageMargins left="0.70866141732283472" right="0.70866141732283472" top="0.74803149606299213" bottom="0.74803149606299213" header="0.31496062992125984" footer="0.31496062992125984"/>
  <pageSetup scale="13" orientation="portrait" r:id="rId1"/>
  <headerFooter>
    <oddHeader xml:space="preserve">&amp;C
&amp;16   
</oddHeader>
    <oddFooter xml:space="preserve">&amp;RRT03-F13 Vr.14 (2021-05-21)
</oddFooter>
  </headerFooter>
  <rowBreaks count="1" manualBreakCount="1">
    <brk id="34" max="12" man="1"/>
  </rowBreaks>
  <drawing r:id="rId2"/>
  <extLst>
    <ext xmlns:x14="http://schemas.microsoft.com/office/spreadsheetml/2009/9/main" uri="{CCE6A557-97BC-4b89-ADB6-D9C93CAAB3DF}">
      <x14:dataValidations xmlns:xm="http://schemas.microsoft.com/office/excel/2006/main" disablePrompts="1" count="6">
        <x14:dataValidation type="list" allowBlank="1" showInputMessage="1" showErrorMessage="1" xr:uid="{00000000-0002-0000-0100-000000000000}">
          <x14:formula1>
            <xm:f>'DATOS %'!$B$7:$B$40</xm:f>
          </x14:formula1>
          <xm:sqref>I3:J4</xm:sqref>
        </x14:dataValidation>
        <x14:dataValidation type="list" allowBlank="1" showInputMessage="1" showErrorMessage="1" xr:uid="{00000000-0002-0000-0100-000001000000}">
          <x14:formula1>
            <xm:f>'DATOS %'!$J$174:$J$179</xm:f>
          </x14:formula1>
          <xm:sqref>J19:J20</xm:sqref>
        </x14:dataValidation>
        <x14:dataValidation type="list" allowBlank="1" showInputMessage="1" showErrorMessage="1" xr:uid="{00000000-0002-0000-0100-000002000000}">
          <x14:formula1>
            <xm:f>'DATOS %'!$N$121:$N$166</xm:f>
          </x14:formula1>
          <xm:sqref>F48</xm:sqref>
        </x14:dataValidation>
        <x14:dataValidation type="list" allowBlank="1" showInputMessage="1" showErrorMessage="1" xr:uid="{00000000-0002-0000-0100-000003000000}">
          <x14:formula1>
            <xm:f>'DATOS %'!$N$11:$N$112</xm:f>
          </x14:formula1>
          <xm:sqref>E6</xm:sqref>
        </x14:dataValidation>
        <x14:dataValidation type="list" allowBlank="1" showInputMessage="1" showErrorMessage="1" xr:uid="{00000000-0002-0000-0100-000004000000}">
          <x14:formula1>
            <xm:f>'DATOS %'!$V$120:$V$126</xm:f>
          </x14:formula1>
          <xm:sqref>J13</xm:sqref>
        </x14:dataValidation>
        <x14:dataValidation type="list" allowBlank="1" showInputMessage="1" showErrorMessage="1" xr:uid="{00000000-0002-0000-0100-000005000000}">
          <x14:formula1>
            <xm:f>'DATOS %'!$V$161:$V$165</xm:f>
          </x14:formula1>
          <xm:sqref>H25</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sheetPr>
  <dimension ref="A1:U115"/>
  <sheetViews>
    <sheetView showGridLines="0" view="pageBreakPreview" topLeftCell="A13" zoomScale="80" zoomScaleNormal="60" zoomScaleSheetLayoutView="80" workbookViewId="0">
      <selection activeCell="C65" sqref="C65"/>
    </sheetView>
  </sheetViews>
  <sheetFormatPr baseColWidth="10" defaultColWidth="11.42578125" defaultRowHeight="31.5" customHeight="1" x14ac:dyDescent="0.2"/>
  <cols>
    <col min="1" max="1" width="14.7109375" style="37" customWidth="1"/>
    <col min="2" max="2" width="12" style="37" customWidth="1"/>
    <col min="3" max="3" width="15.7109375" style="37" customWidth="1"/>
    <col min="4" max="4" width="17" style="37" customWidth="1"/>
    <col min="5" max="5" width="15.5703125" style="37" customWidth="1"/>
    <col min="6" max="6" width="18.5703125" style="37" customWidth="1"/>
    <col min="7" max="7" width="15.7109375" style="37" customWidth="1"/>
    <col min="8" max="8" width="24.42578125" style="37" bestFit="1" customWidth="1"/>
    <col min="9" max="9" width="13.85546875" style="37" bestFit="1" customWidth="1"/>
    <col min="10" max="10" width="13.7109375" style="37" customWidth="1"/>
    <col min="11" max="19" width="11.42578125" style="8"/>
    <col min="20" max="20" width="15.85546875" style="8" bestFit="1" customWidth="1"/>
    <col min="21" max="21" width="14.42578125" style="8" bestFit="1" customWidth="1"/>
    <col min="22" max="16384" width="11.42578125" style="8"/>
  </cols>
  <sheetData>
    <row r="1" spans="1:16" ht="60" customHeight="1" thickBot="1" x14ac:dyDescent="0.25">
      <c r="A1" s="1257"/>
      <c r="B1" s="1258"/>
      <c r="C1" s="1259" t="s">
        <v>57</v>
      </c>
      <c r="D1" s="1260"/>
      <c r="E1" s="1260"/>
      <c r="F1" s="1260"/>
      <c r="G1" s="1260"/>
      <c r="H1" s="1260"/>
      <c r="I1" s="1260"/>
      <c r="J1" s="1260"/>
      <c r="K1" s="1260"/>
      <c r="L1" s="1260"/>
      <c r="M1" s="1261"/>
      <c r="N1" s="7"/>
      <c r="O1" s="7"/>
      <c r="P1" s="7"/>
    </row>
    <row r="2" spans="1:16" s="11" customFormat="1" ht="9.75" customHeight="1" thickBot="1" x14ac:dyDescent="0.25">
      <c r="A2" s="9"/>
      <c r="B2" s="9"/>
      <c r="C2" s="10"/>
      <c r="D2" s="10"/>
      <c r="E2" s="10"/>
      <c r="F2" s="10"/>
      <c r="G2" s="10"/>
      <c r="H2" s="10"/>
      <c r="K2" s="12"/>
      <c r="M2" s="7"/>
    </row>
    <row r="3" spans="1:16" s="12" customFormat="1" ht="35.25" customHeight="1" thickBot="1" x14ac:dyDescent="0.25">
      <c r="A3" s="13" t="s">
        <v>17</v>
      </c>
      <c r="B3" s="14" t="s">
        <v>55</v>
      </c>
      <c r="C3" s="15" t="s">
        <v>209</v>
      </c>
      <c r="D3" s="15" t="s">
        <v>56</v>
      </c>
      <c r="E3" s="15" t="s">
        <v>8</v>
      </c>
      <c r="F3" s="16" t="s">
        <v>18</v>
      </c>
      <c r="G3" s="16" t="s">
        <v>297</v>
      </c>
      <c r="H3" s="17" t="s">
        <v>24</v>
      </c>
      <c r="I3" s="1262"/>
      <c r="J3" s="1263"/>
      <c r="K3" s="11"/>
      <c r="M3" s="7"/>
    </row>
    <row r="4" spans="1:16" s="11" customFormat="1" ht="32.25" customHeight="1" thickBot="1" x14ac:dyDescent="0.25">
      <c r="A4" s="18" t="e">
        <f>VLOOKUP($I$3,'DATOS %'!B7:J40,2,FALSE)</f>
        <v>#N/A</v>
      </c>
      <c r="B4" s="212" t="e">
        <f>VLOOKUP($I$3,'DATOS %'!$B$7:$J$40,3,FALSE)</f>
        <v>#N/A</v>
      </c>
      <c r="C4" s="19" t="e">
        <f>VLOOKUP($I$3,'DATOS %'!$B$7:$J$40,8,FALSE)</f>
        <v>#N/A</v>
      </c>
      <c r="D4" s="19" t="e">
        <f>VLOOKUP($I$3,'DATOS %'!$B$7:$J$40,6,FALSE)</f>
        <v>#N/A</v>
      </c>
      <c r="E4" s="212" t="e">
        <f>VLOOKUP($I$3,'DATOS %'!$B$7:$J$40,7,FALSE)</f>
        <v>#N/A</v>
      </c>
      <c r="F4" s="18" t="e">
        <f>VLOOKUP($I$3,'DATOS %'!$B$7:$J$40,4,FALSE)</f>
        <v>#N/A</v>
      </c>
      <c r="G4" s="18" t="e">
        <f>VLOOKUP($I$3,'DATOS %'!$B$7:$J$40,5,FALSE)</f>
        <v>#N/A</v>
      </c>
      <c r="H4" s="19" t="e">
        <f>VLOOKUP($I$3,'DATOS %'!$B$7:$J$40,9,FALSE)</f>
        <v>#N/A</v>
      </c>
      <c r="I4" s="1264"/>
      <c r="J4" s="1265"/>
      <c r="K4" s="8"/>
      <c r="L4" s="20"/>
      <c r="M4" s="20"/>
    </row>
    <row r="5" spans="1:16" s="22" customFormat="1" ht="6.75" customHeight="1" thickBot="1" x14ac:dyDescent="0.25">
      <c r="A5" s="21"/>
      <c r="B5" s="21"/>
      <c r="C5" s="21"/>
      <c r="F5" s="21"/>
      <c r="G5" s="21"/>
      <c r="H5" s="21"/>
      <c r="K5" s="8"/>
    </row>
    <row r="6" spans="1:16" ht="31.5" customHeight="1" thickBot="1" x14ac:dyDescent="0.25">
      <c r="A6" s="1266" t="s">
        <v>19</v>
      </c>
      <c r="B6" s="1267"/>
      <c r="C6" s="1267"/>
      <c r="D6" s="1268"/>
      <c r="E6" s="4"/>
      <c r="F6" s="1266" t="s">
        <v>20</v>
      </c>
      <c r="G6" s="1267"/>
      <c r="H6" s="1267"/>
      <c r="I6" s="1268"/>
      <c r="J6" s="402">
        <f>I3</f>
        <v>0</v>
      </c>
    </row>
    <row r="7" spans="1:16" ht="31.5" customHeight="1" x14ac:dyDescent="0.2">
      <c r="A7" s="23" t="s">
        <v>21</v>
      </c>
      <c r="B7" s="24" t="e">
        <f>VLOOKUP($E$6,'DATOS %'!N11:AA113,2,FALSE)</f>
        <v>#N/A</v>
      </c>
      <c r="C7" s="25" t="s">
        <v>10</v>
      </c>
      <c r="D7" s="26" t="e">
        <f>VLOOKUP($E$6,'DATOS %'!N11:AA113,3,FALSE)</f>
        <v>#N/A</v>
      </c>
      <c r="E7" s="27"/>
      <c r="F7" s="23" t="s">
        <v>21</v>
      </c>
      <c r="G7" s="24" t="e">
        <f>VLOOKUP($J$6,'DATOS %'!B47:I79,2,FALSE)</f>
        <v>#N/A</v>
      </c>
      <c r="H7" s="28" t="s">
        <v>10</v>
      </c>
      <c r="I7" s="26" t="e">
        <f>VLOOKUP($J$6,'DATOS %'!B47:I79,3,FALSE)</f>
        <v>#N/A</v>
      </c>
      <c r="J7" s="29"/>
    </row>
    <row r="8" spans="1:16" ht="31.5" customHeight="1" x14ac:dyDescent="0.2">
      <c r="A8" s="30" t="s">
        <v>22</v>
      </c>
      <c r="B8" s="31" t="e">
        <f>VLOOKUP($E$6,'DATOS %'!N11:AA113,4,FALSE)</f>
        <v>#N/A</v>
      </c>
      <c r="C8" s="32" t="s">
        <v>23</v>
      </c>
      <c r="D8" s="33" t="e">
        <f>VLOOKUP($E$6,'DATOS %'!N11:AA113,5,FALSE)</f>
        <v>#N/A</v>
      </c>
      <c r="E8" s="27"/>
      <c r="F8" s="30" t="s">
        <v>22</v>
      </c>
      <c r="G8" s="31" t="e">
        <f>VLOOKUP($J$6,'DATOS %'!B47:I79,4,FALSE)</f>
        <v>#N/A</v>
      </c>
      <c r="H8" s="32" t="s">
        <v>23</v>
      </c>
      <c r="I8" s="297" t="e">
        <f>VLOOKUP($J$6,'DATOS %'!B47:I79,5,FALSE)</f>
        <v>#N/A</v>
      </c>
      <c r="J8" s="29"/>
    </row>
    <row r="9" spans="1:16" ht="31.5" customHeight="1" x14ac:dyDescent="0.2">
      <c r="A9" s="34" t="s">
        <v>24</v>
      </c>
      <c r="B9" s="31" t="e">
        <f>VLOOKUP($E$6,'DATOS %'!N11:AA113,6,FALSE)</f>
        <v>#N/A</v>
      </c>
      <c r="C9" s="35" t="s">
        <v>15</v>
      </c>
      <c r="D9" s="36" t="e">
        <f>VLOOKUP($E$6,'DATOS %'!N11:AA113,7,FALSE)</f>
        <v>#N/A</v>
      </c>
      <c r="F9" s="1252" t="s">
        <v>62</v>
      </c>
      <c r="G9" s="1253"/>
      <c r="H9" s="31" t="e">
        <f>VLOOKUP($J$6,'DATOS %'!B47:I79,6,FALSE)</f>
        <v>#N/A</v>
      </c>
      <c r="I9" s="33" t="s">
        <v>1</v>
      </c>
      <c r="J9" s="29"/>
      <c r="K9" s="208"/>
    </row>
    <row r="10" spans="1:16" s="38" customFormat="1" ht="31.5" customHeight="1" x14ac:dyDescent="0.25">
      <c r="A10" s="1252" t="s">
        <v>63</v>
      </c>
      <c r="B10" s="1253"/>
      <c r="C10" s="223" t="e">
        <f>VLOOKUP($E$6,'DATOS %'!N11:AA113,8,FALSE)</f>
        <v>#N/A</v>
      </c>
      <c r="D10" s="33" t="s">
        <v>1</v>
      </c>
      <c r="F10" s="1252" t="s">
        <v>64</v>
      </c>
      <c r="G10" s="1253"/>
      <c r="H10" s="213" t="e">
        <f>VLOOKUP($J$6,'DATOS %'!B47:I79,7,FALSE)</f>
        <v>#N/A</v>
      </c>
      <c r="I10" s="33" t="s">
        <v>76</v>
      </c>
      <c r="J10" s="39"/>
    </row>
    <row r="11" spans="1:16" s="38" customFormat="1" ht="31.5" customHeight="1" thickBot="1" x14ac:dyDescent="0.3">
      <c r="A11" s="1252" t="s">
        <v>65</v>
      </c>
      <c r="B11" s="1253"/>
      <c r="C11" s="31" t="e">
        <f>VLOOKUP($E$6,'DATOS %'!N11:AA113,9,FALSE)</f>
        <v>#N/A</v>
      </c>
      <c r="D11" s="33" t="s">
        <v>3</v>
      </c>
      <c r="E11" s="40"/>
      <c r="F11" s="1271" t="s">
        <v>66</v>
      </c>
      <c r="G11" s="1272"/>
      <c r="H11" s="41" t="e">
        <f>VLOOKUP($J$6,'DATOS %'!B47:I79,8,FALSE)</f>
        <v>#N/A</v>
      </c>
      <c r="I11" s="45" t="s">
        <v>76</v>
      </c>
      <c r="J11" s="39"/>
    </row>
    <row r="12" spans="1:16" s="38" customFormat="1" ht="31.5" customHeight="1" thickBot="1" x14ac:dyDescent="0.3">
      <c r="A12" s="1252" t="s">
        <v>67</v>
      </c>
      <c r="B12" s="1253"/>
      <c r="C12" s="31" t="e">
        <f>VLOOKUP($E$6,'DATOS %'!N11:AA113,10,FALSE)</f>
        <v>#N/A</v>
      </c>
      <c r="D12" s="33" t="s">
        <v>3</v>
      </c>
      <c r="E12" s="39"/>
      <c r="F12" s="39"/>
      <c r="G12" s="39"/>
      <c r="H12" s="39"/>
    </row>
    <row r="13" spans="1:16" s="38" customFormat="1" ht="31.5" customHeight="1" thickBot="1" x14ac:dyDescent="0.3">
      <c r="A13" s="1252" t="s">
        <v>68</v>
      </c>
      <c r="B13" s="1253"/>
      <c r="C13" s="213" t="e">
        <f>VLOOKUP($E$6,'DATOS %'!N11:AA113,11,FALSE)</f>
        <v>#N/A</v>
      </c>
      <c r="D13" s="33" t="s">
        <v>76</v>
      </c>
      <c r="E13" s="39"/>
      <c r="F13" s="1254" t="s">
        <v>559</v>
      </c>
      <c r="G13" s="1255"/>
      <c r="H13" s="1255"/>
      <c r="I13" s="1256"/>
      <c r="J13" s="5"/>
    </row>
    <row r="14" spans="1:16" s="38" customFormat="1" ht="31.5" customHeight="1" x14ac:dyDescent="0.2">
      <c r="A14" s="1252" t="s">
        <v>305</v>
      </c>
      <c r="B14" s="1253"/>
      <c r="C14" s="31" t="e">
        <f>VLOOKUP($E$6,'DATOS %'!N11:AA113,12,FALSE)</f>
        <v>#N/A</v>
      </c>
      <c r="D14" s="33" t="s">
        <v>76</v>
      </c>
      <c r="E14" s="39"/>
      <c r="F14" s="23" t="s">
        <v>10</v>
      </c>
      <c r="G14" s="24" t="e">
        <f>VLOOKUP($J$13,'DATOS %'!$V$119:$Y$126,2,FALSE)</f>
        <v>#N/A</v>
      </c>
      <c r="H14" s="28" t="s">
        <v>22</v>
      </c>
      <c r="I14" s="24" t="e">
        <f>VLOOKUP($J$13,'DATOS %'!$V$119:$Z$126,3,FALSE)</f>
        <v>#N/A</v>
      </c>
      <c r="J14" s="42"/>
      <c r="K14" s="8"/>
    </row>
    <row r="15" spans="1:16" ht="31.5" customHeight="1" thickBot="1" x14ac:dyDescent="0.25">
      <c r="A15" s="1277" t="s">
        <v>69</v>
      </c>
      <c r="B15" s="1278"/>
      <c r="C15" s="31" t="e">
        <f>VLOOKUP($E$6,'DATOS %'!N11:AA113,13,FALSE)</f>
        <v>#N/A</v>
      </c>
      <c r="D15" s="33" t="s">
        <v>76</v>
      </c>
      <c r="E15" s="29"/>
      <c r="F15" s="43" t="s">
        <v>61</v>
      </c>
      <c r="G15" s="41" t="e">
        <f>VLOOKUP($J$13,'DATOS %'!$V$119:$Y$126,4,FALSE)</f>
        <v>#N/A</v>
      </c>
      <c r="H15" s="41" t="s">
        <v>1</v>
      </c>
      <c r="I15" s="238" t="s">
        <v>210</v>
      </c>
      <c r="J15" s="45" t="e">
        <f>VLOOKUP($J$13,'DATOS %'!$V$119:$Z$126,5,FALSE)</f>
        <v>#N/A</v>
      </c>
      <c r="K15" s="22"/>
    </row>
    <row r="16" spans="1:16" ht="30.95" customHeight="1" thickBot="1" x14ac:dyDescent="0.25">
      <c r="A16" s="1279" t="s">
        <v>210</v>
      </c>
      <c r="B16" s="1280"/>
      <c r="C16" s="1281" t="e">
        <f>VLOOKUP($E$6,'DATOS %'!N11:AA113,14,FALSE)</f>
        <v>#N/A</v>
      </c>
      <c r="D16" s="1282"/>
      <c r="E16" s="29"/>
      <c r="F16" s="8"/>
      <c r="G16" s="8"/>
      <c r="H16" s="8"/>
      <c r="I16" s="8"/>
      <c r="J16" s="8"/>
    </row>
    <row r="17" spans="1:11" s="22" customFormat="1" ht="30.95" customHeight="1" thickBot="1" x14ac:dyDescent="0.25">
      <c r="A17" s="29"/>
      <c r="B17" s="29"/>
      <c r="C17" s="29"/>
      <c r="D17" s="29"/>
      <c r="E17" s="29"/>
      <c r="F17" s="29"/>
      <c r="G17" s="29"/>
      <c r="H17" s="29"/>
      <c r="I17" s="29"/>
      <c r="J17" s="29"/>
      <c r="K17" s="8"/>
    </row>
    <row r="18" spans="1:11" ht="31.5" customHeight="1" thickBot="1" x14ac:dyDescent="0.25">
      <c r="A18" s="1283" t="s">
        <v>26</v>
      </c>
      <c r="B18" s="1284"/>
      <c r="C18" s="1284"/>
      <c r="D18" s="1284"/>
      <c r="E18" s="1284"/>
      <c r="F18" s="1284"/>
      <c r="G18" s="1284"/>
      <c r="H18" s="1284"/>
      <c r="I18" s="1284"/>
      <c r="J18" s="1285"/>
    </row>
    <row r="19" spans="1:11" ht="46.5" customHeight="1" thickBot="1" x14ac:dyDescent="0.25">
      <c r="A19" s="96" t="s">
        <v>10</v>
      </c>
      <c r="B19" s="97" t="e">
        <f>VLOOKUP(J19,'DATOS %'!J174:W180,2,FALSE)</f>
        <v>#N/A</v>
      </c>
      <c r="C19" s="98" t="s">
        <v>7</v>
      </c>
      <c r="D19" s="99" t="e">
        <f>VLOOKUP(J19,'DATOS %'!J174:W180,3,FALSE)</f>
        <v>#N/A</v>
      </c>
      <c r="E19" s="100" t="s">
        <v>24</v>
      </c>
      <c r="F19" s="1286" t="e">
        <f>VLOOKUP(J19,'DATOS %'!J174:W180,5,FALSE)</f>
        <v>#N/A</v>
      </c>
      <c r="G19" s="1287"/>
      <c r="H19" s="98" t="s">
        <v>25</v>
      </c>
      <c r="I19" s="212" t="e">
        <f>VLOOKUP(J19,'DATOS %'!J174:W180,4,FALSE)</f>
        <v>#N/A</v>
      </c>
      <c r="J19" s="1288"/>
    </row>
    <row r="20" spans="1:11" ht="31.5" customHeight="1" thickBot="1" x14ac:dyDescent="0.25">
      <c r="A20" s="1290" t="s">
        <v>316</v>
      </c>
      <c r="B20" s="1291"/>
      <c r="C20" s="94" t="s">
        <v>27</v>
      </c>
      <c r="D20" s="101" t="e">
        <f>VLOOKUP(J19,'DATOS %'!J174:W180,6,FALSE)</f>
        <v>#N/A</v>
      </c>
      <c r="E20" s="1292" t="s">
        <v>307</v>
      </c>
      <c r="F20" s="1293"/>
      <c r="G20" s="101" t="e">
        <f>VLOOKUP(J19,'DATOS %'!J174:W180,7,FALSE)</f>
        <v>#N/A</v>
      </c>
      <c r="H20" s="95" t="s">
        <v>9</v>
      </c>
      <c r="I20" s="214" t="e">
        <f>VLOOKUP(J19,'DATOS %'!J174:W180,8,FALSE)</f>
        <v>#N/A</v>
      </c>
      <c r="J20" s="1289"/>
    </row>
    <row r="21" spans="1:11" s="46" customFormat="1" ht="15" customHeight="1" thickBot="1" x14ac:dyDescent="0.25">
      <c r="A21" s="47"/>
      <c r="B21" s="47"/>
      <c r="C21" s="47"/>
      <c r="D21" s="47"/>
      <c r="E21" s="47"/>
      <c r="F21" s="47"/>
      <c r="G21" s="47"/>
      <c r="H21" s="47"/>
      <c r="I21" s="47"/>
      <c r="J21" s="47"/>
      <c r="K21" s="8"/>
    </row>
    <row r="22" spans="1:11" s="48" customFormat="1" ht="31.5" customHeight="1" thickBot="1" x14ac:dyDescent="0.25">
      <c r="A22" s="1294" t="s">
        <v>28</v>
      </c>
      <c r="B22" s="1295"/>
      <c r="C22" s="1295"/>
      <c r="D22" s="1295"/>
      <c r="E22" s="1295"/>
      <c r="F22" s="1295"/>
      <c r="G22" s="1295"/>
      <c r="H22" s="1295"/>
      <c r="I22" s="1295"/>
      <c r="J22" s="1296"/>
      <c r="K22" s="47"/>
    </row>
    <row r="23" spans="1:11" s="47" customFormat="1" ht="2.25" customHeight="1" thickBot="1" x14ac:dyDescent="0.25">
      <c r="A23" s="49"/>
      <c r="B23" s="50"/>
      <c r="C23" s="50"/>
      <c r="D23" s="50"/>
      <c r="E23" s="50"/>
      <c r="F23" s="50"/>
      <c r="G23" s="50"/>
      <c r="H23" s="50"/>
      <c r="I23" s="50"/>
      <c r="J23" s="51"/>
      <c r="K23" s="48"/>
    </row>
    <row r="24" spans="1:11" s="48" customFormat="1" ht="31.5" customHeight="1" thickBot="1" x14ac:dyDescent="0.25">
      <c r="A24" s="52" t="s">
        <v>29</v>
      </c>
      <c r="B24" s="916"/>
      <c r="C24" s="1682" t="s">
        <v>27</v>
      </c>
      <c r="D24" s="1683"/>
      <c r="E24" s="1"/>
      <c r="F24" s="1684" t="s">
        <v>307</v>
      </c>
      <c r="G24" s="1685"/>
      <c r="H24" s="2"/>
      <c r="I24" s="972" t="s">
        <v>9</v>
      </c>
      <c r="J24" s="215"/>
      <c r="K24" s="46"/>
    </row>
    <row r="25" spans="1:11" s="46" customFormat="1" ht="15" customHeight="1" thickBot="1" x14ac:dyDescent="0.25">
      <c r="A25" s="47"/>
      <c r="B25" s="47"/>
      <c r="C25" s="47"/>
      <c r="D25" s="47"/>
      <c r="E25" s="47"/>
      <c r="F25" s="47"/>
      <c r="G25" s="47"/>
      <c r="H25" s="6"/>
      <c r="I25" s="47"/>
      <c r="K25" s="48"/>
    </row>
    <row r="26" spans="1:11" s="48" customFormat="1" ht="29.25" customHeight="1" thickBot="1" x14ac:dyDescent="0.25">
      <c r="A26" s="115" t="s">
        <v>129</v>
      </c>
      <c r="B26" s="105">
        <v>4</v>
      </c>
      <c r="C26" s="1301" t="s">
        <v>30</v>
      </c>
      <c r="D26" s="1302"/>
      <c r="E26" s="1302"/>
      <c r="F26" s="1303"/>
      <c r="G26" s="1304" t="s">
        <v>211</v>
      </c>
      <c r="H26" s="1305"/>
    </row>
    <row r="27" spans="1:11" s="48" customFormat="1" ht="31.5" customHeight="1" thickBot="1" x14ac:dyDescent="0.25">
      <c r="A27" s="1273" t="s">
        <v>31</v>
      </c>
      <c r="B27" s="1274"/>
      <c r="C27" s="237">
        <v>1</v>
      </c>
      <c r="D27" s="237">
        <v>2</v>
      </c>
      <c r="E27" s="237">
        <v>3</v>
      </c>
      <c r="F27" s="129">
        <v>4</v>
      </c>
      <c r="G27" s="1275" t="e">
        <f>VLOOKUP($H$25,'DATOS %'!$V$161:$AA$165,2,FALSE)</f>
        <v>#N/A</v>
      </c>
      <c r="H27" s="1276"/>
    </row>
    <row r="28" spans="1:11" s="48" customFormat="1" ht="31.5" customHeight="1" x14ac:dyDescent="0.2">
      <c r="A28" s="1310" t="s">
        <v>32</v>
      </c>
      <c r="B28" s="141" t="s">
        <v>0</v>
      </c>
      <c r="C28" s="142"/>
      <c r="D28" s="142"/>
      <c r="E28" s="142"/>
      <c r="F28" s="143"/>
      <c r="G28" s="47"/>
      <c r="H28" s="47"/>
      <c r="I28" s="47"/>
      <c r="J28" s="47"/>
    </row>
    <row r="29" spans="1:11" s="48" customFormat="1" ht="31.5" customHeight="1" x14ac:dyDescent="0.2">
      <c r="A29" s="1311"/>
      <c r="B29" s="104" t="s">
        <v>2</v>
      </c>
      <c r="C29" s="127"/>
      <c r="D29" s="127"/>
      <c r="E29" s="127"/>
      <c r="F29" s="128"/>
      <c r="G29" s="47"/>
      <c r="H29" s="47"/>
      <c r="I29" s="47"/>
      <c r="J29" s="47"/>
    </row>
    <row r="30" spans="1:11" s="48" customFormat="1" ht="31.5" customHeight="1" x14ac:dyDescent="0.2">
      <c r="A30" s="1311"/>
      <c r="B30" s="104" t="s">
        <v>2</v>
      </c>
      <c r="C30" s="127"/>
      <c r="D30" s="127"/>
      <c r="E30" s="127"/>
      <c r="F30" s="128"/>
      <c r="G30" s="47"/>
      <c r="H30" s="47"/>
      <c r="I30" s="47"/>
      <c r="J30" s="47"/>
    </row>
    <row r="31" spans="1:11" s="48" customFormat="1" ht="31.5" customHeight="1" thickBot="1" x14ac:dyDescent="0.25">
      <c r="A31" s="1312"/>
      <c r="B31" s="53" t="s">
        <v>0</v>
      </c>
      <c r="C31" s="144"/>
      <c r="D31" s="144"/>
      <c r="E31" s="144"/>
      <c r="F31" s="145"/>
      <c r="G31" s="47"/>
      <c r="H31" s="47"/>
      <c r="I31" s="47"/>
      <c r="J31" s="47"/>
      <c r="K31" s="46"/>
    </row>
    <row r="32" spans="1:11" s="46" customFormat="1" ht="15" customHeight="1" thickBot="1" x14ac:dyDescent="0.25">
      <c r="A32" s="47"/>
      <c r="B32" s="47"/>
      <c r="C32" s="47"/>
      <c r="D32" s="47"/>
      <c r="E32" s="47"/>
      <c r="F32" s="47"/>
      <c r="G32" s="47"/>
      <c r="H32" s="47"/>
      <c r="I32" s="47"/>
      <c r="J32" s="47"/>
      <c r="K32" s="48"/>
    </row>
    <row r="33" spans="1:11" s="48" customFormat="1" ht="31.5" customHeight="1" thickBot="1" x14ac:dyDescent="0.25">
      <c r="A33" s="54" t="s">
        <v>33</v>
      </c>
      <c r="B33" s="916"/>
      <c r="C33" s="1682" t="s">
        <v>27</v>
      </c>
      <c r="D33" s="1683"/>
      <c r="E33" s="1"/>
      <c r="F33" s="1684" t="s">
        <v>307</v>
      </c>
      <c r="G33" s="1685"/>
      <c r="H33" s="2"/>
      <c r="I33" s="973" t="s">
        <v>9</v>
      </c>
      <c r="J33" s="3"/>
      <c r="K33" s="46"/>
    </row>
    <row r="34" spans="1:11" s="46" customFormat="1" ht="12" customHeight="1" x14ac:dyDescent="0.2">
      <c r="A34" s="55"/>
      <c r="B34" s="55"/>
      <c r="C34" s="55"/>
      <c r="D34" s="55"/>
      <c r="E34" s="55"/>
      <c r="F34" s="55"/>
      <c r="G34" s="55"/>
      <c r="H34" s="55"/>
      <c r="I34" s="55"/>
      <c r="J34" s="55"/>
      <c r="K34" s="48"/>
    </row>
    <row r="35" spans="1:11" s="48" customFormat="1" ht="15" customHeight="1" thickBot="1" x14ac:dyDescent="0.25">
      <c r="A35" s="56"/>
      <c r="B35" s="56"/>
      <c r="C35" s="56"/>
      <c r="D35" s="56"/>
      <c r="E35" s="56"/>
      <c r="F35" s="56"/>
      <c r="G35" s="56"/>
      <c r="H35" s="56"/>
      <c r="I35" s="56"/>
      <c r="J35" s="56"/>
    </row>
    <row r="36" spans="1:11" s="48" customFormat="1" ht="32.25" customHeight="1" thickBot="1" x14ac:dyDescent="0.25">
      <c r="A36" s="1294" t="s">
        <v>34</v>
      </c>
      <c r="B36" s="1295"/>
      <c r="C36" s="1295"/>
      <c r="D36" s="1295"/>
      <c r="E36" s="1295"/>
      <c r="F36" s="1295"/>
      <c r="G36" s="1295"/>
      <c r="H36" s="1295"/>
      <c r="I36" s="1295"/>
      <c r="J36" s="1296"/>
    </row>
    <row r="37" spans="1:11" s="48" customFormat="1" ht="3.75" customHeight="1" thickBot="1" x14ac:dyDescent="0.25">
      <c r="A37" s="55"/>
      <c r="B37" s="47"/>
      <c r="C37" s="47"/>
      <c r="D37" s="47"/>
      <c r="E37" s="47"/>
      <c r="F37" s="47"/>
      <c r="G37" s="47"/>
      <c r="H37" s="47"/>
      <c r="I37" s="47"/>
      <c r="J37" s="55"/>
    </row>
    <row r="38" spans="1:11" s="48" customFormat="1" ht="31.5" customHeight="1" thickBot="1" x14ac:dyDescent="0.25">
      <c r="A38" s="47"/>
      <c r="B38" s="1316" t="s">
        <v>35</v>
      </c>
      <c r="C38" s="1317"/>
      <c r="D38" s="1317"/>
      <c r="E38" s="1317"/>
      <c r="F38" s="1318"/>
      <c r="G38" s="47"/>
      <c r="H38" s="1319" t="s">
        <v>236</v>
      </c>
      <c r="I38" s="1320"/>
      <c r="J38" s="1321"/>
    </row>
    <row r="39" spans="1:11" s="48" customFormat="1" ht="31.5" customHeight="1" thickBot="1" x14ac:dyDescent="0.25">
      <c r="A39" s="47"/>
      <c r="B39" s="57" t="s">
        <v>31</v>
      </c>
      <c r="C39" s="203">
        <v>1</v>
      </c>
      <c r="D39" s="141">
        <v>2</v>
      </c>
      <c r="E39" s="141">
        <v>3</v>
      </c>
      <c r="F39" s="204">
        <v>4</v>
      </c>
      <c r="G39" s="47"/>
      <c r="H39" s="1322"/>
      <c r="I39" s="1323"/>
      <c r="J39" s="1324"/>
    </row>
    <row r="40" spans="1:11" s="48" customFormat="1" ht="31.5" customHeight="1" x14ac:dyDescent="0.2">
      <c r="A40" s="58"/>
      <c r="B40" s="59"/>
      <c r="C40" s="121" t="e">
        <f>+AVERAGE(C28,C31)</f>
        <v>#DIV/0!</v>
      </c>
      <c r="D40" s="122" t="e">
        <f>+AVERAGE(D28,D31)</f>
        <v>#DIV/0!</v>
      </c>
      <c r="E40" s="122" t="e">
        <f>+AVERAGE(E28,E31)</f>
        <v>#DIV/0!</v>
      </c>
      <c r="F40" s="205" t="e">
        <f>+AVERAGE(F28,F31)</f>
        <v>#DIV/0!</v>
      </c>
      <c r="G40" s="47"/>
      <c r="H40" s="1325"/>
      <c r="I40" s="1326"/>
      <c r="J40" s="1327"/>
    </row>
    <row r="41" spans="1:11" s="48" customFormat="1" ht="31.5" customHeight="1" x14ac:dyDescent="0.2">
      <c r="A41" s="58"/>
      <c r="B41" s="60"/>
      <c r="C41" s="123" t="e">
        <f>+AVERAGE(C29:C30)</f>
        <v>#DIV/0!</v>
      </c>
      <c r="D41" s="61" t="e">
        <f>+AVERAGE(D29:D30)</f>
        <v>#DIV/0!</v>
      </c>
      <c r="E41" s="61" t="e">
        <f>+AVERAGE(E29:E30)</f>
        <v>#DIV/0!</v>
      </c>
      <c r="F41" s="206" t="e">
        <f>+AVERAGE(F29:F30)</f>
        <v>#DIV/0!</v>
      </c>
      <c r="G41" s="47"/>
      <c r="H41" s="1325"/>
      <c r="I41" s="1326"/>
      <c r="J41" s="1327"/>
    </row>
    <row r="42" spans="1:11" s="48" customFormat="1" ht="31.5" customHeight="1" thickBot="1" x14ac:dyDescent="0.25">
      <c r="A42" s="58"/>
      <c r="B42" s="62"/>
      <c r="C42" s="124" t="e">
        <f>+C41-C40</f>
        <v>#DIV/0!</v>
      </c>
      <c r="D42" s="125" t="e">
        <f>+D41-D40</f>
        <v>#DIV/0!</v>
      </c>
      <c r="E42" s="125" t="e">
        <f>+E41-E40</f>
        <v>#DIV/0!</v>
      </c>
      <c r="F42" s="207" t="e">
        <f>+F41-F40</f>
        <v>#DIV/0!</v>
      </c>
      <c r="G42" s="47"/>
      <c r="H42" s="1328"/>
      <c r="I42" s="1329"/>
      <c r="J42" s="1330"/>
    </row>
    <row r="43" spans="1:11" s="48" customFormat="1" ht="31.5" customHeight="1" thickBot="1" x14ac:dyDescent="0.25">
      <c r="A43" s="47"/>
      <c r="B43" s="63" t="s">
        <v>36</v>
      </c>
      <c r="C43" s="286" t="e">
        <f>+AVERAGE(C42:F42)</f>
        <v>#DIV/0!</v>
      </c>
      <c r="D43" s="47"/>
      <c r="E43" s="47"/>
      <c r="F43" s="47"/>
      <c r="G43" s="47"/>
      <c r="H43" s="47"/>
      <c r="I43" s="47"/>
      <c r="J43" s="47"/>
    </row>
    <row r="44" spans="1:11" s="48" customFormat="1" ht="31.5" customHeight="1" thickBot="1" x14ac:dyDescent="0.25">
      <c r="A44" s="47"/>
      <c r="B44" s="64" t="s">
        <v>77</v>
      </c>
      <c r="C44" s="287" t="e">
        <f>+STDEV(C42:F42)</f>
        <v>#DIV/0!</v>
      </c>
      <c r="D44" s="47"/>
      <c r="E44" s="47"/>
      <c r="F44" s="47"/>
      <c r="G44" s="47"/>
      <c r="H44" s="47"/>
      <c r="I44" s="47"/>
      <c r="J44" s="47"/>
      <c r="K44" s="46"/>
    </row>
    <row r="45" spans="1:11" s="46" customFormat="1" ht="15" customHeight="1" thickBot="1" x14ac:dyDescent="0.25">
      <c r="A45" s="47"/>
      <c r="B45" s="47"/>
      <c r="C45" s="47"/>
      <c r="D45" s="47"/>
      <c r="E45" s="47"/>
      <c r="F45" s="47"/>
      <c r="G45" s="65"/>
      <c r="H45" s="47"/>
      <c r="I45" s="47"/>
      <c r="J45" s="47"/>
      <c r="K45" s="48"/>
    </row>
    <row r="46" spans="1:11" s="48" customFormat="1" ht="31.5" customHeight="1" thickBot="1" x14ac:dyDescent="0.25">
      <c r="A46" s="1331" t="s">
        <v>37</v>
      </c>
      <c r="B46" s="1332"/>
      <c r="C46" s="1284"/>
      <c r="D46" s="1284"/>
      <c r="E46" s="1284"/>
      <c r="F46" s="1332"/>
      <c r="G46" s="1332"/>
      <c r="H46" s="1332"/>
      <c r="I46" s="1332"/>
      <c r="J46" s="1333"/>
    </row>
    <row r="47" spans="1:11" s="48" customFormat="1" ht="31.5" customHeight="1" thickBot="1" x14ac:dyDescent="0.25">
      <c r="A47" s="1375" t="s">
        <v>321</v>
      </c>
      <c r="B47" s="1376"/>
      <c r="C47" s="1338" t="s">
        <v>38</v>
      </c>
      <c r="D47" s="1339"/>
      <c r="E47" s="1340"/>
      <c r="F47" s="47"/>
      <c r="G47" s="47"/>
      <c r="H47" s="47"/>
      <c r="I47" s="47"/>
      <c r="J47" s="47"/>
    </row>
    <row r="48" spans="1:11" s="48" customFormat="1" ht="36.75" customHeight="1" thickBot="1" x14ac:dyDescent="0.25">
      <c r="A48" s="1377"/>
      <c r="B48" s="1378"/>
      <c r="C48" s="82" t="s">
        <v>27</v>
      </c>
      <c r="D48" s="93" t="s">
        <v>307</v>
      </c>
      <c r="E48" s="83" t="s">
        <v>9</v>
      </c>
      <c r="G48" s="1341" t="s">
        <v>70</v>
      </c>
      <c r="H48" s="1342"/>
      <c r="I48" s="102" t="e">
        <f>+(0.34848*E50-0.009*D50*EXP(0.061*C50))/(273.15+C50)</f>
        <v>#DIV/0!</v>
      </c>
      <c r="J48" s="103" t="s">
        <v>73</v>
      </c>
    </row>
    <row r="49" spans="1:21" s="48" customFormat="1" ht="33" customHeight="1" thickBot="1" x14ac:dyDescent="0.25">
      <c r="A49" s="1306" t="s">
        <v>39</v>
      </c>
      <c r="B49" s="1307"/>
      <c r="C49" s="90" t="e">
        <f>+AVERAGE(E33,E24)</f>
        <v>#DIV/0!</v>
      </c>
      <c r="D49" s="91" t="e">
        <f>+AVERAGE(H33,H24)</f>
        <v>#DIV/0!</v>
      </c>
      <c r="E49" s="92" t="e">
        <f>+AVERAGE(J33,J24)</f>
        <v>#DIV/0!</v>
      </c>
      <c r="G49" s="1308" t="s">
        <v>71</v>
      </c>
      <c r="H49" s="1309"/>
      <c r="I49" s="422" t="e">
        <f>I48*((0.0001)^2+(0.001*I20/2)^2+(-0.0034*D20/2)^2+(-0.01*G20/2)^2)^0.5</f>
        <v>#DIV/0!</v>
      </c>
      <c r="J49" s="66" t="s">
        <v>73</v>
      </c>
    </row>
    <row r="50" spans="1:21" s="48" customFormat="1" ht="36.75" customHeight="1" thickBot="1" x14ac:dyDescent="0.25">
      <c r="A50" s="1343" t="s">
        <v>322</v>
      </c>
      <c r="B50" s="1344"/>
      <c r="C50" s="84" t="e">
        <f>C49+(VLOOKUP(J19,'DATOS %'!J174:W180,9,FALSE))*C49+(VLOOKUP(J19,'DATOS %'!J174:W180,10,FALSE))</f>
        <v>#DIV/0!</v>
      </c>
      <c r="D50" s="85" t="e">
        <f>D49+(VLOOKUP(J19,'DATOS %'!J174:W180,11,FALSE))*D49+(VLOOKUP(J19,'DATOS %'!J174:W180,12,FALSE))</f>
        <v>#DIV/0!</v>
      </c>
      <c r="E50" s="86" t="e">
        <f>E49+(VLOOKUP(J19,'DATOS %'!J174:W180,13,FALSE))*E49+(VLOOKUP(J19,'DATOS %'!J174:W180,14,FALSE))</f>
        <v>#DIV/0!</v>
      </c>
      <c r="G50" s="1341" t="s">
        <v>72</v>
      </c>
      <c r="H50" s="1342"/>
      <c r="I50" s="67">
        <v>1.2</v>
      </c>
      <c r="J50" s="66" t="s">
        <v>73</v>
      </c>
    </row>
    <row r="51" spans="1:21" s="46" customFormat="1" ht="15" customHeight="1" thickBot="1" x14ac:dyDescent="0.25">
      <c r="A51" s="47"/>
      <c r="B51" s="47"/>
      <c r="C51" s="47"/>
      <c r="D51" s="47"/>
      <c r="E51" s="47"/>
      <c r="F51" s="47"/>
      <c r="G51" s="47"/>
      <c r="H51" s="47"/>
      <c r="I51" s="47"/>
      <c r="J51" s="47"/>
      <c r="K51" s="48"/>
    </row>
    <row r="52" spans="1:21" s="48" customFormat="1" ht="31.5" customHeight="1" thickBot="1" x14ac:dyDescent="0.25">
      <c r="A52" s="1331" t="s">
        <v>40</v>
      </c>
      <c r="B52" s="1332"/>
      <c r="C52" s="1332"/>
      <c r="D52" s="1332"/>
      <c r="E52" s="1332"/>
      <c r="F52" s="1332"/>
      <c r="G52" s="1332"/>
      <c r="H52" s="1332"/>
      <c r="I52" s="1332"/>
      <c r="J52" s="1333"/>
    </row>
    <row r="53" spans="1:21" s="48" customFormat="1" ht="31.5" customHeight="1" x14ac:dyDescent="0.35">
      <c r="A53" s="47"/>
      <c r="B53" s="68" t="s">
        <v>41</v>
      </c>
      <c r="C53" s="69"/>
      <c r="D53" s="1345" t="s">
        <v>74</v>
      </c>
      <c r="E53" s="1345"/>
      <c r="F53" s="70" t="s">
        <v>42</v>
      </c>
      <c r="G53" s="71" t="s">
        <v>43</v>
      </c>
      <c r="H53" s="1346" t="s">
        <v>44</v>
      </c>
      <c r="I53" s="1347"/>
      <c r="J53" s="47"/>
    </row>
    <row r="54" spans="1:21" s="48" customFormat="1" ht="31.5" customHeight="1" thickBot="1" x14ac:dyDescent="0.25">
      <c r="A54" s="47"/>
      <c r="B54" s="72" t="e">
        <f>+C43</f>
        <v>#DIV/0!</v>
      </c>
      <c r="C54" s="73" t="s">
        <v>1</v>
      </c>
      <c r="D54" s="74" t="e">
        <f>+C10+C11/1000</f>
        <v>#N/A</v>
      </c>
      <c r="E54" s="73" t="s">
        <v>1</v>
      </c>
      <c r="F54" s="74" t="e">
        <f>+(I48-I50)*(1/H10-1/C13)</f>
        <v>#DIV/0!</v>
      </c>
      <c r="G54" s="75"/>
      <c r="H54" s="67" t="e">
        <f>+(B54+D54*F54)*1000</f>
        <v>#DIV/0!</v>
      </c>
      <c r="I54" s="66" t="s">
        <v>3</v>
      </c>
      <c r="J54" s="47"/>
      <c r="K54" s="46"/>
    </row>
    <row r="55" spans="1:21" s="46" customFormat="1" ht="15" customHeight="1" x14ac:dyDescent="0.2">
      <c r="A55" s="47"/>
      <c r="B55" s="47"/>
      <c r="C55" s="47"/>
      <c r="D55" s="47"/>
      <c r="E55" s="47"/>
      <c r="F55" s="47"/>
      <c r="G55" s="47"/>
      <c r="H55" s="47"/>
      <c r="I55" s="47"/>
      <c r="J55" s="47"/>
      <c r="K55" s="48"/>
    </row>
    <row r="56" spans="1:21" s="48" customFormat="1" ht="31.5" customHeight="1" x14ac:dyDescent="0.2">
      <c r="A56" s="1348" t="s">
        <v>45</v>
      </c>
      <c r="B56" s="1349"/>
      <c r="C56" s="1349"/>
      <c r="D56" s="1349"/>
      <c r="E56" s="1349"/>
      <c r="F56" s="1349"/>
      <c r="G56" s="1349"/>
      <c r="H56" s="1349"/>
      <c r="I56" s="1349"/>
      <c r="J56" s="1349"/>
      <c r="K56" s="46"/>
    </row>
    <row r="57" spans="1:21" s="46" customFormat="1" ht="15" customHeight="1" thickBot="1" x14ac:dyDescent="0.25">
      <c r="A57" s="47"/>
      <c r="B57" s="47"/>
      <c r="C57" s="47"/>
      <c r="D57" s="47"/>
      <c r="E57" s="47"/>
      <c r="K57" s="48"/>
    </row>
    <row r="58" spans="1:21" s="48" customFormat="1" ht="31.5" customHeight="1" thickBot="1" x14ac:dyDescent="0.25">
      <c r="A58" s="1350" t="s">
        <v>38</v>
      </c>
      <c r="B58" s="1351"/>
      <c r="C58" s="1352" t="s">
        <v>46</v>
      </c>
      <c r="D58" s="1353"/>
      <c r="E58" s="1354" t="s">
        <v>238</v>
      </c>
      <c r="F58" s="1379"/>
      <c r="G58" s="1061" t="s">
        <v>553</v>
      </c>
      <c r="J58" s="114"/>
      <c r="L58" s="46"/>
      <c r="Q58" s="47"/>
      <c r="R58" s="47"/>
      <c r="S58" s="47"/>
      <c r="T58" s="47"/>
      <c r="U58" s="47"/>
    </row>
    <row r="59" spans="1:21" s="48" customFormat="1" ht="57.95" customHeight="1" thickBot="1" x14ac:dyDescent="0.25">
      <c r="A59" s="1024" t="s">
        <v>47</v>
      </c>
      <c r="B59" s="1025"/>
      <c r="C59" s="1026" t="e">
        <f>+C44/B26^0.5*1000</f>
        <v>#DIV/0!</v>
      </c>
      <c r="D59" s="1017" t="s">
        <v>3</v>
      </c>
      <c r="E59" s="1027" t="s">
        <v>240</v>
      </c>
      <c r="F59" s="139">
        <f>$B$26-1</f>
        <v>3</v>
      </c>
      <c r="G59" s="1111" t="e">
        <f>(C59/$G$70)^2</f>
        <v>#DIV/0!</v>
      </c>
      <c r="H59" s="47"/>
      <c r="K59" s="156">
        <v>0.3</v>
      </c>
      <c r="L59" s="157">
        <v>1.65</v>
      </c>
      <c r="M59" s="113"/>
    </row>
    <row r="60" spans="1:21" s="48" customFormat="1" ht="57.95" customHeight="1" thickBot="1" x14ac:dyDescent="0.25">
      <c r="A60" s="1019" t="s">
        <v>343</v>
      </c>
      <c r="B60" s="1020" t="s">
        <v>48</v>
      </c>
      <c r="C60" s="1021" t="e">
        <f>+C12/2</f>
        <v>#N/A</v>
      </c>
      <c r="D60" s="1022" t="s">
        <v>3</v>
      </c>
      <c r="E60" s="1023" t="s">
        <v>239</v>
      </c>
      <c r="F60" s="146" t="s">
        <v>265</v>
      </c>
      <c r="G60" s="1112"/>
      <c r="H60" s="1380" t="s">
        <v>241</v>
      </c>
      <c r="I60" s="1356"/>
      <c r="J60" s="1356"/>
      <c r="K60" s="1356"/>
      <c r="L60" s="1356"/>
      <c r="M60" s="1357"/>
    </row>
    <row r="61" spans="1:21" s="48" customFormat="1" ht="57.95" customHeight="1" thickBot="1" x14ac:dyDescent="0.25">
      <c r="A61" s="1028" t="s">
        <v>344</v>
      </c>
      <c r="B61" s="1029"/>
      <c r="C61" s="1030" t="e">
        <f>+C12/3^0.5</f>
        <v>#N/A</v>
      </c>
      <c r="D61" s="1031" t="s">
        <v>3</v>
      </c>
      <c r="E61" s="1032" t="s">
        <v>239</v>
      </c>
      <c r="F61" s="147" t="s">
        <v>265</v>
      </c>
      <c r="G61" s="1112"/>
      <c r="H61" s="132" t="s">
        <v>243</v>
      </c>
      <c r="I61" s="1015" t="e">
        <f>MAX(C59:C62,C66:C67,C68)</f>
        <v>#DIV/0!</v>
      </c>
      <c r="J61" s="151" t="e">
        <f>IF((I62)&lt;=(K59),"1,65","2")</f>
        <v>#DIV/0!</v>
      </c>
      <c r="K61" s="152" t="s">
        <v>242</v>
      </c>
      <c r="L61" s="153" t="s">
        <v>237</v>
      </c>
      <c r="M61" s="360" t="s">
        <v>328</v>
      </c>
    </row>
    <row r="62" spans="1:21" s="48" customFormat="1" ht="57.95" customHeight="1" thickBot="1" x14ac:dyDescent="0.3">
      <c r="A62" s="1024" t="s">
        <v>49</v>
      </c>
      <c r="B62" s="1035"/>
      <c r="C62" s="1036" t="e">
        <f>+SQRT(SUMSQ(C60:C61))</f>
        <v>#N/A</v>
      </c>
      <c r="D62" s="1017" t="s">
        <v>3</v>
      </c>
      <c r="E62" s="1037" t="s">
        <v>240</v>
      </c>
      <c r="F62" s="139">
        <v>200</v>
      </c>
      <c r="G62" s="1112" t="e">
        <f t="shared" ref="G62:G68" si="0">(C62/$G$70)^2</f>
        <v>#N/A</v>
      </c>
      <c r="H62" s="133" t="s">
        <v>244</v>
      </c>
      <c r="I62" s="150" t="e">
        <f>SQRT((C59)^2+(C66)^2+(C67)^2)/I61</f>
        <v>#DIV/0!</v>
      </c>
      <c r="J62" s="126"/>
      <c r="K62" s="154" t="s">
        <v>242</v>
      </c>
      <c r="L62" s="155" t="s">
        <v>252</v>
      </c>
      <c r="M62" s="361" t="s">
        <v>329</v>
      </c>
    </row>
    <row r="63" spans="1:21" s="48" customFormat="1" ht="57.95" customHeight="1" x14ac:dyDescent="0.2">
      <c r="A63" s="1019" t="s">
        <v>345</v>
      </c>
      <c r="B63" s="1020"/>
      <c r="C63" s="1033" t="e">
        <f>+I49</f>
        <v>#DIV/0!</v>
      </c>
      <c r="D63" s="1021" t="s">
        <v>73</v>
      </c>
      <c r="E63" s="1034" t="s">
        <v>239</v>
      </c>
      <c r="F63" s="146" t="s">
        <v>265</v>
      </c>
      <c r="G63" s="1112"/>
      <c r="L63" s="46"/>
      <c r="T63" s="46"/>
      <c r="U63" s="46"/>
    </row>
    <row r="64" spans="1:21" s="48" customFormat="1" ht="57.95" customHeight="1" x14ac:dyDescent="0.2">
      <c r="A64" s="426" t="s">
        <v>50</v>
      </c>
      <c r="B64" s="1018"/>
      <c r="C64" s="425" t="e">
        <f>+H11/2</f>
        <v>#N/A</v>
      </c>
      <c r="D64" s="424" t="s">
        <v>73</v>
      </c>
      <c r="E64" s="423" t="s">
        <v>239</v>
      </c>
      <c r="F64" s="148" t="s">
        <v>265</v>
      </c>
      <c r="G64" s="1112"/>
      <c r="H64" s="130"/>
      <c r="J64" s="130"/>
      <c r="K64" s="130"/>
      <c r="L64" s="130"/>
      <c r="M64" s="130"/>
      <c r="Q64" s="47"/>
      <c r="R64" s="47"/>
      <c r="S64" s="47"/>
      <c r="T64" s="47"/>
      <c r="U64" s="47"/>
    </row>
    <row r="65" spans="1:21" s="48" customFormat="1" ht="57.95" customHeight="1" thickBot="1" x14ac:dyDescent="0.25">
      <c r="A65" s="1028" t="s">
        <v>346</v>
      </c>
      <c r="B65" s="1038"/>
      <c r="C65" s="1039" t="e">
        <f>+C14/2</f>
        <v>#N/A</v>
      </c>
      <c r="D65" s="1031" t="s">
        <v>73</v>
      </c>
      <c r="E65" s="1040" t="s">
        <v>239</v>
      </c>
      <c r="F65" s="147" t="s">
        <v>265</v>
      </c>
      <c r="G65" s="1112"/>
      <c r="H65" s="130"/>
      <c r="I65" s="130"/>
      <c r="J65" s="130"/>
      <c r="K65" s="130"/>
      <c r="L65" s="130"/>
      <c r="M65" s="130"/>
      <c r="Q65" s="46"/>
      <c r="R65" s="46"/>
      <c r="S65" s="46"/>
      <c r="T65" s="46"/>
      <c r="U65" s="46"/>
    </row>
    <row r="66" spans="1:21" s="48" customFormat="1" ht="57.95" customHeight="1" thickBot="1" x14ac:dyDescent="0.3">
      <c r="A66" s="1024" t="s">
        <v>347</v>
      </c>
      <c r="B66" s="1035"/>
      <c r="C66" s="1036" t="e">
        <f>+SQRT(ABS(((C10/1000+C11/1000000)*(C13-H10)/(C13*H10)*C63)^2+((C10/1000+C11/1000000)*(I48-I50))^2*C64^2/H10^4+(C10/1000+C11/1000000)^2*(I48-I50)*((I48-I50)-2*(C15-I50))*C65^2/C13^4))*1000000</f>
        <v>#N/A</v>
      </c>
      <c r="D66" s="1051" t="s">
        <v>3</v>
      </c>
      <c r="E66" s="1037" t="s">
        <v>240</v>
      </c>
      <c r="F66" s="139">
        <v>200</v>
      </c>
      <c r="G66" s="1112" t="e">
        <f t="shared" si="0"/>
        <v>#N/A</v>
      </c>
      <c r="H66" s="130"/>
      <c r="I66" s="1093" t="s">
        <v>554</v>
      </c>
      <c r="J66" s="1095" t="s">
        <v>556</v>
      </c>
      <c r="K66" s="1094" t="s">
        <v>555</v>
      </c>
      <c r="L66" s="130"/>
      <c r="M66" s="130"/>
      <c r="Q66" s="47"/>
      <c r="R66" s="47"/>
      <c r="S66" s="47"/>
      <c r="T66" s="47"/>
      <c r="U66" s="47"/>
    </row>
    <row r="67" spans="1:21" s="48" customFormat="1" ht="57.95" customHeight="1" thickBot="1" x14ac:dyDescent="0.3">
      <c r="A67" s="1047" t="s">
        <v>52</v>
      </c>
      <c r="B67" s="1048"/>
      <c r="C67" s="1049" t="e">
        <f>+(G15/2/3^0.5)*2^0.5*1000</f>
        <v>#N/A</v>
      </c>
      <c r="D67" s="1044" t="s">
        <v>3</v>
      </c>
      <c r="E67" s="1045" t="s">
        <v>239</v>
      </c>
      <c r="F67" s="1050">
        <v>200</v>
      </c>
      <c r="G67" s="1112" t="e">
        <f t="shared" si="0"/>
        <v>#N/A</v>
      </c>
      <c r="H67" s="130"/>
      <c r="I67" s="1096" t="e">
        <f>G70^4/((C59^4/F59)+(C62^4/F62)+(C66^4/F66)+(C67^4/F67)+(C68^4/F68))</f>
        <v>#DIV/0!</v>
      </c>
      <c r="J67" s="1097" t="e">
        <f>TINV(0.05,I67)</f>
        <v>#DIV/0!</v>
      </c>
      <c r="K67" s="1098" t="e">
        <f>1-TDIST(J67,I67,2)</f>
        <v>#DIV/0!</v>
      </c>
      <c r="L67" s="130"/>
      <c r="M67" s="130"/>
    </row>
    <row r="68" spans="1:21" s="46" customFormat="1" ht="65.25" customHeight="1" thickBot="1" x14ac:dyDescent="0.3">
      <c r="A68" s="1041" t="s">
        <v>551</v>
      </c>
      <c r="B68" s="1042"/>
      <c r="C68" s="1043">
        <f>0.01/SQRT(45)</f>
        <v>1.4907119849998597E-3</v>
      </c>
      <c r="D68" s="1044" t="s">
        <v>3</v>
      </c>
      <c r="E68" s="1045" t="s">
        <v>240</v>
      </c>
      <c r="F68" s="1046">
        <v>50</v>
      </c>
      <c r="G68" s="1113" t="e">
        <f t="shared" si="0"/>
        <v>#DIV/0!</v>
      </c>
      <c r="H68" s="130"/>
      <c r="I68" s="130"/>
      <c r="J68" s="130"/>
      <c r="K68" s="130"/>
      <c r="L68" s="130"/>
      <c r="M68" s="130"/>
      <c r="S68" s="48"/>
      <c r="T68" s="48"/>
      <c r="U68" s="48"/>
    </row>
    <row r="69" spans="1:21" s="46" customFormat="1" ht="65.25" customHeight="1" thickBot="1" x14ac:dyDescent="0.25">
      <c r="A69" s="130"/>
      <c r="B69" s="130"/>
      <c r="C69" s="130"/>
      <c r="D69" s="130"/>
      <c r="E69" s="130"/>
      <c r="F69" s="130"/>
      <c r="G69" s="1114" t="e">
        <f>SUM(G59,G62,G66,G67,G68)</f>
        <v>#DIV/0!</v>
      </c>
      <c r="H69" s="130"/>
      <c r="I69" s="130"/>
      <c r="J69" s="130"/>
      <c r="K69" s="130"/>
      <c r="L69" s="130"/>
      <c r="M69" s="130"/>
      <c r="S69" s="48"/>
      <c r="T69" s="48"/>
      <c r="U69" s="48"/>
    </row>
    <row r="70" spans="1:21" s="106" customFormat="1" ht="51.75" customHeight="1" thickBot="1" x14ac:dyDescent="0.3">
      <c r="D70" s="1306" t="s">
        <v>51</v>
      </c>
      <c r="E70" s="1307"/>
      <c r="F70" s="134"/>
      <c r="G70" s="140" t="e">
        <f>+SQRT(SUMSQ(C59,C62,C66,C67,C68))</f>
        <v>#DIV/0!</v>
      </c>
      <c r="H70" s="136" t="s">
        <v>3</v>
      </c>
      <c r="K70" s="130"/>
      <c r="L70" s="130"/>
      <c r="M70" s="130"/>
      <c r="S70" s="48"/>
      <c r="T70" s="48"/>
      <c r="U70" s="48"/>
    </row>
    <row r="71" spans="1:21" s="106" customFormat="1" ht="35.1" customHeight="1" thickBot="1" x14ac:dyDescent="0.25">
      <c r="D71" s="1306" t="s">
        <v>53</v>
      </c>
      <c r="E71" s="1307"/>
      <c r="F71" s="135"/>
      <c r="G71" s="140" t="e">
        <f>+G70*2</f>
        <v>#DIV/0!</v>
      </c>
      <c r="H71" s="137" t="s">
        <v>3</v>
      </c>
      <c r="K71" s="110"/>
      <c r="L71" s="107"/>
      <c r="O71" s="48"/>
      <c r="P71" s="48"/>
      <c r="Q71" s="48"/>
      <c r="R71" s="48"/>
      <c r="S71" s="48"/>
      <c r="T71" s="48"/>
      <c r="U71" s="48"/>
    </row>
    <row r="72" spans="1:21" s="106" customFormat="1" ht="33.75" customHeight="1" thickBot="1" x14ac:dyDescent="4.45">
      <c r="B72" s="1313" t="s">
        <v>54</v>
      </c>
      <c r="C72" s="1314"/>
      <c r="D72" s="1314"/>
      <c r="E72" s="1314"/>
      <c r="F72" s="1314"/>
      <c r="G72" s="1314"/>
      <c r="H72" s="1314"/>
      <c r="I72" s="1314"/>
      <c r="J72" s="1314"/>
      <c r="K72" s="1315"/>
      <c r="L72" s="117"/>
      <c r="O72" s="48"/>
      <c r="P72" s="48"/>
      <c r="Q72" s="48"/>
      <c r="R72" s="48"/>
      <c r="S72" s="48"/>
      <c r="T72" s="48"/>
      <c r="U72" s="48"/>
    </row>
    <row r="73" spans="1:21" s="106" customFormat="1" ht="35.1" customHeight="1" thickBot="1" x14ac:dyDescent="0.25">
      <c r="B73" s="1368" t="s">
        <v>255</v>
      </c>
      <c r="C73" s="1369"/>
      <c r="D73" s="1369"/>
      <c r="E73" s="1370"/>
      <c r="F73" s="79"/>
      <c r="G73" s="80"/>
      <c r="H73" s="1371"/>
      <c r="I73" s="1372"/>
      <c r="J73" s="1372"/>
      <c r="K73" s="1373"/>
      <c r="O73" s="48"/>
      <c r="P73" s="48"/>
      <c r="Q73" s="48"/>
      <c r="R73" s="48"/>
      <c r="S73" s="48"/>
      <c r="T73" s="48"/>
      <c r="U73" s="48"/>
    </row>
    <row r="74" spans="1:21" s="106" customFormat="1" ht="40.5" customHeight="1" x14ac:dyDescent="0.2">
      <c r="B74" s="118"/>
      <c r="C74" s="362" t="s">
        <v>348</v>
      </c>
      <c r="D74" s="119" t="s">
        <v>253</v>
      </c>
      <c r="E74" s="120"/>
      <c r="F74" s="1358"/>
      <c r="G74" s="1358"/>
      <c r="H74" s="1359" t="s">
        <v>266</v>
      </c>
      <c r="I74" s="1381" t="s">
        <v>254</v>
      </c>
      <c r="J74" s="1381"/>
      <c r="K74" s="1382"/>
      <c r="O74" s="48"/>
      <c r="P74" s="48"/>
      <c r="Q74" s="48"/>
      <c r="R74" s="48"/>
      <c r="S74" s="48"/>
      <c r="T74" s="48"/>
      <c r="U74" s="48"/>
    </row>
    <row r="75" spans="1:21" s="106" customFormat="1" ht="35.1" customHeight="1" x14ac:dyDescent="0.2">
      <c r="B75" s="81" t="e">
        <f>C10</f>
        <v>#N/A</v>
      </c>
      <c r="C75" s="77" t="e">
        <f>C11</f>
        <v>#N/A</v>
      </c>
      <c r="D75" s="78" t="e">
        <f>H54</f>
        <v>#DIV/0!</v>
      </c>
      <c r="E75" s="216" t="e">
        <f>B75+(C75/1000)+(D75/1000)</f>
        <v>#N/A</v>
      </c>
      <c r="F75" s="264" t="e">
        <f>E75*1000-B75*1000</f>
        <v>#N/A</v>
      </c>
      <c r="G75" s="61"/>
      <c r="H75" s="1360"/>
      <c r="I75" s="1055" t="e">
        <f>G71</f>
        <v>#DIV/0!</v>
      </c>
      <c r="J75" s="1364"/>
      <c r="K75" s="1365"/>
      <c r="O75" s="48"/>
      <c r="P75" s="48"/>
      <c r="Q75" s="48"/>
      <c r="R75" s="48"/>
      <c r="S75" s="48"/>
      <c r="T75" s="48"/>
      <c r="U75" s="48"/>
    </row>
    <row r="76" spans="1:21" s="106" customFormat="1" ht="35.1" customHeight="1" thickBot="1" x14ac:dyDescent="0.25">
      <c r="B76" s="87" t="e">
        <f>B75</f>
        <v>#N/A</v>
      </c>
      <c r="C76" s="88" t="e">
        <f>C75</f>
        <v>#N/A</v>
      </c>
      <c r="D76" s="88" t="e">
        <f>D75</f>
        <v>#DIV/0!</v>
      </c>
      <c r="E76" s="217" t="e">
        <f>B76+(C76/1000)+(D76/1000)</f>
        <v>#N/A</v>
      </c>
      <c r="F76" s="227" t="e">
        <f>F75/1000</f>
        <v>#N/A</v>
      </c>
      <c r="G76" s="89"/>
      <c r="H76" s="1361"/>
      <c r="I76" s="226" t="e">
        <f>I75/1000</f>
        <v>#DIV/0!</v>
      </c>
      <c r="J76" s="1366"/>
      <c r="K76" s="1367"/>
      <c r="O76" s="48"/>
      <c r="P76" s="48"/>
      <c r="Q76" s="48"/>
      <c r="R76" s="48"/>
      <c r="S76" s="48"/>
      <c r="T76" s="48"/>
      <c r="U76" s="48"/>
    </row>
    <row r="77" spans="1:21" s="106" customFormat="1" ht="35.1" customHeight="1" x14ac:dyDescent="0.2">
      <c r="G77" s="47"/>
      <c r="H77" s="47"/>
      <c r="I77" s="47"/>
      <c r="J77" s="47"/>
      <c r="O77" s="48"/>
      <c r="P77" s="48"/>
      <c r="Q77" s="48"/>
      <c r="R77" s="48"/>
      <c r="S77" s="48"/>
      <c r="T77" s="48"/>
      <c r="U77" s="48"/>
    </row>
    <row r="78" spans="1:21" s="106" customFormat="1" ht="35.1" customHeight="1" x14ac:dyDescent="0.2">
      <c r="G78" s="47"/>
      <c r="H78" s="47"/>
      <c r="I78" s="47"/>
      <c r="J78" s="47"/>
      <c r="O78" s="48"/>
      <c r="P78" s="48"/>
      <c r="Q78" s="48"/>
      <c r="R78" s="48"/>
      <c r="S78" s="48"/>
      <c r="T78" s="48"/>
      <c r="U78" s="48"/>
    </row>
    <row r="79" spans="1:21" s="106" customFormat="1" ht="35.1" customHeight="1" x14ac:dyDescent="0.2">
      <c r="G79" s="47"/>
      <c r="H79" s="47"/>
      <c r="I79" s="47"/>
      <c r="J79" s="47"/>
    </row>
    <row r="80" spans="1:21" s="107" customFormat="1" ht="35.1" customHeight="1" x14ac:dyDescent="0.2">
      <c r="A80" s="109"/>
      <c r="B80" s="106"/>
      <c r="C80" s="106"/>
      <c r="D80" s="106"/>
      <c r="E80" s="106"/>
      <c r="F80" s="106"/>
      <c r="G80" s="47"/>
      <c r="H80" s="47"/>
    </row>
    <row r="81" spans="2:11" s="111" customFormat="1" ht="35.1" customHeight="1" x14ac:dyDescent="0.2">
      <c r="B81" s="106"/>
      <c r="C81" s="106"/>
      <c r="D81" s="106"/>
      <c r="E81" s="106"/>
      <c r="F81" s="106"/>
      <c r="G81" s="47"/>
      <c r="H81" s="47"/>
    </row>
    <row r="82" spans="2:11" s="106" customFormat="1" ht="61.5" customHeight="1" x14ac:dyDescent="0.2">
      <c r="H82" s="111"/>
      <c r="I82" s="111"/>
      <c r="J82" s="111"/>
      <c r="K82" s="108"/>
    </row>
    <row r="83" spans="2:11" s="106" customFormat="1" ht="35.1" customHeight="1" x14ac:dyDescent="0.2">
      <c r="G83" s="111"/>
      <c r="H83" s="111"/>
      <c r="I83" s="111"/>
      <c r="J83" s="111"/>
      <c r="K83" s="108"/>
    </row>
    <row r="84" spans="2:11" s="106" customFormat="1" ht="35.1" customHeight="1" x14ac:dyDescent="0.2">
      <c r="G84" s="111"/>
      <c r="H84" s="111"/>
      <c r="I84" s="111"/>
      <c r="J84" s="111"/>
      <c r="K84" s="108"/>
    </row>
    <row r="85" spans="2:11" s="106" customFormat="1" ht="35.1" customHeight="1" x14ac:dyDescent="0.2">
      <c r="F85" s="107"/>
      <c r="K85" s="108"/>
    </row>
    <row r="86" spans="2:11" s="106" customFormat="1" ht="50.1" customHeight="1" x14ac:dyDescent="0.2"/>
    <row r="87" spans="2:11" s="106" customFormat="1" ht="57.75" customHeight="1" x14ac:dyDescent="0.2">
      <c r="C87" s="112"/>
      <c r="D87" s="112"/>
      <c r="E87" s="112"/>
    </row>
    <row r="88" spans="2:11" s="106" customFormat="1" ht="35.1" customHeight="1" x14ac:dyDescent="0.2"/>
    <row r="89" spans="2:11" s="106" customFormat="1" ht="35.1" customHeight="1" x14ac:dyDescent="0.2">
      <c r="F89" s="108"/>
      <c r="G89" s="108"/>
      <c r="H89" s="108"/>
      <c r="I89" s="108"/>
      <c r="J89" s="108"/>
    </row>
    <row r="90" spans="2:11" s="106" customFormat="1" ht="35.1" customHeight="1" x14ac:dyDescent="0.2"/>
    <row r="91" spans="2:11" s="106" customFormat="1" ht="50.1" customHeight="1" x14ac:dyDescent="0.2">
      <c r="J91" s="47"/>
    </row>
    <row r="92" spans="2:11" s="106" customFormat="1" ht="55.5" customHeight="1" x14ac:dyDescent="0.2">
      <c r="J92" s="111"/>
    </row>
    <row r="93" spans="2:11" s="106" customFormat="1" ht="50.1" customHeight="1" x14ac:dyDescent="0.2">
      <c r="J93" s="111"/>
    </row>
    <row r="94" spans="2:11" s="107" customFormat="1" ht="31.5" customHeight="1" x14ac:dyDescent="0.2">
      <c r="J94" s="111"/>
    </row>
    <row r="95" spans="2:11" s="106" customFormat="1" ht="35.1" customHeight="1" x14ac:dyDescent="0.2">
      <c r="G95" s="111"/>
      <c r="H95" s="111"/>
      <c r="I95" s="111"/>
      <c r="J95" s="111"/>
    </row>
    <row r="96" spans="2:11" s="106" customFormat="1" ht="35.1" customHeight="1" x14ac:dyDescent="0.2">
      <c r="G96" s="111"/>
      <c r="H96" s="111"/>
      <c r="I96" s="111"/>
      <c r="J96" s="111"/>
    </row>
    <row r="97" spans="1:12" s="106" customFormat="1" ht="9.9499999999999993" customHeight="1" x14ac:dyDescent="0.2">
      <c r="G97" s="108"/>
      <c r="H97" s="108"/>
      <c r="I97" s="108"/>
      <c r="J97" s="108"/>
    </row>
    <row r="98" spans="1:12" s="106" customFormat="1" ht="35.1" customHeight="1" x14ac:dyDescent="0.2">
      <c r="J98" s="108"/>
      <c r="K98" s="108"/>
      <c r="L98" s="108"/>
    </row>
    <row r="99" spans="1:12" s="46" customFormat="1" ht="15" customHeight="1" x14ac:dyDescent="0.2">
      <c r="A99" s="47"/>
      <c r="G99" s="47"/>
      <c r="H99" s="47"/>
      <c r="I99" s="47"/>
      <c r="J99" s="47"/>
      <c r="K99" s="48"/>
    </row>
    <row r="100" spans="1:12" s="48" customFormat="1" ht="31.5" customHeight="1" x14ac:dyDescent="0.2">
      <c r="A100" s="47"/>
      <c r="B100" s="47"/>
      <c r="C100" s="47"/>
      <c r="D100" s="47"/>
      <c r="E100" s="47"/>
      <c r="F100" s="47"/>
      <c r="G100" s="47"/>
      <c r="H100" s="47"/>
      <c r="I100" s="47"/>
      <c r="J100" s="47"/>
    </row>
    <row r="101" spans="1:12" s="48" customFormat="1" ht="31.5" customHeight="1" x14ac:dyDescent="0.2"/>
    <row r="102" spans="1:12" s="48" customFormat="1" ht="31.5" customHeight="1" x14ac:dyDescent="0.2"/>
    <row r="103" spans="1:12" s="48" customFormat="1" ht="52.5" customHeight="1" x14ac:dyDescent="0.2"/>
    <row r="104" spans="1:12" s="48" customFormat="1" ht="31.5" customHeight="1" x14ac:dyDescent="0.2">
      <c r="K104" s="8"/>
    </row>
    <row r="105" spans="1:12" s="48" customFormat="1" ht="31.5" customHeight="1" x14ac:dyDescent="0.2">
      <c r="K105" s="8"/>
    </row>
    <row r="106" spans="1:12" ht="31.5" customHeight="1" x14ac:dyDescent="0.2">
      <c r="G106" s="76"/>
    </row>
    <row r="107" spans="1:12" ht="51" customHeight="1" x14ac:dyDescent="0.2"/>
    <row r="109" spans="1:12" ht="31.5" customHeight="1" x14ac:dyDescent="0.2">
      <c r="B109" s="29"/>
      <c r="C109" s="29"/>
      <c r="D109" s="29"/>
      <c r="E109" s="29"/>
      <c r="F109" s="29"/>
      <c r="G109" s="29"/>
      <c r="H109" s="29"/>
      <c r="I109" s="29"/>
      <c r="J109" s="29"/>
    </row>
    <row r="110" spans="1:12" ht="31.5" customHeight="1" x14ac:dyDescent="0.2">
      <c r="B110" s="29"/>
      <c r="C110" s="29"/>
      <c r="D110" s="29"/>
      <c r="E110" s="29"/>
      <c r="F110" s="29"/>
      <c r="G110" s="29"/>
      <c r="H110" s="29"/>
      <c r="I110" s="29"/>
      <c r="J110" s="29"/>
    </row>
    <row r="111" spans="1:12" ht="31.5" customHeight="1" x14ac:dyDescent="0.2">
      <c r="B111" s="29"/>
      <c r="C111" s="29"/>
      <c r="D111" s="29"/>
      <c r="E111" s="29"/>
      <c r="F111" s="29"/>
      <c r="G111" s="29"/>
      <c r="H111" s="29"/>
      <c r="I111" s="29"/>
      <c r="J111" s="29"/>
    </row>
    <row r="112" spans="1:12" ht="31.5" customHeight="1" x14ac:dyDescent="0.2">
      <c r="B112" s="29"/>
      <c r="C112" s="29"/>
      <c r="D112" s="29"/>
      <c r="E112" s="29"/>
      <c r="F112" s="29"/>
      <c r="G112" s="29"/>
      <c r="H112" s="29"/>
      <c r="I112" s="29"/>
      <c r="J112" s="29"/>
    </row>
    <row r="113" spans="2:10" ht="31.5" customHeight="1" x14ac:dyDescent="0.2">
      <c r="B113" s="29"/>
      <c r="C113" s="29"/>
      <c r="D113" s="29"/>
      <c r="E113" s="29"/>
      <c r="F113" s="29"/>
      <c r="G113" s="29"/>
      <c r="H113" s="29"/>
      <c r="I113" s="29"/>
      <c r="J113" s="29"/>
    </row>
    <row r="114" spans="2:10" ht="31.5" customHeight="1" x14ac:dyDescent="0.2">
      <c r="B114" s="29"/>
      <c r="C114" s="29"/>
      <c r="D114" s="29"/>
      <c r="E114" s="29"/>
      <c r="F114" s="29"/>
      <c r="G114" s="29"/>
      <c r="H114" s="29"/>
      <c r="I114" s="29"/>
      <c r="J114" s="29"/>
    </row>
    <row r="115" spans="2:10" ht="31.5" customHeight="1" x14ac:dyDescent="0.2">
      <c r="B115" s="29"/>
      <c r="C115" s="29"/>
      <c r="D115" s="29"/>
      <c r="E115" s="29"/>
      <c r="F115" s="29"/>
      <c r="G115" s="29"/>
      <c r="H115" s="29"/>
      <c r="I115" s="29"/>
      <c r="J115" s="29"/>
    </row>
  </sheetData>
  <sheetProtection password="CF5C" sheet="1" objects="1" scenarios="1"/>
  <mergeCells count="62">
    <mergeCell ref="D70:E70"/>
    <mergeCell ref="D71:E71"/>
    <mergeCell ref="B72:K72"/>
    <mergeCell ref="B73:E73"/>
    <mergeCell ref="H73:K73"/>
    <mergeCell ref="F74:G74"/>
    <mergeCell ref="H74:H76"/>
    <mergeCell ref="I74:K74"/>
    <mergeCell ref="J75:K75"/>
    <mergeCell ref="J76:K76"/>
    <mergeCell ref="A56:J56"/>
    <mergeCell ref="A58:B58"/>
    <mergeCell ref="C58:D58"/>
    <mergeCell ref="E58:F58"/>
    <mergeCell ref="H60:M60"/>
    <mergeCell ref="A50:B50"/>
    <mergeCell ref="G50:H50"/>
    <mergeCell ref="A52:J52"/>
    <mergeCell ref="D53:E53"/>
    <mergeCell ref="H53:I53"/>
    <mergeCell ref="A49:B49"/>
    <mergeCell ref="G49:H49"/>
    <mergeCell ref="A28:A31"/>
    <mergeCell ref="C33:D33"/>
    <mergeCell ref="F33:G33"/>
    <mergeCell ref="A36:J36"/>
    <mergeCell ref="B38:F38"/>
    <mergeCell ref="H38:J38"/>
    <mergeCell ref="H39:J42"/>
    <mergeCell ref="A46:J46"/>
    <mergeCell ref="A47:B48"/>
    <mergeCell ref="C47:E47"/>
    <mergeCell ref="G48:H48"/>
    <mergeCell ref="A27:B27"/>
    <mergeCell ref="G27:H27"/>
    <mergeCell ref="A14:B14"/>
    <mergeCell ref="A15:B15"/>
    <mergeCell ref="A16:B16"/>
    <mergeCell ref="C16:D16"/>
    <mergeCell ref="A18:J18"/>
    <mergeCell ref="F19:G19"/>
    <mergeCell ref="J19:J20"/>
    <mergeCell ref="A20:B20"/>
    <mergeCell ref="E20:F20"/>
    <mergeCell ref="A22:J22"/>
    <mergeCell ref="C24:D24"/>
    <mergeCell ref="F24:G24"/>
    <mergeCell ref="C26:F26"/>
    <mergeCell ref="G26:H26"/>
    <mergeCell ref="A13:B13"/>
    <mergeCell ref="F13:I13"/>
    <mergeCell ref="A1:B1"/>
    <mergeCell ref="C1:M1"/>
    <mergeCell ref="I3:J4"/>
    <mergeCell ref="A6:D6"/>
    <mergeCell ref="F6:I6"/>
    <mergeCell ref="F9:G9"/>
    <mergeCell ref="A10:B10"/>
    <mergeCell ref="F10:G10"/>
    <mergeCell ref="A11:B11"/>
    <mergeCell ref="F11:G11"/>
    <mergeCell ref="A12:B12"/>
  </mergeCells>
  <printOptions horizontalCentered="1"/>
  <pageMargins left="0.70866141732283472" right="0.70866141732283472" top="0.74803149606299213" bottom="0.74803149606299213" header="0.31496062992125984" footer="0.31496062992125984"/>
  <pageSetup scale="13" orientation="portrait" r:id="rId1"/>
  <headerFooter>
    <oddHeader xml:space="preserve">&amp;C
&amp;16   
</oddHeader>
    <oddFooter xml:space="preserve">&amp;RRT03-F13 Vr.14 (2021-05-21)
</oddFooter>
  </headerFooter>
  <rowBreaks count="1" manualBreakCount="1">
    <brk id="34" max="12" man="1"/>
  </rowBreaks>
  <drawing r:id="rId2"/>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1300-000000000000}">
          <x14:formula1>
            <xm:f>'DATOS %'!$V$161:$V$165</xm:f>
          </x14:formula1>
          <xm:sqref>H25</xm:sqref>
        </x14:dataValidation>
        <x14:dataValidation type="list" allowBlank="1" showInputMessage="1" showErrorMessage="1" xr:uid="{00000000-0002-0000-1300-000001000000}">
          <x14:formula1>
            <xm:f>'DATOS %'!$V$120:$V$126</xm:f>
          </x14:formula1>
          <xm:sqref>J13</xm:sqref>
        </x14:dataValidation>
        <x14:dataValidation type="list" allowBlank="1" showInputMessage="1" showErrorMessage="1" xr:uid="{00000000-0002-0000-1300-000002000000}">
          <x14:formula1>
            <xm:f>'DATOS %'!$N$29:$N$113</xm:f>
          </x14:formula1>
          <xm:sqref>E6</xm:sqref>
        </x14:dataValidation>
        <x14:dataValidation type="list" allowBlank="1" showInputMessage="1" showErrorMessage="1" xr:uid="{00000000-0002-0000-1300-000003000000}">
          <x14:formula1>
            <xm:f>'DATOS %'!$N$121:$N$166</xm:f>
          </x14:formula1>
          <xm:sqref>F48</xm:sqref>
        </x14:dataValidation>
        <x14:dataValidation type="list" allowBlank="1" showInputMessage="1" showErrorMessage="1" xr:uid="{00000000-0002-0000-1300-000004000000}">
          <x14:formula1>
            <xm:f>'DATOS %'!$J$174:$J$179</xm:f>
          </x14:formula1>
          <xm:sqref>J19:J20</xm:sqref>
        </x14:dataValidation>
        <x14:dataValidation type="list" allowBlank="1" showInputMessage="1" showErrorMessage="1" xr:uid="{00000000-0002-0000-1300-000005000000}">
          <x14:formula1>
            <xm:f>'DATOS %'!$B$7:$B$40</xm:f>
          </x14:formula1>
          <xm:sqref>I3:J4</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sheetPr>
  <dimension ref="A1:U115"/>
  <sheetViews>
    <sheetView showGridLines="0" view="pageBreakPreview" topLeftCell="A16" zoomScale="80" zoomScaleNormal="60" zoomScaleSheetLayoutView="80" workbookViewId="0">
      <selection activeCell="C65" sqref="C65"/>
    </sheetView>
  </sheetViews>
  <sheetFormatPr baseColWidth="10" defaultColWidth="11.42578125" defaultRowHeight="31.5" customHeight="1" x14ac:dyDescent="0.2"/>
  <cols>
    <col min="1" max="1" width="14.7109375" style="37" customWidth="1"/>
    <col min="2" max="2" width="12" style="37" customWidth="1"/>
    <col min="3" max="3" width="15.7109375" style="37" customWidth="1"/>
    <col min="4" max="4" width="17" style="37" customWidth="1"/>
    <col min="5" max="5" width="15.5703125" style="37" customWidth="1"/>
    <col min="6" max="6" width="18.5703125" style="37" customWidth="1"/>
    <col min="7" max="7" width="15.7109375" style="37" customWidth="1"/>
    <col min="8" max="8" width="24.42578125" style="37" bestFit="1" customWidth="1"/>
    <col min="9" max="9" width="13.85546875" style="37" bestFit="1" customWidth="1"/>
    <col min="10" max="10" width="13.7109375" style="37" customWidth="1"/>
    <col min="11" max="19" width="11.42578125" style="8"/>
    <col min="20" max="20" width="15.85546875" style="8" bestFit="1" customWidth="1"/>
    <col min="21" max="21" width="14.42578125" style="8" bestFit="1" customWidth="1"/>
    <col min="22" max="16384" width="11.42578125" style="8"/>
  </cols>
  <sheetData>
    <row r="1" spans="1:16" ht="60" customHeight="1" thickBot="1" x14ac:dyDescent="0.25">
      <c r="A1" s="1257"/>
      <c r="B1" s="1258"/>
      <c r="C1" s="1259" t="s">
        <v>57</v>
      </c>
      <c r="D1" s="1260"/>
      <c r="E1" s="1260"/>
      <c r="F1" s="1260"/>
      <c r="G1" s="1260"/>
      <c r="H1" s="1260"/>
      <c r="I1" s="1260"/>
      <c r="J1" s="1260"/>
      <c r="K1" s="1260"/>
      <c r="L1" s="1260"/>
      <c r="M1" s="1261"/>
      <c r="N1" s="7"/>
      <c r="O1" s="7"/>
      <c r="P1" s="7"/>
    </row>
    <row r="2" spans="1:16" s="11" customFormat="1" ht="9.75" customHeight="1" thickBot="1" x14ac:dyDescent="0.25">
      <c r="A2" s="9"/>
      <c r="B2" s="9"/>
      <c r="C2" s="10"/>
      <c r="D2" s="10"/>
      <c r="E2" s="10"/>
      <c r="F2" s="10"/>
      <c r="G2" s="10"/>
      <c r="H2" s="10"/>
      <c r="K2" s="12"/>
      <c r="M2" s="7"/>
    </row>
    <row r="3" spans="1:16" s="12" customFormat="1" ht="35.25" customHeight="1" thickBot="1" x14ac:dyDescent="0.25">
      <c r="A3" s="13" t="s">
        <v>17</v>
      </c>
      <c r="B3" s="14" t="s">
        <v>55</v>
      </c>
      <c r="C3" s="15" t="s">
        <v>209</v>
      </c>
      <c r="D3" s="15" t="s">
        <v>56</v>
      </c>
      <c r="E3" s="15" t="s">
        <v>8</v>
      </c>
      <c r="F3" s="16" t="s">
        <v>18</v>
      </c>
      <c r="G3" s="16" t="s">
        <v>297</v>
      </c>
      <c r="H3" s="17" t="s">
        <v>24</v>
      </c>
      <c r="I3" s="1262"/>
      <c r="J3" s="1263"/>
      <c r="K3" s="11"/>
      <c r="M3" s="7"/>
    </row>
    <row r="4" spans="1:16" s="11" customFormat="1" ht="32.25" customHeight="1" thickBot="1" x14ac:dyDescent="0.25">
      <c r="A4" s="18" t="e">
        <f>VLOOKUP($I$3,'DATOS %'!B7:J40,2,FALSE)</f>
        <v>#N/A</v>
      </c>
      <c r="B4" s="212" t="e">
        <f>VLOOKUP($I$3,'DATOS %'!$B$7:$J$40,3,FALSE)</f>
        <v>#N/A</v>
      </c>
      <c r="C4" s="19" t="e">
        <f>VLOOKUP($I$3,'DATOS %'!$B$7:$J$40,8,FALSE)</f>
        <v>#N/A</v>
      </c>
      <c r="D4" s="19" t="e">
        <f>VLOOKUP($I$3,'DATOS %'!$B$7:$J$40,6,FALSE)</f>
        <v>#N/A</v>
      </c>
      <c r="E4" s="212" t="e">
        <f>VLOOKUP($I$3,'DATOS %'!$B$7:$J$40,7,FALSE)</f>
        <v>#N/A</v>
      </c>
      <c r="F4" s="18" t="e">
        <f>VLOOKUP($I$3,'DATOS %'!$B$7:$J$40,4,FALSE)</f>
        <v>#N/A</v>
      </c>
      <c r="G4" s="18" t="e">
        <f>VLOOKUP($I$3,'DATOS %'!$B$7:$J$40,5,FALSE)</f>
        <v>#N/A</v>
      </c>
      <c r="H4" s="19" t="e">
        <f>VLOOKUP($I$3,'DATOS %'!$B$7:$J$40,9,FALSE)</f>
        <v>#N/A</v>
      </c>
      <c r="I4" s="1264"/>
      <c r="J4" s="1265"/>
      <c r="K4" s="8"/>
      <c r="L4" s="20"/>
      <c r="M4" s="20"/>
    </row>
    <row r="5" spans="1:16" s="22" customFormat="1" ht="6.75" customHeight="1" thickBot="1" x14ac:dyDescent="0.25">
      <c r="A5" s="21"/>
      <c r="B5" s="21"/>
      <c r="C5" s="21"/>
      <c r="F5" s="21"/>
      <c r="G5" s="21"/>
      <c r="H5" s="21"/>
      <c r="K5" s="8"/>
    </row>
    <row r="6" spans="1:16" ht="31.5" customHeight="1" thickBot="1" x14ac:dyDescent="0.25">
      <c r="A6" s="1266" t="s">
        <v>19</v>
      </c>
      <c r="B6" s="1267"/>
      <c r="C6" s="1267"/>
      <c r="D6" s="1268"/>
      <c r="E6" s="4"/>
      <c r="F6" s="1266" t="s">
        <v>20</v>
      </c>
      <c r="G6" s="1267"/>
      <c r="H6" s="1267"/>
      <c r="I6" s="1268"/>
      <c r="J6" s="402">
        <f>I3</f>
        <v>0</v>
      </c>
    </row>
    <row r="7" spans="1:16" ht="31.5" customHeight="1" x14ac:dyDescent="0.2">
      <c r="A7" s="23" t="s">
        <v>21</v>
      </c>
      <c r="B7" s="24" t="e">
        <f>VLOOKUP($E$6,'DATOS %'!N11:AA113,2,FALSE)</f>
        <v>#N/A</v>
      </c>
      <c r="C7" s="25" t="s">
        <v>10</v>
      </c>
      <c r="D7" s="26" t="e">
        <f>VLOOKUP($E$6,'DATOS %'!N11:AA113,3,FALSE)</f>
        <v>#N/A</v>
      </c>
      <c r="E7" s="27"/>
      <c r="F7" s="23" t="s">
        <v>21</v>
      </c>
      <c r="G7" s="24" t="e">
        <f>VLOOKUP($J$6,'DATOS %'!B47:I79,2,FALSE)</f>
        <v>#N/A</v>
      </c>
      <c r="H7" s="28" t="s">
        <v>10</v>
      </c>
      <c r="I7" s="26" t="e">
        <f>VLOOKUP($J$6,'DATOS %'!B47:I79,3,FALSE)</f>
        <v>#N/A</v>
      </c>
      <c r="J7" s="29"/>
    </row>
    <row r="8" spans="1:16" ht="31.5" customHeight="1" x14ac:dyDescent="0.2">
      <c r="A8" s="30" t="s">
        <v>22</v>
      </c>
      <c r="B8" s="31" t="e">
        <f>VLOOKUP($E$6,'DATOS %'!N11:AA113,4,FALSE)</f>
        <v>#N/A</v>
      </c>
      <c r="C8" s="32" t="s">
        <v>23</v>
      </c>
      <c r="D8" s="33" t="e">
        <f>VLOOKUP($E$6,'DATOS %'!N11:AA113,5,FALSE)</f>
        <v>#N/A</v>
      </c>
      <c r="E8" s="27"/>
      <c r="F8" s="30" t="s">
        <v>22</v>
      </c>
      <c r="G8" s="31" t="e">
        <f>VLOOKUP($J$6,'DATOS %'!B47:I79,4,FALSE)</f>
        <v>#N/A</v>
      </c>
      <c r="H8" s="32" t="s">
        <v>23</v>
      </c>
      <c r="I8" s="297" t="e">
        <f>VLOOKUP($J$6,'DATOS %'!B47:I79,5,FALSE)</f>
        <v>#N/A</v>
      </c>
      <c r="J8" s="29"/>
    </row>
    <row r="9" spans="1:16" ht="31.5" customHeight="1" x14ac:dyDescent="0.2">
      <c r="A9" s="34" t="s">
        <v>24</v>
      </c>
      <c r="B9" s="31" t="e">
        <f>VLOOKUP($E$6,'DATOS %'!N11:AA113,6,FALSE)</f>
        <v>#N/A</v>
      </c>
      <c r="C9" s="35" t="s">
        <v>15</v>
      </c>
      <c r="D9" s="36" t="e">
        <f>VLOOKUP($E$6,'DATOS %'!N11:AA113,7,FALSE)</f>
        <v>#N/A</v>
      </c>
      <c r="F9" s="1252" t="s">
        <v>62</v>
      </c>
      <c r="G9" s="1253"/>
      <c r="H9" s="31" t="e">
        <f>VLOOKUP($J$6,'DATOS %'!B47:I79,6,FALSE)</f>
        <v>#N/A</v>
      </c>
      <c r="I9" s="33" t="s">
        <v>1</v>
      </c>
      <c r="J9" s="29"/>
      <c r="K9" s="208"/>
    </row>
    <row r="10" spans="1:16" s="38" customFormat="1" ht="31.5" customHeight="1" x14ac:dyDescent="0.25">
      <c r="A10" s="1252" t="s">
        <v>63</v>
      </c>
      <c r="B10" s="1253"/>
      <c r="C10" s="223" t="e">
        <f>VLOOKUP($E$6,'DATOS %'!N11:AA113,8,FALSE)</f>
        <v>#N/A</v>
      </c>
      <c r="D10" s="33" t="s">
        <v>1</v>
      </c>
      <c r="F10" s="1252" t="s">
        <v>64</v>
      </c>
      <c r="G10" s="1253"/>
      <c r="H10" s="213" t="e">
        <f>VLOOKUP($J$6,'DATOS %'!B47:I79,7,FALSE)</f>
        <v>#N/A</v>
      </c>
      <c r="I10" s="33" t="s">
        <v>76</v>
      </c>
      <c r="J10" s="39"/>
    </row>
    <row r="11" spans="1:16" s="38" customFormat="1" ht="31.5" customHeight="1" thickBot="1" x14ac:dyDescent="0.3">
      <c r="A11" s="1252" t="s">
        <v>65</v>
      </c>
      <c r="B11" s="1253"/>
      <c r="C11" s="31" t="e">
        <f>VLOOKUP($E$6,'DATOS %'!N11:AA113,9,FALSE)</f>
        <v>#N/A</v>
      </c>
      <c r="D11" s="33" t="s">
        <v>3</v>
      </c>
      <c r="E11" s="40"/>
      <c r="F11" s="1271" t="s">
        <v>66</v>
      </c>
      <c r="G11" s="1272"/>
      <c r="H11" s="41" t="e">
        <f>VLOOKUP($J$6,'DATOS %'!B47:I79,8,FALSE)</f>
        <v>#N/A</v>
      </c>
      <c r="I11" s="45" t="s">
        <v>76</v>
      </c>
      <c r="J11" s="39"/>
    </row>
    <row r="12" spans="1:16" s="38" customFormat="1" ht="31.5" customHeight="1" thickBot="1" x14ac:dyDescent="0.3">
      <c r="A12" s="1252" t="s">
        <v>67</v>
      </c>
      <c r="B12" s="1253"/>
      <c r="C12" s="31" t="e">
        <f>VLOOKUP($E$6,'DATOS %'!N11:AA113,10,FALSE)</f>
        <v>#N/A</v>
      </c>
      <c r="D12" s="33" t="s">
        <v>3</v>
      </c>
      <c r="E12" s="39"/>
      <c r="F12" s="39"/>
      <c r="G12" s="39"/>
      <c r="H12" s="39"/>
    </row>
    <row r="13" spans="1:16" s="38" customFormat="1" ht="31.5" customHeight="1" thickBot="1" x14ac:dyDescent="0.3">
      <c r="A13" s="1252" t="s">
        <v>68</v>
      </c>
      <c r="B13" s="1253"/>
      <c r="C13" s="213" t="e">
        <f>VLOOKUP($E$6,'DATOS %'!N11:AA113,11,FALSE)</f>
        <v>#N/A</v>
      </c>
      <c r="D13" s="33" t="s">
        <v>76</v>
      </c>
      <c r="E13" s="39"/>
      <c r="F13" s="1254" t="s">
        <v>559</v>
      </c>
      <c r="G13" s="1255"/>
      <c r="H13" s="1255"/>
      <c r="I13" s="1256"/>
      <c r="J13" s="5"/>
    </row>
    <row r="14" spans="1:16" s="38" customFormat="1" ht="31.5" customHeight="1" x14ac:dyDescent="0.2">
      <c r="A14" s="1252" t="s">
        <v>305</v>
      </c>
      <c r="B14" s="1253"/>
      <c r="C14" s="31" t="e">
        <f>VLOOKUP($E$6,'DATOS %'!N11:AA113,12,FALSE)</f>
        <v>#N/A</v>
      </c>
      <c r="D14" s="33" t="s">
        <v>76</v>
      </c>
      <c r="E14" s="39"/>
      <c r="F14" s="23" t="s">
        <v>10</v>
      </c>
      <c r="G14" s="24" t="e">
        <f>VLOOKUP($J$13,'DATOS %'!$V$119:$Y$126,2,FALSE)</f>
        <v>#N/A</v>
      </c>
      <c r="H14" s="28" t="s">
        <v>22</v>
      </c>
      <c r="I14" s="24" t="e">
        <f>VLOOKUP($J$13,'DATOS %'!$V$119:$Z$126,3,FALSE)</f>
        <v>#N/A</v>
      </c>
      <c r="J14" s="42"/>
      <c r="K14" s="8"/>
    </row>
    <row r="15" spans="1:16" ht="31.5" customHeight="1" thickBot="1" x14ac:dyDescent="0.25">
      <c r="A15" s="1277" t="s">
        <v>69</v>
      </c>
      <c r="B15" s="1278"/>
      <c r="C15" s="31" t="e">
        <f>VLOOKUP($E$6,'DATOS %'!N11:AA113,13,FALSE)</f>
        <v>#N/A</v>
      </c>
      <c r="D15" s="33" t="s">
        <v>76</v>
      </c>
      <c r="E15" s="29"/>
      <c r="F15" s="43" t="s">
        <v>61</v>
      </c>
      <c r="G15" s="41" t="e">
        <f>VLOOKUP($J$13,'DATOS %'!$V$119:$Y$126,4,FALSE)</f>
        <v>#N/A</v>
      </c>
      <c r="H15" s="41" t="s">
        <v>1</v>
      </c>
      <c r="I15" s="238" t="s">
        <v>210</v>
      </c>
      <c r="J15" s="45" t="e">
        <f>VLOOKUP($J$13,'DATOS %'!$V$119:$Z$126,5,FALSE)</f>
        <v>#N/A</v>
      </c>
      <c r="K15" s="22"/>
    </row>
    <row r="16" spans="1:16" ht="30.95" customHeight="1" thickBot="1" x14ac:dyDescent="0.25">
      <c r="A16" s="1279" t="s">
        <v>210</v>
      </c>
      <c r="B16" s="1280"/>
      <c r="C16" s="1281" t="e">
        <f>VLOOKUP($E$6,'DATOS %'!N11:AA113,14,FALSE)</f>
        <v>#N/A</v>
      </c>
      <c r="D16" s="1282"/>
      <c r="E16" s="29"/>
      <c r="F16" s="8"/>
      <c r="G16" s="8"/>
      <c r="H16" s="8"/>
      <c r="I16" s="8"/>
      <c r="J16" s="8"/>
    </row>
    <row r="17" spans="1:11" s="22" customFormat="1" ht="30.95" customHeight="1" thickBot="1" x14ac:dyDescent="0.25">
      <c r="A17" s="29"/>
      <c r="B17" s="29"/>
      <c r="C17" s="29"/>
      <c r="D17" s="29"/>
      <c r="E17" s="29"/>
      <c r="F17" s="29"/>
      <c r="G17" s="29"/>
      <c r="H17" s="29"/>
      <c r="I17" s="29"/>
      <c r="J17" s="29"/>
      <c r="K17" s="8"/>
    </row>
    <row r="18" spans="1:11" ht="31.5" customHeight="1" thickBot="1" x14ac:dyDescent="0.25">
      <c r="A18" s="1331" t="s">
        <v>26</v>
      </c>
      <c r="B18" s="1332"/>
      <c r="C18" s="1332"/>
      <c r="D18" s="1332"/>
      <c r="E18" s="1332"/>
      <c r="F18" s="1332"/>
      <c r="G18" s="1332"/>
      <c r="H18" s="1332"/>
      <c r="I18" s="1332"/>
      <c r="J18" s="1333"/>
    </row>
    <row r="19" spans="1:11" ht="46.5" customHeight="1" thickBot="1" x14ac:dyDescent="0.25">
      <c r="A19" s="407" t="s">
        <v>10</v>
      </c>
      <c r="B19" s="101" t="e">
        <f>VLOOKUP(J19,'DATOS %'!J174:W180,2,FALSE)</f>
        <v>#N/A</v>
      </c>
      <c r="C19" s="95" t="s">
        <v>7</v>
      </c>
      <c r="D19" s="408" t="e">
        <f>VLOOKUP(J19,'DATOS %'!J174:W180,3,FALSE)</f>
        <v>#N/A</v>
      </c>
      <c r="E19" s="409" t="s">
        <v>24</v>
      </c>
      <c r="F19" s="1286" t="e">
        <f>VLOOKUP(J19,'DATOS %'!J174:W180,5,FALSE)</f>
        <v>#N/A</v>
      </c>
      <c r="G19" s="1287"/>
      <c r="H19" s="95" t="s">
        <v>25</v>
      </c>
      <c r="I19" s="212" t="e">
        <f>VLOOKUP(J19,'DATOS %'!J174:W180,4,FALSE)</f>
        <v>#N/A</v>
      </c>
      <c r="J19" s="1374"/>
    </row>
    <row r="20" spans="1:11" ht="31.5" customHeight="1" thickBot="1" x14ac:dyDescent="0.25">
      <c r="A20" s="1290" t="s">
        <v>316</v>
      </c>
      <c r="B20" s="1291"/>
      <c r="C20" s="94" t="s">
        <v>27</v>
      </c>
      <c r="D20" s="101" t="e">
        <f>VLOOKUP(J19,'DATOS %'!J174:W180,6,FALSE)</f>
        <v>#N/A</v>
      </c>
      <c r="E20" s="1292" t="s">
        <v>307</v>
      </c>
      <c r="F20" s="1293"/>
      <c r="G20" s="101" t="e">
        <f>VLOOKUP(J19,'DATOS %'!J174:W180,7,FALSE)</f>
        <v>#N/A</v>
      </c>
      <c r="H20" s="95" t="s">
        <v>9</v>
      </c>
      <c r="I20" s="214" t="e">
        <f>VLOOKUP(J19,'DATOS %'!J174:W180,8,FALSE)</f>
        <v>#N/A</v>
      </c>
      <c r="J20" s="1289"/>
    </row>
    <row r="21" spans="1:11" s="46" customFormat="1" ht="15" customHeight="1" thickBot="1" x14ac:dyDescent="0.25">
      <c r="A21" s="47"/>
      <c r="B21" s="47"/>
      <c r="C21" s="47"/>
      <c r="D21" s="47"/>
      <c r="E21" s="47"/>
      <c r="F21" s="47"/>
      <c r="G21" s="47"/>
      <c r="H21" s="47"/>
      <c r="I21" s="47"/>
      <c r="J21" s="47"/>
      <c r="K21" s="8"/>
    </row>
    <row r="22" spans="1:11" s="48" customFormat="1" ht="31.5" customHeight="1" thickBot="1" x14ac:dyDescent="0.25">
      <c r="A22" s="1294" t="s">
        <v>28</v>
      </c>
      <c r="B22" s="1295"/>
      <c r="C22" s="1295"/>
      <c r="D22" s="1295"/>
      <c r="E22" s="1295"/>
      <c r="F22" s="1295"/>
      <c r="G22" s="1295"/>
      <c r="H22" s="1295"/>
      <c r="I22" s="1295"/>
      <c r="J22" s="1296"/>
      <c r="K22" s="47"/>
    </row>
    <row r="23" spans="1:11" s="47" customFormat="1" ht="2.25" customHeight="1" thickBot="1" x14ac:dyDescent="0.25">
      <c r="A23" s="49"/>
      <c r="B23" s="50"/>
      <c r="C23" s="50"/>
      <c r="D23" s="50"/>
      <c r="E23" s="50"/>
      <c r="F23" s="50"/>
      <c r="G23" s="50"/>
      <c r="H23" s="50"/>
      <c r="I23" s="50"/>
      <c r="J23" s="51"/>
      <c r="K23" s="48"/>
    </row>
    <row r="24" spans="1:11" s="48" customFormat="1" ht="31.5" customHeight="1" thickBot="1" x14ac:dyDescent="0.25">
      <c r="A24" s="52" t="s">
        <v>29</v>
      </c>
      <c r="B24" s="916"/>
      <c r="C24" s="1297" t="s">
        <v>27</v>
      </c>
      <c r="D24" s="1298"/>
      <c r="E24" s="1"/>
      <c r="F24" s="1684" t="s">
        <v>307</v>
      </c>
      <c r="G24" s="1685"/>
      <c r="H24" s="2"/>
      <c r="I24" s="972" t="s">
        <v>9</v>
      </c>
      <c r="J24" s="215"/>
      <c r="K24" s="46"/>
    </row>
    <row r="25" spans="1:11" s="46" customFormat="1" ht="15" customHeight="1" thickBot="1" x14ac:dyDescent="0.25">
      <c r="A25" s="47"/>
      <c r="B25" s="47"/>
      <c r="C25" s="47"/>
      <c r="D25" s="47"/>
      <c r="E25" s="47"/>
      <c r="F25" s="47"/>
      <c r="G25" s="47"/>
      <c r="H25" s="6"/>
      <c r="I25" s="47"/>
      <c r="K25" s="48"/>
    </row>
    <row r="26" spans="1:11" s="48" customFormat="1" ht="29.25" customHeight="1" thickBot="1" x14ac:dyDescent="0.25">
      <c r="A26" s="115" t="s">
        <v>129</v>
      </c>
      <c r="B26" s="105">
        <v>4</v>
      </c>
      <c r="C26" s="1301" t="s">
        <v>30</v>
      </c>
      <c r="D26" s="1302"/>
      <c r="E26" s="1302"/>
      <c r="F26" s="1303"/>
      <c r="G26" s="1304" t="s">
        <v>211</v>
      </c>
      <c r="H26" s="1305"/>
    </row>
    <row r="27" spans="1:11" s="48" customFormat="1" ht="31.5" customHeight="1" thickBot="1" x14ac:dyDescent="0.25">
      <c r="A27" s="1273" t="s">
        <v>31</v>
      </c>
      <c r="B27" s="1274"/>
      <c r="C27" s="237">
        <v>1</v>
      </c>
      <c r="D27" s="237">
        <v>2</v>
      </c>
      <c r="E27" s="237">
        <v>3</v>
      </c>
      <c r="F27" s="129">
        <v>4</v>
      </c>
      <c r="G27" s="1275" t="e">
        <f>VLOOKUP($H$25,'DATOS %'!$V$161:$AA$165,2,FALSE)</f>
        <v>#N/A</v>
      </c>
      <c r="H27" s="1276"/>
    </row>
    <row r="28" spans="1:11" s="48" customFormat="1" ht="31.5" customHeight="1" x14ac:dyDescent="0.2">
      <c r="A28" s="1310" t="s">
        <v>32</v>
      </c>
      <c r="B28" s="141" t="s">
        <v>0</v>
      </c>
      <c r="C28" s="142"/>
      <c r="D28" s="142"/>
      <c r="E28" s="142"/>
      <c r="F28" s="143"/>
      <c r="G28" s="47"/>
      <c r="H28" s="47"/>
      <c r="I28" s="47"/>
      <c r="J28" s="47"/>
    </row>
    <row r="29" spans="1:11" s="48" customFormat="1" ht="31.5" customHeight="1" x14ac:dyDescent="0.2">
      <c r="A29" s="1311"/>
      <c r="B29" s="104" t="s">
        <v>2</v>
      </c>
      <c r="C29" s="127"/>
      <c r="D29" s="127"/>
      <c r="E29" s="127"/>
      <c r="F29" s="128"/>
      <c r="G29" s="47"/>
      <c r="H29" s="47"/>
      <c r="I29" s="47"/>
      <c r="J29" s="47"/>
    </row>
    <row r="30" spans="1:11" s="48" customFormat="1" ht="31.5" customHeight="1" x14ac:dyDescent="0.2">
      <c r="A30" s="1311"/>
      <c r="B30" s="104" t="s">
        <v>2</v>
      </c>
      <c r="C30" s="127"/>
      <c r="D30" s="127"/>
      <c r="E30" s="127"/>
      <c r="F30" s="128"/>
      <c r="G30" s="47"/>
      <c r="H30" s="47"/>
      <c r="I30" s="47"/>
      <c r="J30" s="47"/>
    </row>
    <row r="31" spans="1:11" s="48" customFormat="1" ht="31.5" customHeight="1" thickBot="1" x14ac:dyDescent="0.25">
      <c r="A31" s="1312"/>
      <c r="B31" s="53" t="s">
        <v>0</v>
      </c>
      <c r="C31" s="144"/>
      <c r="D31" s="144"/>
      <c r="E31" s="144"/>
      <c r="F31" s="145"/>
      <c r="G31" s="47"/>
      <c r="H31" s="47"/>
      <c r="I31" s="47"/>
      <c r="J31" s="47"/>
      <c r="K31" s="46"/>
    </row>
    <row r="32" spans="1:11" s="46" customFormat="1" ht="15" customHeight="1" thickBot="1" x14ac:dyDescent="0.25">
      <c r="A32" s="47"/>
      <c r="B32" s="47"/>
      <c r="C32" s="47"/>
      <c r="D32" s="47"/>
      <c r="E32" s="47"/>
      <c r="F32" s="47"/>
      <c r="G32" s="47"/>
      <c r="H32" s="47"/>
      <c r="I32" s="47"/>
      <c r="J32" s="47"/>
      <c r="K32" s="48"/>
    </row>
    <row r="33" spans="1:11" s="48" customFormat="1" ht="31.5" customHeight="1" thickBot="1" x14ac:dyDescent="0.25">
      <c r="A33" s="54" t="s">
        <v>33</v>
      </c>
      <c r="B33" s="916"/>
      <c r="C33" s="1682" t="s">
        <v>27</v>
      </c>
      <c r="D33" s="1683"/>
      <c r="E33" s="1"/>
      <c r="F33" s="1684" t="s">
        <v>307</v>
      </c>
      <c r="G33" s="1685"/>
      <c r="H33" s="2"/>
      <c r="I33" s="973" t="s">
        <v>9</v>
      </c>
      <c r="J33" s="3"/>
      <c r="K33" s="46"/>
    </row>
    <row r="34" spans="1:11" s="46" customFormat="1" ht="12" customHeight="1" x14ac:dyDescent="0.2">
      <c r="A34" s="55"/>
      <c r="B34" s="55"/>
      <c r="C34" s="55"/>
      <c r="D34" s="55"/>
      <c r="E34" s="55"/>
      <c r="F34" s="55"/>
      <c r="G34" s="55"/>
      <c r="H34" s="55"/>
      <c r="I34" s="55"/>
      <c r="J34" s="55"/>
      <c r="K34" s="48"/>
    </row>
    <row r="35" spans="1:11" s="48" customFormat="1" ht="15" customHeight="1" thickBot="1" x14ac:dyDescent="0.25">
      <c r="A35" s="56"/>
      <c r="B35" s="56"/>
      <c r="C35" s="56"/>
      <c r="D35" s="56"/>
      <c r="E35" s="56"/>
      <c r="F35" s="56"/>
      <c r="G35" s="56"/>
      <c r="H35" s="56"/>
      <c r="I35" s="56"/>
      <c r="J35" s="56"/>
    </row>
    <row r="36" spans="1:11" s="48" customFormat="1" ht="32.25" customHeight="1" thickBot="1" x14ac:dyDescent="0.25">
      <c r="A36" s="1294" t="s">
        <v>34</v>
      </c>
      <c r="B36" s="1295"/>
      <c r="C36" s="1295"/>
      <c r="D36" s="1295"/>
      <c r="E36" s="1295"/>
      <c r="F36" s="1295"/>
      <c r="G36" s="1295"/>
      <c r="H36" s="1295"/>
      <c r="I36" s="1295"/>
      <c r="J36" s="1296"/>
    </row>
    <row r="37" spans="1:11" s="48" customFormat="1" ht="3.75" customHeight="1" thickBot="1" x14ac:dyDescent="0.25">
      <c r="A37" s="55"/>
      <c r="B37" s="47"/>
      <c r="C37" s="47"/>
      <c r="D37" s="47"/>
      <c r="E37" s="47"/>
      <c r="F37" s="47"/>
      <c r="G37" s="47"/>
      <c r="H37" s="47"/>
      <c r="I37" s="47"/>
      <c r="J37" s="55"/>
    </row>
    <row r="38" spans="1:11" s="48" customFormat="1" ht="31.5" customHeight="1" thickBot="1" x14ac:dyDescent="0.25">
      <c r="A38" s="47"/>
      <c r="B38" s="1316" t="s">
        <v>35</v>
      </c>
      <c r="C38" s="1317"/>
      <c r="D38" s="1317"/>
      <c r="E38" s="1317"/>
      <c r="F38" s="1318"/>
      <c r="G38" s="47"/>
      <c r="H38" s="1319" t="s">
        <v>236</v>
      </c>
      <c r="I38" s="1320"/>
      <c r="J38" s="1321"/>
    </row>
    <row r="39" spans="1:11" s="48" customFormat="1" ht="31.5" customHeight="1" thickBot="1" x14ac:dyDescent="0.25">
      <c r="A39" s="47"/>
      <c r="B39" s="57" t="s">
        <v>31</v>
      </c>
      <c r="C39" s="203">
        <v>1</v>
      </c>
      <c r="D39" s="141">
        <v>2</v>
      </c>
      <c r="E39" s="141">
        <v>3</v>
      </c>
      <c r="F39" s="204">
        <v>4</v>
      </c>
      <c r="G39" s="47"/>
      <c r="H39" s="1322"/>
      <c r="I39" s="1323"/>
      <c r="J39" s="1324"/>
    </row>
    <row r="40" spans="1:11" s="48" customFormat="1" ht="31.5" customHeight="1" x14ac:dyDescent="0.2">
      <c r="A40" s="58"/>
      <c r="B40" s="59"/>
      <c r="C40" s="121" t="e">
        <f>+AVERAGE(C28,C31)</f>
        <v>#DIV/0!</v>
      </c>
      <c r="D40" s="122" t="e">
        <f>+AVERAGE(D28,D31)</f>
        <v>#DIV/0!</v>
      </c>
      <c r="E40" s="122" t="e">
        <f>+AVERAGE(E28,E31)</f>
        <v>#DIV/0!</v>
      </c>
      <c r="F40" s="205" t="e">
        <f>+AVERAGE(F28,F31)</f>
        <v>#DIV/0!</v>
      </c>
      <c r="G40" s="47"/>
      <c r="H40" s="1325"/>
      <c r="I40" s="1326"/>
      <c r="J40" s="1327"/>
    </row>
    <row r="41" spans="1:11" s="48" customFormat="1" ht="31.5" customHeight="1" x14ac:dyDescent="0.2">
      <c r="A41" s="58"/>
      <c r="B41" s="60"/>
      <c r="C41" s="123" t="e">
        <f>+AVERAGE(C29:C30)</f>
        <v>#DIV/0!</v>
      </c>
      <c r="D41" s="61" t="e">
        <f>+AVERAGE(D29:D30)</f>
        <v>#DIV/0!</v>
      </c>
      <c r="E41" s="61" t="e">
        <f>+AVERAGE(E29:E30)</f>
        <v>#DIV/0!</v>
      </c>
      <c r="F41" s="206" t="e">
        <f>+AVERAGE(F29:F30)</f>
        <v>#DIV/0!</v>
      </c>
      <c r="G41" s="47"/>
      <c r="H41" s="1325"/>
      <c r="I41" s="1326"/>
      <c r="J41" s="1327"/>
    </row>
    <row r="42" spans="1:11" s="48" customFormat="1" ht="31.5" customHeight="1" thickBot="1" x14ac:dyDescent="0.25">
      <c r="A42" s="58"/>
      <c r="B42" s="62"/>
      <c r="C42" s="124" t="e">
        <f>+C41-C40</f>
        <v>#DIV/0!</v>
      </c>
      <c r="D42" s="125" t="e">
        <f>+D41-D40</f>
        <v>#DIV/0!</v>
      </c>
      <c r="E42" s="125" t="e">
        <f>+E41-E40</f>
        <v>#DIV/0!</v>
      </c>
      <c r="F42" s="207" t="e">
        <f>+F41-F40</f>
        <v>#DIV/0!</v>
      </c>
      <c r="G42" s="47"/>
      <c r="H42" s="1328"/>
      <c r="I42" s="1329"/>
      <c r="J42" s="1330"/>
    </row>
    <row r="43" spans="1:11" s="48" customFormat="1" ht="31.5" customHeight="1" thickBot="1" x14ac:dyDescent="0.25">
      <c r="A43" s="47"/>
      <c r="B43" s="63" t="s">
        <v>36</v>
      </c>
      <c r="C43" s="286" t="e">
        <f>+AVERAGE(C42:F42)</f>
        <v>#DIV/0!</v>
      </c>
      <c r="D43" s="47"/>
      <c r="E43" s="47"/>
      <c r="F43" s="47"/>
      <c r="G43" s="47"/>
      <c r="H43" s="47"/>
      <c r="I43" s="47"/>
      <c r="J43" s="47"/>
    </row>
    <row r="44" spans="1:11" s="48" customFormat="1" ht="31.5" customHeight="1" thickBot="1" x14ac:dyDescent="0.25">
      <c r="A44" s="47"/>
      <c r="B44" s="64" t="s">
        <v>77</v>
      </c>
      <c r="C44" s="287" t="e">
        <f>+STDEV(C42:F42)</f>
        <v>#DIV/0!</v>
      </c>
      <c r="D44" s="47"/>
      <c r="E44" s="47"/>
      <c r="F44" s="47"/>
      <c r="G44" s="47"/>
      <c r="H44" s="47"/>
      <c r="I44" s="47"/>
      <c r="J44" s="47"/>
      <c r="K44" s="46"/>
    </row>
    <row r="45" spans="1:11" s="46" customFormat="1" ht="15" customHeight="1" thickBot="1" x14ac:dyDescent="0.25">
      <c r="A45" s="47"/>
      <c r="B45" s="47"/>
      <c r="C45" s="47"/>
      <c r="D45" s="47"/>
      <c r="E45" s="47"/>
      <c r="F45" s="47"/>
      <c r="G45" s="65"/>
      <c r="H45" s="47"/>
      <c r="I45" s="47"/>
      <c r="J45" s="47"/>
      <c r="K45" s="48"/>
    </row>
    <row r="46" spans="1:11" s="48" customFormat="1" ht="31.5" customHeight="1" thickBot="1" x14ac:dyDescent="0.25">
      <c r="A46" s="1331" t="s">
        <v>37</v>
      </c>
      <c r="B46" s="1332"/>
      <c r="C46" s="1284"/>
      <c r="D46" s="1284"/>
      <c r="E46" s="1284"/>
      <c r="F46" s="1332"/>
      <c r="G46" s="1332"/>
      <c r="H46" s="1332"/>
      <c r="I46" s="1332"/>
      <c r="J46" s="1333"/>
    </row>
    <row r="47" spans="1:11" s="48" customFormat="1" ht="31.5" customHeight="1" thickBot="1" x14ac:dyDescent="0.25">
      <c r="A47" s="1375" t="s">
        <v>321</v>
      </c>
      <c r="B47" s="1376"/>
      <c r="C47" s="1338" t="s">
        <v>38</v>
      </c>
      <c r="D47" s="1339"/>
      <c r="E47" s="1340"/>
      <c r="F47" s="47"/>
      <c r="G47" s="47"/>
      <c r="H47" s="47"/>
      <c r="I47" s="47"/>
      <c r="J47" s="47"/>
    </row>
    <row r="48" spans="1:11" s="48" customFormat="1" ht="36.75" customHeight="1" thickBot="1" x14ac:dyDescent="0.25">
      <c r="A48" s="1377"/>
      <c r="B48" s="1378"/>
      <c r="C48" s="82" t="s">
        <v>27</v>
      </c>
      <c r="D48" s="93" t="s">
        <v>307</v>
      </c>
      <c r="E48" s="83" t="s">
        <v>9</v>
      </c>
      <c r="G48" s="1341" t="s">
        <v>70</v>
      </c>
      <c r="H48" s="1342"/>
      <c r="I48" s="102" t="e">
        <f>+(0.34848*E50-0.009*D50*EXP(0.061*C50))/(273.15+C50)</f>
        <v>#DIV/0!</v>
      </c>
      <c r="J48" s="103" t="s">
        <v>73</v>
      </c>
    </row>
    <row r="49" spans="1:21" s="48" customFormat="1" ht="33" customHeight="1" thickBot="1" x14ac:dyDescent="0.25">
      <c r="A49" s="1306" t="s">
        <v>39</v>
      </c>
      <c r="B49" s="1307"/>
      <c r="C49" s="90" t="e">
        <f>+AVERAGE(E33,E24)</f>
        <v>#DIV/0!</v>
      </c>
      <c r="D49" s="91" t="e">
        <f>+AVERAGE(H33,H24)</f>
        <v>#DIV/0!</v>
      </c>
      <c r="E49" s="92" t="e">
        <f>+AVERAGE(J33,J24)</f>
        <v>#DIV/0!</v>
      </c>
      <c r="G49" s="1308" t="s">
        <v>71</v>
      </c>
      <c r="H49" s="1309"/>
      <c r="I49" s="422" t="e">
        <f>I48*((0.0001)^2+(0.001*I20/2)^2+(-0.0034*D20/2)^2+(-0.01*G20/2)^2)^0.5</f>
        <v>#DIV/0!</v>
      </c>
      <c r="J49" s="66" t="s">
        <v>73</v>
      </c>
    </row>
    <row r="50" spans="1:21" s="48" customFormat="1" ht="36.75" customHeight="1" thickBot="1" x14ac:dyDescent="0.25">
      <c r="A50" s="1343" t="s">
        <v>322</v>
      </c>
      <c r="B50" s="1344"/>
      <c r="C50" s="84" t="e">
        <f>C49+(VLOOKUP(J19,'DATOS %'!J174:W180,9,FALSE))*C49+(VLOOKUP(J19,'DATOS %'!J174:W180,10,FALSE))</f>
        <v>#DIV/0!</v>
      </c>
      <c r="D50" s="85" t="e">
        <f>D49+(VLOOKUP(J19,'DATOS %'!J174:W180,11,FALSE))*D49+(VLOOKUP(J19,'DATOS %'!J174:W180,12,FALSE))</f>
        <v>#DIV/0!</v>
      </c>
      <c r="E50" s="86" t="e">
        <f>E49+(VLOOKUP(J19,'DATOS %'!J174:W180,13,FALSE))*E49+(VLOOKUP(J19,'DATOS %'!J174:W180,14,FALSE))</f>
        <v>#DIV/0!</v>
      </c>
      <c r="G50" s="1341" t="s">
        <v>72</v>
      </c>
      <c r="H50" s="1342"/>
      <c r="I50" s="67">
        <v>1.2</v>
      </c>
      <c r="J50" s="66" t="s">
        <v>73</v>
      </c>
    </row>
    <row r="51" spans="1:21" s="46" customFormat="1" ht="15" customHeight="1" thickBot="1" x14ac:dyDescent="0.25">
      <c r="A51" s="47"/>
      <c r="B51" s="47"/>
      <c r="C51" s="47"/>
      <c r="D51" s="47"/>
      <c r="E51" s="47"/>
      <c r="F51" s="47"/>
      <c r="G51" s="47"/>
      <c r="H51" s="47"/>
      <c r="I51" s="47"/>
      <c r="J51" s="47"/>
      <c r="K51" s="48"/>
    </row>
    <row r="52" spans="1:21" s="48" customFormat="1" ht="31.5" customHeight="1" thickBot="1" x14ac:dyDescent="0.25">
      <c r="A52" s="1331" t="s">
        <v>40</v>
      </c>
      <c r="B52" s="1332"/>
      <c r="C52" s="1332"/>
      <c r="D52" s="1332"/>
      <c r="E52" s="1332"/>
      <c r="F52" s="1332"/>
      <c r="G52" s="1332"/>
      <c r="H52" s="1332"/>
      <c r="I52" s="1332"/>
      <c r="J52" s="1333"/>
    </row>
    <row r="53" spans="1:21" s="48" customFormat="1" ht="31.5" customHeight="1" x14ac:dyDescent="0.35">
      <c r="A53" s="47"/>
      <c r="B53" s="68" t="s">
        <v>41</v>
      </c>
      <c r="C53" s="69"/>
      <c r="D53" s="1345" t="s">
        <v>74</v>
      </c>
      <c r="E53" s="1345"/>
      <c r="F53" s="70" t="s">
        <v>42</v>
      </c>
      <c r="G53" s="71" t="s">
        <v>43</v>
      </c>
      <c r="H53" s="1346" t="s">
        <v>44</v>
      </c>
      <c r="I53" s="1347"/>
      <c r="J53" s="47"/>
    </row>
    <row r="54" spans="1:21" s="48" customFormat="1" ht="31.5" customHeight="1" thickBot="1" x14ac:dyDescent="0.25">
      <c r="A54" s="47"/>
      <c r="B54" s="72" t="e">
        <f>+C43</f>
        <v>#DIV/0!</v>
      </c>
      <c r="C54" s="73" t="s">
        <v>1</v>
      </c>
      <c r="D54" s="74" t="e">
        <f>+C10+C11/1000</f>
        <v>#N/A</v>
      </c>
      <c r="E54" s="73" t="s">
        <v>1</v>
      </c>
      <c r="F54" s="74" t="e">
        <f>+(I48-I50)*(1/H10-1/C13)</f>
        <v>#DIV/0!</v>
      </c>
      <c r="G54" s="75"/>
      <c r="H54" s="67" t="e">
        <f>+(B54+D54*F54)*1000</f>
        <v>#DIV/0!</v>
      </c>
      <c r="I54" s="66" t="s">
        <v>3</v>
      </c>
      <c r="J54" s="47"/>
      <c r="K54" s="46"/>
    </row>
    <row r="55" spans="1:21" s="46" customFormat="1" ht="15" customHeight="1" x14ac:dyDescent="0.2">
      <c r="A55" s="47"/>
      <c r="B55" s="47"/>
      <c r="C55" s="47"/>
      <c r="D55" s="47"/>
      <c r="E55" s="47"/>
      <c r="F55" s="47"/>
      <c r="G55" s="47"/>
      <c r="H55" s="47"/>
      <c r="I55" s="47"/>
      <c r="J55" s="47"/>
      <c r="K55" s="48"/>
    </row>
    <row r="56" spans="1:21" s="48" customFormat="1" ht="31.5" customHeight="1" x14ac:dyDescent="0.2">
      <c r="A56" s="1348" t="s">
        <v>45</v>
      </c>
      <c r="B56" s="1349"/>
      <c r="C56" s="1349"/>
      <c r="D56" s="1349"/>
      <c r="E56" s="1349"/>
      <c r="F56" s="1349"/>
      <c r="G56" s="1349"/>
      <c r="H56" s="1349"/>
      <c r="I56" s="1349"/>
      <c r="J56" s="1349"/>
      <c r="K56" s="46"/>
    </row>
    <row r="57" spans="1:21" s="46" customFormat="1" ht="15" customHeight="1" thickBot="1" x14ac:dyDescent="0.25">
      <c r="A57" s="47"/>
      <c r="B57" s="47"/>
      <c r="C57" s="47"/>
      <c r="D57" s="47"/>
      <c r="E57" s="47"/>
      <c r="K57" s="48"/>
    </row>
    <row r="58" spans="1:21" s="48" customFormat="1" ht="31.5" customHeight="1" thickBot="1" x14ac:dyDescent="0.25">
      <c r="A58" s="1350" t="s">
        <v>38</v>
      </c>
      <c r="B58" s="1351"/>
      <c r="C58" s="1352" t="s">
        <v>46</v>
      </c>
      <c r="D58" s="1353"/>
      <c r="E58" s="1354" t="s">
        <v>238</v>
      </c>
      <c r="F58" s="1379"/>
      <c r="G58" s="1061" t="s">
        <v>553</v>
      </c>
      <c r="J58" s="114"/>
      <c r="L58" s="46"/>
      <c r="Q58" s="47"/>
      <c r="R58" s="47"/>
      <c r="S58" s="47"/>
      <c r="T58" s="47"/>
      <c r="U58" s="47"/>
    </row>
    <row r="59" spans="1:21" s="48" customFormat="1" ht="57.95" customHeight="1" thickBot="1" x14ac:dyDescent="0.25">
      <c r="A59" s="1024" t="s">
        <v>47</v>
      </c>
      <c r="B59" s="1025"/>
      <c r="C59" s="1026" t="e">
        <f>+C44/B26^0.5*1000</f>
        <v>#DIV/0!</v>
      </c>
      <c r="D59" s="1017" t="s">
        <v>3</v>
      </c>
      <c r="E59" s="1027" t="s">
        <v>240</v>
      </c>
      <c r="F59" s="139">
        <f>$B$26-1</f>
        <v>3</v>
      </c>
      <c r="G59" s="1111" t="e">
        <f>(C59/$G$70)^2</f>
        <v>#DIV/0!</v>
      </c>
      <c r="H59" s="47"/>
      <c r="K59" s="156">
        <v>0.3</v>
      </c>
      <c r="L59" s="157">
        <v>1.65</v>
      </c>
      <c r="M59" s="113"/>
    </row>
    <row r="60" spans="1:21" s="48" customFormat="1" ht="57.95" customHeight="1" thickBot="1" x14ac:dyDescent="0.25">
      <c r="A60" s="1019" t="s">
        <v>343</v>
      </c>
      <c r="B60" s="1020" t="s">
        <v>48</v>
      </c>
      <c r="C60" s="1021" t="e">
        <f>+C12/2</f>
        <v>#N/A</v>
      </c>
      <c r="D60" s="1022" t="s">
        <v>3</v>
      </c>
      <c r="E60" s="1023" t="s">
        <v>239</v>
      </c>
      <c r="F60" s="146" t="s">
        <v>265</v>
      </c>
      <c r="G60" s="1112"/>
      <c r="H60" s="1380" t="s">
        <v>241</v>
      </c>
      <c r="I60" s="1356"/>
      <c r="J60" s="1356"/>
      <c r="K60" s="1356"/>
      <c r="L60" s="1356"/>
      <c r="M60" s="1357"/>
    </row>
    <row r="61" spans="1:21" s="48" customFormat="1" ht="57.95" customHeight="1" thickBot="1" x14ac:dyDescent="0.25">
      <c r="A61" s="1028" t="s">
        <v>344</v>
      </c>
      <c r="B61" s="1029"/>
      <c r="C61" s="1030" t="e">
        <f>+C12/3^0.5</f>
        <v>#N/A</v>
      </c>
      <c r="D61" s="1031" t="s">
        <v>3</v>
      </c>
      <c r="E61" s="1032" t="s">
        <v>239</v>
      </c>
      <c r="F61" s="147" t="s">
        <v>265</v>
      </c>
      <c r="G61" s="1112"/>
      <c r="H61" s="132" t="s">
        <v>243</v>
      </c>
      <c r="I61" s="149" t="e">
        <f>MAX(C59:C62,C66:C67,C68)</f>
        <v>#DIV/0!</v>
      </c>
      <c r="J61" s="151" t="e">
        <f>IF((I62)&lt;=(K59),"1,65","2")</f>
        <v>#DIV/0!</v>
      </c>
      <c r="K61" s="152" t="s">
        <v>242</v>
      </c>
      <c r="L61" s="153" t="s">
        <v>237</v>
      </c>
      <c r="M61" s="360" t="s">
        <v>328</v>
      </c>
    </row>
    <row r="62" spans="1:21" s="48" customFormat="1" ht="57.95" customHeight="1" thickBot="1" x14ac:dyDescent="0.3">
      <c r="A62" s="1024" t="s">
        <v>49</v>
      </c>
      <c r="B62" s="1035"/>
      <c r="C62" s="1036" t="e">
        <f>+SQRT(SUMSQ(C60:C61))</f>
        <v>#N/A</v>
      </c>
      <c r="D62" s="1017" t="s">
        <v>3</v>
      </c>
      <c r="E62" s="1037" t="s">
        <v>240</v>
      </c>
      <c r="F62" s="139">
        <v>200</v>
      </c>
      <c r="G62" s="1112" t="e">
        <f t="shared" ref="G62:G68" si="0">(C62/$G$70)^2</f>
        <v>#N/A</v>
      </c>
      <c r="H62" s="133" t="s">
        <v>244</v>
      </c>
      <c r="I62" s="150" t="e">
        <f>SQRT((C59)^2+(C66)^2+(C67)^2)/I61</f>
        <v>#DIV/0!</v>
      </c>
      <c r="J62" s="126"/>
      <c r="K62" s="154" t="s">
        <v>242</v>
      </c>
      <c r="L62" s="155" t="s">
        <v>252</v>
      </c>
      <c r="M62" s="361" t="s">
        <v>329</v>
      </c>
    </row>
    <row r="63" spans="1:21" s="48" customFormat="1" ht="57.95" customHeight="1" x14ac:dyDescent="0.2">
      <c r="A63" s="1019" t="s">
        <v>345</v>
      </c>
      <c r="B63" s="1020"/>
      <c r="C63" s="1033" t="e">
        <f>+I49</f>
        <v>#DIV/0!</v>
      </c>
      <c r="D63" s="1021" t="s">
        <v>73</v>
      </c>
      <c r="E63" s="1034" t="s">
        <v>239</v>
      </c>
      <c r="F63" s="146" t="s">
        <v>265</v>
      </c>
      <c r="G63" s="1112"/>
      <c r="L63" s="46"/>
      <c r="T63" s="46"/>
      <c r="U63" s="46"/>
    </row>
    <row r="64" spans="1:21" s="48" customFormat="1" ht="57.95" customHeight="1" x14ac:dyDescent="0.2">
      <c r="A64" s="426" t="s">
        <v>50</v>
      </c>
      <c r="B64" s="1018"/>
      <c r="C64" s="425" t="e">
        <f>+H11/2</f>
        <v>#N/A</v>
      </c>
      <c r="D64" s="424" t="s">
        <v>73</v>
      </c>
      <c r="E64" s="423" t="s">
        <v>239</v>
      </c>
      <c r="F64" s="148" t="s">
        <v>265</v>
      </c>
      <c r="G64" s="1112"/>
      <c r="H64" s="130"/>
      <c r="J64" s="130"/>
      <c r="K64" s="130"/>
      <c r="L64" s="130"/>
      <c r="M64" s="130"/>
      <c r="Q64" s="47"/>
      <c r="R64" s="47"/>
      <c r="S64" s="47"/>
      <c r="T64" s="47"/>
      <c r="U64" s="47"/>
    </row>
    <row r="65" spans="1:21" s="48" customFormat="1" ht="57.95" customHeight="1" thickBot="1" x14ac:dyDescent="0.25">
      <c r="A65" s="1028" t="s">
        <v>346</v>
      </c>
      <c r="B65" s="1038"/>
      <c r="C65" s="1039" t="e">
        <f>+C14/2</f>
        <v>#N/A</v>
      </c>
      <c r="D65" s="1031" t="s">
        <v>73</v>
      </c>
      <c r="E65" s="1040" t="s">
        <v>239</v>
      </c>
      <c r="F65" s="147" t="s">
        <v>265</v>
      </c>
      <c r="G65" s="1112"/>
      <c r="H65" s="130"/>
      <c r="I65" s="130"/>
      <c r="J65" s="130"/>
      <c r="K65" s="130"/>
      <c r="L65" s="130"/>
      <c r="M65" s="130"/>
      <c r="Q65" s="46"/>
      <c r="R65" s="46"/>
      <c r="S65" s="46"/>
      <c r="T65" s="46"/>
      <c r="U65" s="46"/>
    </row>
    <row r="66" spans="1:21" s="48" customFormat="1" ht="57.95" customHeight="1" thickBot="1" x14ac:dyDescent="0.3">
      <c r="A66" s="1024" t="s">
        <v>347</v>
      </c>
      <c r="B66" s="1035"/>
      <c r="C66" s="1036" t="e">
        <f>+SQRT(ABS(((C10/1000+C11/1000000)*(C13-H10)/(C13*H10)*C63)^2+((C10/1000+C11/1000000)*(I48-I50))^2*C64^2/H10^4+(C10/1000+C11/1000000)^2*(I48-I50)*((I48-I50)-2*(C15-I50))*C65^2/C13^4))*1000000</f>
        <v>#N/A</v>
      </c>
      <c r="D66" s="1051" t="s">
        <v>3</v>
      </c>
      <c r="E66" s="1037" t="s">
        <v>240</v>
      </c>
      <c r="F66" s="139">
        <v>200</v>
      </c>
      <c r="G66" s="1112" t="e">
        <f t="shared" si="0"/>
        <v>#N/A</v>
      </c>
      <c r="H66" s="130"/>
      <c r="I66" s="1093" t="s">
        <v>554</v>
      </c>
      <c r="J66" s="1095" t="s">
        <v>556</v>
      </c>
      <c r="K66" s="1094" t="s">
        <v>555</v>
      </c>
      <c r="L66" s="130"/>
      <c r="M66" s="130"/>
      <c r="Q66" s="47"/>
      <c r="R66" s="47"/>
      <c r="S66" s="47"/>
      <c r="T66" s="47"/>
      <c r="U66" s="47"/>
    </row>
    <row r="67" spans="1:21" s="48" customFormat="1" ht="57.95" customHeight="1" thickBot="1" x14ac:dyDescent="0.3">
      <c r="A67" s="1047" t="s">
        <v>52</v>
      </c>
      <c r="B67" s="1048"/>
      <c r="C67" s="1049" t="e">
        <f>+(G15/2/3^0.5)*2^0.5*1000</f>
        <v>#N/A</v>
      </c>
      <c r="D67" s="1044" t="s">
        <v>3</v>
      </c>
      <c r="E67" s="1045" t="s">
        <v>239</v>
      </c>
      <c r="F67" s="1050">
        <v>200</v>
      </c>
      <c r="G67" s="1112" t="e">
        <f t="shared" si="0"/>
        <v>#N/A</v>
      </c>
      <c r="H67" s="130"/>
      <c r="I67" s="1096" t="e">
        <f>G70^4/((C59^4/F59)+(C62^4/F62)+(C66^4/F66)+(C67^4/F67)+(C68^4/F68))</f>
        <v>#DIV/0!</v>
      </c>
      <c r="J67" s="1097" t="e">
        <f>TINV(0.05,I67)</f>
        <v>#DIV/0!</v>
      </c>
      <c r="K67" s="1098" t="e">
        <f>1-TDIST(J67,I67,2)</f>
        <v>#DIV/0!</v>
      </c>
      <c r="L67" s="130"/>
      <c r="M67" s="130"/>
    </row>
    <row r="68" spans="1:21" s="46" customFormat="1" ht="65.25" customHeight="1" thickBot="1" x14ac:dyDescent="0.3">
      <c r="A68" s="1041" t="s">
        <v>551</v>
      </c>
      <c r="B68" s="1042"/>
      <c r="C68" s="1043">
        <f>0.01/SQRT(45)</f>
        <v>1.4907119849998597E-3</v>
      </c>
      <c r="D68" s="1044" t="s">
        <v>3</v>
      </c>
      <c r="E68" s="1045" t="s">
        <v>240</v>
      </c>
      <c r="F68" s="1046">
        <v>50</v>
      </c>
      <c r="G68" s="1113" t="e">
        <f t="shared" si="0"/>
        <v>#DIV/0!</v>
      </c>
      <c r="H68" s="130"/>
      <c r="I68" s="130"/>
      <c r="J68" s="130"/>
      <c r="K68" s="130"/>
      <c r="L68" s="130"/>
      <c r="M68" s="130"/>
      <c r="S68" s="48"/>
      <c r="T68" s="48"/>
      <c r="U68" s="48"/>
    </row>
    <row r="69" spans="1:21" s="46" customFormat="1" ht="65.25" customHeight="1" thickBot="1" x14ac:dyDescent="0.25">
      <c r="A69" s="130"/>
      <c r="B69" s="130"/>
      <c r="C69" s="130"/>
      <c r="D69" s="130"/>
      <c r="E69" s="130"/>
      <c r="F69" s="130"/>
      <c r="G69" s="1114" t="e">
        <f>SUM(G59,G62,G66,G67,G68)</f>
        <v>#DIV/0!</v>
      </c>
      <c r="H69" s="130"/>
      <c r="I69" s="130"/>
      <c r="J69" s="130"/>
      <c r="K69" s="130"/>
      <c r="L69" s="130"/>
      <c r="M69" s="130"/>
      <c r="S69" s="48"/>
      <c r="T69" s="48"/>
      <c r="U69" s="48"/>
    </row>
    <row r="70" spans="1:21" s="106" customFormat="1" ht="51.75" customHeight="1" thickBot="1" x14ac:dyDescent="0.3">
      <c r="D70" s="1306" t="s">
        <v>51</v>
      </c>
      <c r="E70" s="1307"/>
      <c r="F70" s="134"/>
      <c r="G70" s="140" t="e">
        <f>+SQRT(SUMSQ(C59,C62,C66,C67,C68))</f>
        <v>#DIV/0!</v>
      </c>
      <c r="H70" s="136" t="s">
        <v>3</v>
      </c>
      <c r="K70" s="130"/>
      <c r="L70" s="130"/>
      <c r="M70" s="130"/>
      <c r="S70" s="48"/>
      <c r="T70" s="48"/>
      <c r="U70" s="48"/>
    </row>
    <row r="71" spans="1:21" s="106" customFormat="1" ht="35.1" customHeight="1" thickBot="1" x14ac:dyDescent="0.25">
      <c r="D71" s="1306" t="s">
        <v>53</v>
      </c>
      <c r="E71" s="1307"/>
      <c r="F71" s="135"/>
      <c r="G71" s="140" t="e">
        <f>+G70*2</f>
        <v>#DIV/0!</v>
      </c>
      <c r="H71" s="137" t="s">
        <v>3</v>
      </c>
      <c r="K71" s="110"/>
      <c r="L71" s="107"/>
      <c r="O71" s="48"/>
      <c r="P71" s="48"/>
      <c r="Q71" s="48"/>
      <c r="R71" s="48"/>
      <c r="S71" s="48"/>
      <c r="T71" s="48"/>
      <c r="U71" s="48"/>
    </row>
    <row r="72" spans="1:21" s="106" customFormat="1" ht="33.75" customHeight="1" thickBot="1" x14ac:dyDescent="4.45">
      <c r="B72" s="1313" t="s">
        <v>54</v>
      </c>
      <c r="C72" s="1314"/>
      <c r="D72" s="1314"/>
      <c r="E72" s="1314"/>
      <c r="F72" s="1314"/>
      <c r="G72" s="1314"/>
      <c r="H72" s="1314"/>
      <c r="I72" s="1314"/>
      <c r="J72" s="1314"/>
      <c r="K72" s="1315"/>
      <c r="L72" s="117"/>
      <c r="O72" s="48"/>
      <c r="P72" s="48"/>
      <c r="Q72" s="48"/>
      <c r="R72" s="48"/>
      <c r="S72" s="48"/>
      <c r="T72" s="48"/>
      <c r="U72" s="48"/>
    </row>
    <row r="73" spans="1:21" s="106" customFormat="1" ht="35.1" customHeight="1" thickBot="1" x14ac:dyDescent="0.25">
      <c r="B73" s="1368" t="s">
        <v>255</v>
      </c>
      <c r="C73" s="1369"/>
      <c r="D73" s="1369"/>
      <c r="E73" s="1370"/>
      <c r="F73" s="79"/>
      <c r="G73" s="80"/>
      <c r="H73" s="1371"/>
      <c r="I73" s="1372"/>
      <c r="J73" s="1372"/>
      <c r="K73" s="1373"/>
      <c r="O73" s="48"/>
      <c r="P73" s="48"/>
      <c r="Q73" s="48"/>
      <c r="R73" s="48"/>
      <c r="S73" s="48"/>
      <c r="T73" s="48"/>
      <c r="U73" s="48"/>
    </row>
    <row r="74" spans="1:21" s="106" customFormat="1" ht="40.5" customHeight="1" x14ac:dyDescent="0.2">
      <c r="B74" s="118"/>
      <c r="C74" s="362" t="s">
        <v>348</v>
      </c>
      <c r="D74" s="119" t="s">
        <v>253</v>
      </c>
      <c r="E74" s="120"/>
      <c r="F74" s="1358"/>
      <c r="G74" s="1358"/>
      <c r="H74" s="1359" t="s">
        <v>266</v>
      </c>
      <c r="I74" s="1381" t="s">
        <v>254</v>
      </c>
      <c r="J74" s="1381"/>
      <c r="K74" s="1382"/>
      <c r="O74" s="48"/>
      <c r="P74" s="48"/>
      <c r="Q74" s="48"/>
      <c r="R74" s="48"/>
      <c r="S74" s="48"/>
      <c r="T74" s="48"/>
      <c r="U74" s="48"/>
    </row>
    <row r="75" spans="1:21" s="106" customFormat="1" ht="35.1" customHeight="1" x14ac:dyDescent="0.2">
      <c r="B75" s="81" t="e">
        <f>C10</f>
        <v>#N/A</v>
      </c>
      <c r="C75" s="77" t="e">
        <f>C11</f>
        <v>#N/A</v>
      </c>
      <c r="D75" s="78" t="e">
        <f>H54</f>
        <v>#DIV/0!</v>
      </c>
      <c r="E75" s="216" t="e">
        <f>B75+(C75/1000)+(D75/1000)</f>
        <v>#N/A</v>
      </c>
      <c r="F75" s="264" t="e">
        <f>E75*1000-B75*1000</f>
        <v>#N/A</v>
      </c>
      <c r="G75" s="61"/>
      <c r="H75" s="1360"/>
      <c r="I75" s="1055" t="e">
        <f>G71</f>
        <v>#DIV/0!</v>
      </c>
      <c r="J75" s="1364"/>
      <c r="K75" s="1365"/>
      <c r="O75" s="48"/>
      <c r="P75" s="48"/>
      <c r="Q75" s="48"/>
      <c r="R75" s="48"/>
      <c r="S75" s="48"/>
      <c r="T75" s="48"/>
      <c r="U75" s="48"/>
    </row>
    <row r="76" spans="1:21" s="106" customFormat="1" ht="35.1" customHeight="1" thickBot="1" x14ac:dyDescent="0.25">
      <c r="B76" s="87" t="e">
        <f>B75</f>
        <v>#N/A</v>
      </c>
      <c r="C76" s="88" t="e">
        <f>C75</f>
        <v>#N/A</v>
      </c>
      <c r="D76" s="88" t="e">
        <f>D75</f>
        <v>#DIV/0!</v>
      </c>
      <c r="E76" s="217" t="e">
        <f>B76+(C76/1000)+(D76/1000)</f>
        <v>#N/A</v>
      </c>
      <c r="F76" s="283" t="e">
        <f>F75/1000</f>
        <v>#N/A</v>
      </c>
      <c r="G76" s="89"/>
      <c r="H76" s="1361"/>
      <c r="I76" s="290" t="e">
        <f>I75/1000</f>
        <v>#DIV/0!</v>
      </c>
      <c r="J76" s="1366"/>
      <c r="K76" s="1367"/>
      <c r="O76" s="48"/>
      <c r="P76" s="48"/>
      <c r="Q76" s="48"/>
      <c r="R76" s="48"/>
      <c r="S76" s="48"/>
      <c r="T76" s="48"/>
      <c r="U76" s="48"/>
    </row>
    <row r="77" spans="1:21" s="106" customFormat="1" ht="35.1" customHeight="1" x14ac:dyDescent="0.2">
      <c r="G77" s="47"/>
      <c r="H77" s="47"/>
      <c r="I77" s="47"/>
      <c r="J77" s="47"/>
      <c r="O77" s="48"/>
      <c r="P77" s="48"/>
      <c r="Q77" s="48"/>
      <c r="R77" s="48"/>
      <c r="S77" s="48"/>
      <c r="T77" s="48"/>
      <c r="U77" s="48"/>
    </row>
    <row r="78" spans="1:21" s="106" customFormat="1" ht="35.1" customHeight="1" x14ac:dyDescent="0.2">
      <c r="G78" s="47"/>
      <c r="H78" s="47"/>
      <c r="I78" s="47"/>
      <c r="J78" s="47"/>
      <c r="O78" s="48"/>
      <c r="P78" s="48"/>
      <c r="Q78" s="48"/>
      <c r="R78" s="48"/>
      <c r="S78" s="48"/>
      <c r="T78" s="48"/>
      <c r="U78" s="48"/>
    </row>
    <row r="79" spans="1:21" s="106" customFormat="1" ht="35.1" customHeight="1" x14ac:dyDescent="0.2">
      <c r="G79" s="47"/>
      <c r="H79" s="47"/>
      <c r="I79" s="47"/>
      <c r="J79" s="47"/>
    </row>
    <row r="80" spans="1:21" s="107" customFormat="1" ht="35.1" customHeight="1" x14ac:dyDescent="0.2">
      <c r="A80" s="109"/>
      <c r="B80" s="106"/>
      <c r="C80" s="106"/>
      <c r="D80" s="106"/>
      <c r="E80" s="106"/>
      <c r="F80" s="106"/>
      <c r="G80" s="47"/>
      <c r="H80" s="47"/>
    </row>
    <row r="81" spans="2:11" s="111" customFormat="1" ht="35.1" customHeight="1" x14ac:dyDescent="0.2">
      <c r="B81" s="106"/>
      <c r="C81" s="106"/>
      <c r="D81" s="106"/>
      <c r="E81" s="106"/>
      <c r="F81" s="106"/>
      <c r="G81" s="47"/>
      <c r="H81" s="47"/>
    </row>
    <row r="82" spans="2:11" s="106" customFormat="1" ht="61.5" customHeight="1" x14ac:dyDescent="0.2">
      <c r="H82" s="111"/>
      <c r="I82" s="111"/>
      <c r="J82" s="111"/>
      <c r="K82" s="108"/>
    </row>
    <row r="83" spans="2:11" s="106" customFormat="1" ht="35.1" customHeight="1" x14ac:dyDescent="0.2">
      <c r="G83" s="111"/>
      <c r="H83" s="111"/>
      <c r="I83" s="111"/>
      <c r="J83" s="111"/>
      <c r="K83" s="108"/>
    </row>
    <row r="84" spans="2:11" s="106" customFormat="1" ht="35.1" customHeight="1" x14ac:dyDescent="0.2">
      <c r="G84" s="111"/>
      <c r="H84" s="111"/>
      <c r="I84" s="111"/>
      <c r="J84" s="111"/>
      <c r="K84" s="108"/>
    </row>
    <row r="85" spans="2:11" s="106" customFormat="1" ht="35.1" customHeight="1" x14ac:dyDescent="0.2">
      <c r="F85" s="107"/>
      <c r="K85" s="108"/>
    </row>
    <row r="86" spans="2:11" s="106" customFormat="1" ht="50.1" customHeight="1" x14ac:dyDescent="0.2"/>
    <row r="87" spans="2:11" s="106" customFormat="1" ht="57.75" customHeight="1" x14ac:dyDescent="0.2">
      <c r="C87" s="112"/>
      <c r="D87" s="112"/>
      <c r="E87" s="112"/>
    </row>
    <row r="88" spans="2:11" s="106" customFormat="1" ht="35.1" customHeight="1" x14ac:dyDescent="0.2"/>
    <row r="89" spans="2:11" s="106" customFormat="1" ht="35.1" customHeight="1" x14ac:dyDescent="0.2">
      <c r="F89" s="108"/>
      <c r="G89" s="108"/>
      <c r="H89" s="108"/>
      <c r="I89" s="108"/>
      <c r="J89" s="108"/>
    </row>
    <row r="90" spans="2:11" s="106" customFormat="1" ht="35.1" customHeight="1" x14ac:dyDescent="0.2"/>
    <row r="91" spans="2:11" s="106" customFormat="1" ht="50.1" customHeight="1" x14ac:dyDescent="0.2">
      <c r="J91" s="47"/>
    </row>
    <row r="92" spans="2:11" s="106" customFormat="1" ht="55.5" customHeight="1" x14ac:dyDescent="0.2">
      <c r="J92" s="111"/>
    </row>
    <row r="93" spans="2:11" s="106" customFormat="1" ht="50.1" customHeight="1" x14ac:dyDescent="0.2">
      <c r="J93" s="111"/>
    </row>
    <row r="94" spans="2:11" s="107" customFormat="1" ht="31.5" customHeight="1" x14ac:dyDescent="0.2">
      <c r="J94" s="111"/>
    </row>
    <row r="95" spans="2:11" s="106" customFormat="1" ht="35.1" customHeight="1" x14ac:dyDescent="0.2">
      <c r="G95" s="111"/>
      <c r="H95" s="111"/>
      <c r="I95" s="111"/>
      <c r="J95" s="111"/>
    </row>
    <row r="96" spans="2:11" s="106" customFormat="1" ht="35.1" customHeight="1" x14ac:dyDescent="0.2">
      <c r="G96" s="111"/>
      <c r="H96" s="111"/>
      <c r="I96" s="111"/>
      <c r="J96" s="111"/>
    </row>
    <row r="97" spans="1:12" s="106" customFormat="1" ht="9.9499999999999993" customHeight="1" x14ac:dyDescent="0.2">
      <c r="G97" s="108"/>
      <c r="H97" s="108"/>
      <c r="I97" s="108"/>
      <c r="J97" s="108"/>
    </row>
    <row r="98" spans="1:12" s="106" customFormat="1" ht="35.1" customHeight="1" x14ac:dyDescent="0.2">
      <c r="J98" s="108"/>
      <c r="K98" s="108"/>
      <c r="L98" s="108"/>
    </row>
    <row r="99" spans="1:12" s="46" customFormat="1" ht="15" customHeight="1" x14ac:dyDescent="0.2">
      <c r="A99" s="47"/>
      <c r="G99" s="47"/>
      <c r="H99" s="47"/>
      <c r="I99" s="47"/>
      <c r="J99" s="47"/>
      <c r="K99" s="48"/>
    </row>
    <row r="100" spans="1:12" s="48" customFormat="1" ht="31.5" customHeight="1" x14ac:dyDescent="0.2">
      <c r="A100" s="47"/>
      <c r="B100" s="47"/>
      <c r="C100" s="47"/>
      <c r="D100" s="47"/>
      <c r="E100" s="47"/>
      <c r="F100" s="47"/>
      <c r="G100" s="47"/>
      <c r="H100" s="47"/>
      <c r="I100" s="47"/>
      <c r="J100" s="47"/>
    </row>
    <row r="101" spans="1:12" s="48" customFormat="1" ht="31.5" customHeight="1" x14ac:dyDescent="0.2"/>
    <row r="102" spans="1:12" s="48" customFormat="1" ht="31.5" customHeight="1" x14ac:dyDescent="0.2"/>
    <row r="103" spans="1:12" s="48" customFormat="1" ht="52.5" customHeight="1" x14ac:dyDescent="0.2"/>
    <row r="104" spans="1:12" s="48" customFormat="1" ht="31.5" customHeight="1" x14ac:dyDescent="0.2">
      <c r="K104" s="8"/>
    </row>
    <row r="105" spans="1:12" s="48" customFormat="1" ht="31.5" customHeight="1" x14ac:dyDescent="0.2">
      <c r="K105" s="8"/>
    </row>
    <row r="106" spans="1:12" ht="31.5" customHeight="1" x14ac:dyDescent="0.2">
      <c r="G106" s="76"/>
    </row>
    <row r="107" spans="1:12" ht="51" customHeight="1" x14ac:dyDescent="0.2"/>
    <row r="109" spans="1:12" ht="31.5" customHeight="1" x14ac:dyDescent="0.2">
      <c r="B109" s="29"/>
      <c r="C109" s="29"/>
      <c r="D109" s="29"/>
      <c r="E109" s="29"/>
      <c r="F109" s="29"/>
      <c r="G109" s="29"/>
      <c r="H109" s="29"/>
      <c r="I109" s="29"/>
      <c r="J109" s="29"/>
    </row>
    <row r="110" spans="1:12" ht="31.5" customHeight="1" x14ac:dyDescent="0.2">
      <c r="B110" s="29"/>
      <c r="C110" s="29"/>
      <c r="D110" s="29"/>
      <c r="E110" s="29"/>
      <c r="F110" s="29"/>
      <c r="G110" s="29"/>
      <c r="H110" s="29"/>
      <c r="I110" s="29"/>
      <c r="J110" s="29"/>
    </row>
    <row r="111" spans="1:12" ht="31.5" customHeight="1" x14ac:dyDescent="0.2">
      <c r="B111" s="29"/>
      <c r="C111" s="29"/>
      <c r="D111" s="29"/>
      <c r="E111" s="29"/>
      <c r="F111" s="29"/>
      <c r="G111" s="29"/>
      <c r="H111" s="29"/>
      <c r="I111" s="29"/>
      <c r="J111" s="29"/>
    </row>
    <row r="112" spans="1:12" ht="31.5" customHeight="1" x14ac:dyDescent="0.2">
      <c r="B112" s="29"/>
      <c r="C112" s="29"/>
      <c r="D112" s="29"/>
      <c r="E112" s="29"/>
      <c r="F112" s="29"/>
      <c r="G112" s="29"/>
      <c r="H112" s="29"/>
      <c r="I112" s="29"/>
      <c r="J112" s="29"/>
    </row>
    <row r="113" spans="2:10" ht="31.5" customHeight="1" x14ac:dyDescent="0.2">
      <c r="B113" s="29"/>
      <c r="C113" s="29"/>
      <c r="D113" s="29"/>
      <c r="E113" s="29"/>
      <c r="F113" s="29"/>
      <c r="G113" s="29"/>
      <c r="H113" s="29"/>
      <c r="I113" s="29"/>
      <c r="J113" s="29"/>
    </row>
    <row r="114" spans="2:10" ht="31.5" customHeight="1" x14ac:dyDescent="0.2">
      <c r="B114" s="29"/>
      <c r="C114" s="29"/>
      <c r="D114" s="29"/>
      <c r="E114" s="29"/>
      <c r="F114" s="29"/>
      <c r="G114" s="29"/>
      <c r="H114" s="29"/>
      <c r="I114" s="29"/>
      <c r="J114" s="29"/>
    </row>
    <row r="115" spans="2:10" ht="31.5" customHeight="1" x14ac:dyDescent="0.2">
      <c r="B115" s="29"/>
      <c r="C115" s="29"/>
      <c r="D115" s="29"/>
      <c r="E115" s="29"/>
      <c r="F115" s="29"/>
      <c r="G115" s="29"/>
      <c r="H115" s="29"/>
      <c r="I115" s="29"/>
      <c r="J115" s="29"/>
    </row>
  </sheetData>
  <sheetProtection password="CF5C" sheet="1" objects="1" scenarios="1"/>
  <mergeCells count="62">
    <mergeCell ref="D70:E70"/>
    <mergeCell ref="D71:E71"/>
    <mergeCell ref="B72:K72"/>
    <mergeCell ref="B73:E73"/>
    <mergeCell ref="H73:K73"/>
    <mergeCell ref="F74:G74"/>
    <mergeCell ref="H74:H76"/>
    <mergeCell ref="I74:K74"/>
    <mergeCell ref="J75:K75"/>
    <mergeCell ref="J76:K76"/>
    <mergeCell ref="A56:J56"/>
    <mergeCell ref="A58:B58"/>
    <mergeCell ref="C58:D58"/>
    <mergeCell ref="E58:F58"/>
    <mergeCell ref="H60:M60"/>
    <mergeCell ref="A50:B50"/>
    <mergeCell ref="G50:H50"/>
    <mergeCell ref="A52:J52"/>
    <mergeCell ref="D53:E53"/>
    <mergeCell ref="H53:I53"/>
    <mergeCell ref="A49:B49"/>
    <mergeCell ref="G49:H49"/>
    <mergeCell ref="A28:A31"/>
    <mergeCell ref="C33:D33"/>
    <mergeCell ref="F33:G33"/>
    <mergeCell ref="A36:J36"/>
    <mergeCell ref="B38:F38"/>
    <mergeCell ref="H38:J38"/>
    <mergeCell ref="H39:J42"/>
    <mergeCell ref="A46:J46"/>
    <mergeCell ref="A47:B48"/>
    <mergeCell ref="C47:E47"/>
    <mergeCell ref="G48:H48"/>
    <mergeCell ref="A27:B27"/>
    <mergeCell ref="G27:H27"/>
    <mergeCell ref="A14:B14"/>
    <mergeCell ref="A15:B15"/>
    <mergeCell ref="A16:B16"/>
    <mergeCell ref="C16:D16"/>
    <mergeCell ref="A18:J18"/>
    <mergeCell ref="F19:G19"/>
    <mergeCell ref="J19:J20"/>
    <mergeCell ref="A20:B20"/>
    <mergeCell ref="E20:F20"/>
    <mergeCell ref="A22:J22"/>
    <mergeCell ref="C24:D24"/>
    <mergeCell ref="F24:G24"/>
    <mergeCell ref="C26:F26"/>
    <mergeCell ref="G26:H26"/>
    <mergeCell ref="A13:B13"/>
    <mergeCell ref="F13:I13"/>
    <mergeCell ref="A1:B1"/>
    <mergeCell ref="C1:M1"/>
    <mergeCell ref="I3:J4"/>
    <mergeCell ref="A6:D6"/>
    <mergeCell ref="F6:I6"/>
    <mergeCell ref="F9:G9"/>
    <mergeCell ref="A10:B10"/>
    <mergeCell ref="F10:G10"/>
    <mergeCell ref="A11:B11"/>
    <mergeCell ref="F11:G11"/>
    <mergeCell ref="A12:B12"/>
  </mergeCells>
  <printOptions horizontalCentered="1"/>
  <pageMargins left="0.70866141732283472" right="0.70866141732283472" top="0.74803149606299213" bottom="0.74803149606299213" header="0.31496062992125984" footer="0.31496062992125984"/>
  <pageSetup scale="13" orientation="portrait" r:id="rId1"/>
  <headerFooter>
    <oddHeader xml:space="preserve">&amp;C
&amp;16   
</oddHeader>
    <oddFooter xml:space="preserve">&amp;RRT03-F13 Vr.14 (2021-05-21)
</oddFooter>
  </headerFooter>
  <rowBreaks count="1" manualBreakCount="1">
    <brk id="34" max="12" man="1"/>
  </rowBreaks>
  <drawing r:id="rId2"/>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1400-000000000000}">
          <x14:formula1>
            <xm:f>'DATOS %'!$J$174:$J$179</xm:f>
          </x14:formula1>
          <xm:sqref>J19:J20</xm:sqref>
        </x14:dataValidation>
        <x14:dataValidation type="list" allowBlank="1" showInputMessage="1" showErrorMessage="1" xr:uid="{00000000-0002-0000-1400-000001000000}">
          <x14:formula1>
            <xm:f>'DATOS %'!$N$121:$N$166</xm:f>
          </x14:formula1>
          <xm:sqref>F48</xm:sqref>
        </x14:dataValidation>
        <x14:dataValidation type="list" allowBlank="1" showInputMessage="1" showErrorMessage="1" xr:uid="{00000000-0002-0000-1400-000002000000}">
          <x14:formula1>
            <xm:f>'DATOS %'!$N$29:$N$113</xm:f>
          </x14:formula1>
          <xm:sqref>E6</xm:sqref>
        </x14:dataValidation>
        <x14:dataValidation type="list" allowBlank="1" showInputMessage="1" showErrorMessage="1" xr:uid="{00000000-0002-0000-1400-000003000000}">
          <x14:formula1>
            <xm:f>'DATOS %'!$V$120:$V$126</xm:f>
          </x14:formula1>
          <xm:sqref>J13</xm:sqref>
        </x14:dataValidation>
        <x14:dataValidation type="list" allowBlank="1" showInputMessage="1" showErrorMessage="1" xr:uid="{00000000-0002-0000-1400-000004000000}">
          <x14:formula1>
            <xm:f>'DATOS %'!$V$161:$V$165</xm:f>
          </x14:formula1>
          <xm:sqref>H25</xm:sqref>
        </x14:dataValidation>
        <x14:dataValidation type="list" allowBlank="1" showInputMessage="1" showErrorMessage="1" xr:uid="{00000000-0002-0000-1400-000005000000}">
          <x14:formula1>
            <xm:f>'DATOS %'!$B$7:$B$40</xm:f>
          </x14:formula1>
          <xm:sqref>I3:J4</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U115"/>
  <sheetViews>
    <sheetView showGridLines="0" view="pageBreakPreview" zoomScale="80" zoomScaleNormal="60" zoomScaleSheetLayoutView="80" workbookViewId="0">
      <selection activeCell="C65" sqref="C65"/>
    </sheetView>
  </sheetViews>
  <sheetFormatPr baseColWidth="10" defaultColWidth="11.42578125" defaultRowHeight="31.5" customHeight="1" x14ac:dyDescent="0.2"/>
  <cols>
    <col min="1" max="1" width="14.7109375" style="37" customWidth="1"/>
    <col min="2" max="2" width="12" style="37" customWidth="1"/>
    <col min="3" max="3" width="15.7109375" style="37" customWidth="1"/>
    <col min="4" max="4" width="17" style="37" customWidth="1"/>
    <col min="5" max="5" width="15.5703125" style="37" customWidth="1"/>
    <col min="6" max="6" width="18.5703125" style="37" customWidth="1"/>
    <col min="7" max="7" width="15.7109375" style="37" customWidth="1"/>
    <col min="8" max="8" width="24.42578125" style="37" bestFit="1" customWidth="1"/>
    <col min="9" max="9" width="13.85546875" style="37" bestFit="1" customWidth="1"/>
    <col min="10" max="10" width="13.7109375" style="37" customWidth="1"/>
    <col min="11" max="19" width="11.42578125" style="8"/>
    <col min="20" max="20" width="15.85546875" style="8" bestFit="1" customWidth="1"/>
    <col min="21" max="21" width="14.42578125" style="8" bestFit="1" customWidth="1"/>
    <col min="22" max="16384" width="11.42578125" style="8"/>
  </cols>
  <sheetData>
    <row r="1" spans="1:16" ht="60" customHeight="1" thickBot="1" x14ac:dyDescent="0.25">
      <c r="A1" s="1257"/>
      <c r="B1" s="1258"/>
      <c r="C1" s="1259" t="s">
        <v>57</v>
      </c>
      <c r="D1" s="1260"/>
      <c r="E1" s="1260"/>
      <c r="F1" s="1260"/>
      <c r="G1" s="1260"/>
      <c r="H1" s="1260"/>
      <c r="I1" s="1260"/>
      <c r="J1" s="1260"/>
      <c r="K1" s="1260"/>
      <c r="L1" s="1260"/>
      <c r="M1" s="1261"/>
      <c r="N1" s="7"/>
      <c r="O1" s="7"/>
      <c r="P1" s="7"/>
    </row>
    <row r="2" spans="1:16" s="11" customFormat="1" ht="9.75" customHeight="1" thickBot="1" x14ac:dyDescent="0.25">
      <c r="A2" s="9"/>
      <c r="B2" s="9"/>
      <c r="C2" s="10"/>
      <c r="D2" s="10"/>
      <c r="E2" s="10"/>
      <c r="F2" s="10"/>
      <c r="G2" s="10"/>
      <c r="H2" s="10"/>
      <c r="K2" s="12"/>
      <c r="M2" s="7"/>
    </row>
    <row r="3" spans="1:16" s="12" customFormat="1" ht="35.25" customHeight="1" thickBot="1" x14ac:dyDescent="0.25">
      <c r="A3" s="13" t="s">
        <v>17</v>
      </c>
      <c r="B3" s="14" t="s">
        <v>55</v>
      </c>
      <c r="C3" s="15" t="s">
        <v>209</v>
      </c>
      <c r="D3" s="15" t="s">
        <v>56</v>
      </c>
      <c r="E3" s="15" t="s">
        <v>8</v>
      </c>
      <c r="F3" s="16" t="s">
        <v>18</v>
      </c>
      <c r="G3" s="16" t="s">
        <v>297</v>
      </c>
      <c r="H3" s="17" t="s">
        <v>24</v>
      </c>
      <c r="I3" s="1262"/>
      <c r="J3" s="1263"/>
      <c r="K3" s="11"/>
      <c r="M3" s="7"/>
    </row>
    <row r="4" spans="1:16" s="11" customFormat="1" ht="32.25" customHeight="1" thickBot="1" x14ac:dyDescent="0.25">
      <c r="A4" s="18" t="e">
        <f>VLOOKUP($I$3,'DATOS %'!B7:J40,2,FALSE)</f>
        <v>#N/A</v>
      </c>
      <c r="B4" s="212" t="e">
        <f>VLOOKUP($I$3,'DATOS %'!$B$7:$J$40,3,FALSE)</f>
        <v>#N/A</v>
      </c>
      <c r="C4" s="19" t="e">
        <f>VLOOKUP($I$3,'DATOS %'!$B$7:$J$40,8,FALSE)</f>
        <v>#N/A</v>
      </c>
      <c r="D4" s="19" t="e">
        <f>VLOOKUP($I$3,'DATOS %'!$B$7:$J$40,6,FALSE)</f>
        <v>#N/A</v>
      </c>
      <c r="E4" s="212" t="e">
        <f>VLOOKUP($I$3,'DATOS %'!$B$7:$J$40,7,FALSE)</f>
        <v>#N/A</v>
      </c>
      <c r="F4" s="18" t="e">
        <f>VLOOKUP($I$3,'DATOS %'!$B$7:$J$40,4,FALSE)</f>
        <v>#N/A</v>
      </c>
      <c r="G4" s="18" t="e">
        <f>VLOOKUP($I$3,'DATOS %'!$B$7:$J$40,5,FALSE)</f>
        <v>#N/A</v>
      </c>
      <c r="H4" s="19" t="e">
        <f>VLOOKUP($I$3,'DATOS %'!$B$7:$J$40,9,FALSE)</f>
        <v>#N/A</v>
      </c>
      <c r="I4" s="1264"/>
      <c r="J4" s="1265"/>
      <c r="K4" s="8"/>
      <c r="L4" s="20"/>
      <c r="M4" s="20"/>
    </row>
    <row r="5" spans="1:16" s="22" customFormat="1" ht="6.75" customHeight="1" thickBot="1" x14ac:dyDescent="0.25">
      <c r="A5" s="21"/>
      <c r="B5" s="21"/>
      <c r="C5" s="21"/>
      <c r="F5" s="21"/>
      <c r="G5" s="21"/>
      <c r="H5" s="21"/>
      <c r="K5" s="8"/>
    </row>
    <row r="6" spans="1:16" ht="31.5" customHeight="1" thickBot="1" x14ac:dyDescent="0.25">
      <c r="A6" s="1266" t="s">
        <v>19</v>
      </c>
      <c r="B6" s="1267"/>
      <c r="C6" s="1267"/>
      <c r="D6" s="1268"/>
      <c r="E6" s="4"/>
      <c r="F6" s="1266" t="s">
        <v>20</v>
      </c>
      <c r="G6" s="1267"/>
      <c r="H6" s="1267"/>
      <c r="I6" s="1268"/>
      <c r="J6" s="402">
        <f>I3</f>
        <v>0</v>
      </c>
    </row>
    <row r="7" spans="1:16" ht="31.5" customHeight="1" x14ac:dyDescent="0.2">
      <c r="A7" s="23" t="s">
        <v>21</v>
      </c>
      <c r="B7" s="24" t="e">
        <f>VLOOKUP($E$6,'DATOS %'!N11:AA113,2,FALSE)</f>
        <v>#N/A</v>
      </c>
      <c r="C7" s="25" t="s">
        <v>10</v>
      </c>
      <c r="D7" s="26" t="e">
        <f>VLOOKUP($E$6,'DATOS %'!N11:AA113,3,FALSE)</f>
        <v>#N/A</v>
      </c>
      <c r="E7" s="27"/>
      <c r="F7" s="23" t="s">
        <v>21</v>
      </c>
      <c r="G7" s="24" t="e">
        <f>VLOOKUP($J$6,'DATOS %'!B47:I79,2,FALSE)</f>
        <v>#N/A</v>
      </c>
      <c r="H7" s="28" t="s">
        <v>10</v>
      </c>
      <c r="I7" s="26" t="e">
        <f>VLOOKUP($J$6,'DATOS %'!B47:I79,3,FALSE)</f>
        <v>#N/A</v>
      </c>
      <c r="J7" s="29"/>
    </row>
    <row r="8" spans="1:16" ht="31.5" customHeight="1" x14ac:dyDescent="0.2">
      <c r="A8" s="30" t="s">
        <v>22</v>
      </c>
      <c r="B8" s="31" t="e">
        <f>VLOOKUP($E$6,'DATOS %'!N11:AA113,4,FALSE)</f>
        <v>#N/A</v>
      </c>
      <c r="C8" s="32" t="s">
        <v>23</v>
      </c>
      <c r="D8" s="33" t="e">
        <f>VLOOKUP($E$6,'DATOS %'!N11:AA113,5,FALSE)</f>
        <v>#N/A</v>
      </c>
      <c r="E8" s="27"/>
      <c r="F8" s="30" t="s">
        <v>22</v>
      </c>
      <c r="G8" s="31" t="e">
        <f>VLOOKUP($J$6,'DATOS %'!B47:I79,4,FALSE)</f>
        <v>#N/A</v>
      </c>
      <c r="H8" s="32" t="s">
        <v>23</v>
      </c>
      <c r="I8" s="297" t="e">
        <f>VLOOKUP($J$6,'DATOS %'!B47:I79,5,FALSE)</f>
        <v>#N/A</v>
      </c>
      <c r="J8" s="29"/>
    </row>
    <row r="9" spans="1:16" ht="31.5" customHeight="1" x14ac:dyDescent="0.2">
      <c r="A9" s="34" t="s">
        <v>24</v>
      </c>
      <c r="B9" s="31" t="e">
        <f>VLOOKUP($E$6,'DATOS %'!N11:AA113,6,FALSE)</f>
        <v>#N/A</v>
      </c>
      <c r="C9" s="35" t="s">
        <v>15</v>
      </c>
      <c r="D9" s="36" t="e">
        <f>VLOOKUP($E$6,'DATOS %'!N11:AA113,7,FALSE)</f>
        <v>#N/A</v>
      </c>
      <c r="F9" s="1252" t="s">
        <v>62</v>
      </c>
      <c r="G9" s="1253"/>
      <c r="H9" s="31" t="e">
        <f>VLOOKUP($J$6,'DATOS %'!B47:I79,6,FALSE)</f>
        <v>#N/A</v>
      </c>
      <c r="I9" s="33" t="s">
        <v>1</v>
      </c>
      <c r="J9" s="29"/>
      <c r="K9" s="208"/>
    </row>
    <row r="10" spans="1:16" s="38" customFormat="1" ht="31.5" customHeight="1" x14ac:dyDescent="0.25">
      <c r="A10" s="1252" t="s">
        <v>63</v>
      </c>
      <c r="B10" s="1253"/>
      <c r="C10" s="223" t="e">
        <f>VLOOKUP($E$6,'DATOS %'!N11:AA113,8,FALSE)</f>
        <v>#N/A</v>
      </c>
      <c r="D10" s="33" t="s">
        <v>1</v>
      </c>
      <c r="F10" s="1252" t="s">
        <v>64</v>
      </c>
      <c r="G10" s="1253"/>
      <c r="H10" s="213" t="e">
        <f>VLOOKUP($J$6,'DATOS %'!B47:I79,7,FALSE)</f>
        <v>#N/A</v>
      </c>
      <c r="I10" s="33" t="s">
        <v>76</v>
      </c>
      <c r="J10" s="39"/>
    </row>
    <row r="11" spans="1:16" s="38" customFormat="1" ht="31.5" customHeight="1" thickBot="1" x14ac:dyDescent="0.3">
      <c r="A11" s="1252" t="s">
        <v>65</v>
      </c>
      <c r="B11" s="1253"/>
      <c r="C11" s="31" t="e">
        <f>VLOOKUP($E$6,'DATOS %'!N11:AA113,9,FALSE)</f>
        <v>#N/A</v>
      </c>
      <c r="D11" s="33" t="s">
        <v>3</v>
      </c>
      <c r="E11" s="40"/>
      <c r="F11" s="1271" t="s">
        <v>66</v>
      </c>
      <c r="G11" s="1272"/>
      <c r="H11" s="41" t="e">
        <f>VLOOKUP($J$6,'DATOS %'!B47:I79,8,FALSE)</f>
        <v>#N/A</v>
      </c>
      <c r="I11" s="45" t="s">
        <v>76</v>
      </c>
      <c r="J11" s="39"/>
    </row>
    <row r="12" spans="1:16" s="38" customFormat="1" ht="31.5" customHeight="1" thickBot="1" x14ac:dyDescent="0.3">
      <c r="A12" s="1252" t="s">
        <v>67</v>
      </c>
      <c r="B12" s="1253"/>
      <c r="C12" s="31" t="e">
        <f>VLOOKUP($E$6,'DATOS %'!N11:AA113,10,FALSE)</f>
        <v>#N/A</v>
      </c>
      <c r="D12" s="33" t="s">
        <v>3</v>
      </c>
      <c r="E12" s="39"/>
      <c r="F12" s="39"/>
      <c r="G12" s="39"/>
      <c r="H12" s="39"/>
    </row>
    <row r="13" spans="1:16" s="38" customFormat="1" ht="31.5" customHeight="1" thickBot="1" x14ac:dyDescent="0.3">
      <c r="A13" s="1252" t="s">
        <v>68</v>
      </c>
      <c r="B13" s="1253"/>
      <c r="C13" s="213" t="e">
        <f>VLOOKUP($E$6,'DATOS %'!N11:AA113,11,FALSE)</f>
        <v>#N/A</v>
      </c>
      <c r="D13" s="33" t="s">
        <v>76</v>
      </c>
      <c r="E13" s="39"/>
      <c r="F13" s="1254" t="s">
        <v>559</v>
      </c>
      <c r="G13" s="1255"/>
      <c r="H13" s="1255"/>
      <c r="I13" s="1256"/>
      <c r="J13" s="5"/>
    </row>
    <row r="14" spans="1:16" s="38" customFormat="1" ht="31.5" customHeight="1" x14ac:dyDescent="0.2">
      <c r="A14" s="1252" t="s">
        <v>305</v>
      </c>
      <c r="B14" s="1253"/>
      <c r="C14" s="31" t="e">
        <f>VLOOKUP($E$6,'DATOS %'!N11:AA113,12,FALSE)</f>
        <v>#N/A</v>
      </c>
      <c r="D14" s="33" t="s">
        <v>76</v>
      </c>
      <c r="E14" s="39"/>
      <c r="F14" s="23" t="s">
        <v>10</v>
      </c>
      <c r="G14" s="24" t="e">
        <f>VLOOKUP($J$13,'DATOS %'!$V$119:$Y$126,2,FALSE)</f>
        <v>#N/A</v>
      </c>
      <c r="H14" s="28" t="s">
        <v>22</v>
      </c>
      <c r="I14" s="24" t="e">
        <f>VLOOKUP($J$13,'DATOS %'!$V$119:$Z$126,3,FALSE)</f>
        <v>#N/A</v>
      </c>
      <c r="J14" s="42"/>
      <c r="K14" s="8"/>
    </row>
    <row r="15" spans="1:16" ht="31.5" customHeight="1" thickBot="1" x14ac:dyDescent="0.25">
      <c r="A15" s="1277" t="s">
        <v>69</v>
      </c>
      <c r="B15" s="1278"/>
      <c r="C15" s="31" t="e">
        <f>VLOOKUP($E$6,'DATOS %'!N11:AA113,13,FALSE)</f>
        <v>#N/A</v>
      </c>
      <c r="D15" s="33" t="s">
        <v>76</v>
      </c>
      <c r="E15" s="29"/>
      <c r="F15" s="43" t="s">
        <v>61</v>
      </c>
      <c r="G15" s="41" t="e">
        <f>VLOOKUP($J$13,'DATOS %'!$V$119:$Y$126,4,FALSE)</f>
        <v>#N/A</v>
      </c>
      <c r="H15" s="41" t="s">
        <v>1</v>
      </c>
      <c r="I15" s="238" t="s">
        <v>210</v>
      </c>
      <c r="J15" s="45" t="e">
        <f>VLOOKUP($J$13,'DATOS %'!$V$119:$Z$126,5,FALSE)</f>
        <v>#N/A</v>
      </c>
      <c r="K15" s="22"/>
    </row>
    <row r="16" spans="1:16" ht="30.95" customHeight="1" thickBot="1" x14ac:dyDescent="0.25">
      <c r="A16" s="1279" t="s">
        <v>210</v>
      </c>
      <c r="B16" s="1280"/>
      <c r="C16" s="1281" t="e">
        <f>VLOOKUP($E$6,'DATOS %'!N11:AA113,14,FALSE)</f>
        <v>#N/A</v>
      </c>
      <c r="D16" s="1282"/>
      <c r="E16" s="29"/>
      <c r="F16" s="8"/>
      <c r="G16" s="8"/>
      <c r="H16" s="8"/>
      <c r="I16" s="8"/>
      <c r="J16" s="8"/>
    </row>
    <row r="17" spans="1:11" s="22" customFormat="1" ht="30.95" customHeight="1" thickBot="1" x14ac:dyDescent="0.25">
      <c r="A17" s="29"/>
      <c r="B17" s="29"/>
      <c r="C17" s="29"/>
      <c r="D17" s="29"/>
      <c r="E17" s="29"/>
      <c r="F17" s="29"/>
      <c r="G17" s="29"/>
      <c r="H17" s="29"/>
      <c r="I17" s="29"/>
      <c r="J17" s="29"/>
      <c r="K17" s="8"/>
    </row>
    <row r="18" spans="1:11" ht="31.5" customHeight="1" thickBot="1" x14ac:dyDescent="0.25">
      <c r="A18" s="1331" t="s">
        <v>26</v>
      </c>
      <c r="B18" s="1332"/>
      <c r="C18" s="1332"/>
      <c r="D18" s="1332"/>
      <c r="E18" s="1332"/>
      <c r="F18" s="1332"/>
      <c r="G18" s="1332"/>
      <c r="H18" s="1332"/>
      <c r="I18" s="1332"/>
      <c r="J18" s="1333"/>
    </row>
    <row r="19" spans="1:11" ht="46.5" customHeight="1" thickBot="1" x14ac:dyDescent="0.25">
      <c r="A19" s="407" t="s">
        <v>10</v>
      </c>
      <c r="B19" s="101" t="e">
        <f>VLOOKUP(J19,'DATOS %'!J174:W180,2,FALSE)</f>
        <v>#N/A</v>
      </c>
      <c r="C19" s="95" t="s">
        <v>7</v>
      </c>
      <c r="D19" s="408" t="e">
        <f>VLOOKUP(J19,'DATOS %'!J174:W180,3,FALSE)</f>
        <v>#N/A</v>
      </c>
      <c r="E19" s="409" t="s">
        <v>24</v>
      </c>
      <c r="F19" s="1286" t="e">
        <f>VLOOKUP(J19,'DATOS %'!J174:W180,5,FALSE)</f>
        <v>#N/A</v>
      </c>
      <c r="G19" s="1287"/>
      <c r="H19" s="95" t="s">
        <v>25</v>
      </c>
      <c r="I19" s="212" t="e">
        <f>VLOOKUP(J19,'DATOS %'!J174:W180,4,FALSE)</f>
        <v>#N/A</v>
      </c>
      <c r="J19" s="1374"/>
    </row>
    <row r="20" spans="1:11" ht="31.5" customHeight="1" thickBot="1" x14ac:dyDescent="0.25">
      <c r="A20" s="1290" t="s">
        <v>316</v>
      </c>
      <c r="B20" s="1291"/>
      <c r="C20" s="94" t="s">
        <v>27</v>
      </c>
      <c r="D20" s="101" t="e">
        <f>VLOOKUP(J19,'DATOS %'!J174:W180,6,FALSE)</f>
        <v>#N/A</v>
      </c>
      <c r="E20" s="1292" t="s">
        <v>307</v>
      </c>
      <c r="F20" s="1293"/>
      <c r="G20" s="101" t="e">
        <f>VLOOKUP(J19,'DATOS %'!J174:W180,7,FALSE)</f>
        <v>#N/A</v>
      </c>
      <c r="H20" s="95" t="s">
        <v>9</v>
      </c>
      <c r="I20" s="214" t="e">
        <f>VLOOKUP(J19,'DATOS %'!J174:W180,8,FALSE)</f>
        <v>#N/A</v>
      </c>
      <c r="J20" s="1289"/>
    </row>
    <row r="21" spans="1:11" s="46" customFormat="1" ht="15" customHeight="1" thickBot="1" x14ac:dyDescent="0.25">
      <c r="A21" s="47"/>
      <c r="B21" s="47"/>
      <c r="C21" s="47"/>
      <c r="D21" s="47"/>
      <c r="E21" s="47"/>
      <c r="F21" s="47"/>
      <c r="G21" s="47"/>
      <c r="H21" s="47"/>
      <c r="I21" s="47"/>
      <c r="J21" s="47"/>
      <c r="K21" s="8"/>
    </row>
    <row r="22" spans="1:11" s="48" customFormat="1" ht="31.5" customHeight="1" thickBot="1" x14ac:dyDescent="0.25">
      <c r="A22" s="1294" t="s">
        <v>28</v>
      </c>
      <c r="B22" s="1295"/>
      <c r="C22" s="1295"/>
      <c r="D22" s="1295"/>
      <c r="E22" s="1295"/>
      <c r="F22" s="1295"/>
      <c r="G22" s="1295"/>
      <c r="H22" s="1295"/>
      <c r="I22" s="1295"/>
      <c r="J22" s="1296"/>
      <c r="K22" s="47"/>
    </row>
    <row r="23" spans="1:11" s="47" customFormat="1" ht="2.25" customHeight="1" thickBot="1" x14ac:dyDescent="0.25">
      <c r="A23" s="49"/>
      <c r="B23" s="50"/>
      <c r="C23" s="50"/>
      <c r="D23" s="50"/>
      <c r="E23" s="50"/>
      <c r="F23" s="50"/>
      <c r="G23" s="50"/>
      <c r="H23" s="50"/>
      <c r="I23" s="50"/>
      <c r="J23" s="51"/>
      <c r="K23" s="48"/>
    </row>
    <row r="24" spans="1:11" s="48" customFormat="1" ht="31.5" customHeight="1" thickBot="1" x14ac:dyDescent="0.25">
      <c r="A24" s="52" t="s">
        <v>29</v>
      </c>
      <c r="B24" s="916"/>
      <c r="C24" s="1297" t="s">
        <v>27</v>
      </c>
      <c r="D24" s="1298"/>
      <c r="E24" s="1"/>
      <c r="F24" s="1684" t="s">
        <v>307</v>
      </c>
      <c r="G24" s="1685"/>
      <c r="H24" s="2"/>
      <c r="I24" s="972" t="s">
        <v>9</v>
      </c>
      <c r="J24" s="215"/>
      <c r="K24" s="46"/>
    </row>
    <row r="25" spans="1:11" s="46" customFormat="1" ht="15" customHeight="1" thickBot="1" x14ac:dyDescent="0.25">
      <c r="A25" s="47"/>
      <c r="B25" s="47"/>
      <c r="C25" s="47"/>
      <c r="D25" s="47"/>
      <c r="E25" s="47"/>
      <c r="F25" s="47"/>
      <c r="G25" s="47"/>
      <c r="H25" s="6"/>
      <c r="I25" s="47"/>
      <c r="K25" s="48"/>
    </row>
    <row r="26" spans="1:11" s="48" customFormat="1" ht="29.25" customHeight="1" thickBot="1" x14ac:dyDescent="0.25">
      <c r="A26" s="115" t="s">
        <v>129</v>
      </c>
      <c r="B26" s="105">
        <v>4</v>
      </c>
      <c r="C26" s="1301" t="s">
        <v>30</v>
      </c>
      <c r="D26" s="1302"/>
      <c r="E26" s="1302"/>
      <c r="F26" s="1303"/>
      <c r="G26" s="1304" t="s">
        <v>211</v>
      </c>
      <c r="H26" s="1305"/>
    </row>
    <row r="27" spans="1:11" s="48" customFormat="1" ht="31.5" customHeight="1" thickBot="1" x14ac:dyDescent="0.25">
      <c r="A27" s="1273" t="s">
        <v>31</v>
      </c>
      <c r="B27" s="1274"/>
      <c r="C27" s="237">
        <v>1</v>
      </c>
      <c r="D27" s="237">
        <v>2</v>
      </c>
      <c r="E27" s="237">
        <v>3</v>
      </c>
      <c r="F27" s="129">
        <v>4</v>
      </c>
      <c r="G27" s="1275" t="e">
        <f>VLOOKUP($H$25,'DATOS %'!$V$161:$AA$165,2,FALSE)</f>
        <v>#N/A</v>
      </c>
      <c r="H27" s="1276"/>
    </row>
    <row r="28" spans="1:11" s="48" customFormat="1" ht="31.5" customHeight="1" x14ac:dyDescent="0.2">
      <c r="A28" s="1310" t="s">
        <v>32</v>
      </c>
      <c r="B28" s="141" t="s">
        <v>0</v>
      </c>
      <c r="C28" s="142"/>
      <c r="D28" s="142"/>
      <c r="E28" s="142"/>
      <c r="F28" s="143"/>
      <c r="G28" s="47"/>
      <c r="H28" s="47"/>
      <c r="I28" s="47"/>
      <c r="J28" s="47"/>
    </row>
    <row r="29" spans="1:11" s="48" customFormat="1" ht="31.5" customHeight="1" x14ac:dyDescent="0.2">
      <c r="A29" s="1311"/>
      <c r="B29" s="104" t="s">
        <v>2</v>
      </c>
      <c r="C29" s="127"/>
      <c r="D29" s="127"/>
      <c r="E29" s="127"/>
      <c r="F29" s="128"/>
      <c r="G29" s="47"/>
      <c r="H29" s="47"/>
      <c r="I29" s="47"/>
      <c r="J29" s="47"/>
    </row>
    <row r="30" spans="1:11" s="48" customFormat="1" ht="31.5" customHeight="1" x14ac:dyDescent="0.2">
      <c r="A30" s="1311"/>
      <c r="B30" s="104" t="s">
        <v>2</v>
      </c>
      <c r="C30" s="127"/>
      <c r="D30" s="127"/>
      <c r="E30" s="127"/>
      <c r="F30" s="128"/>
      <c r="G30" s="47"/>
      <c r="H30" s="47"/>
      <c r="I30" s="47"/>
      <c r="J30" s="47"/>
    </row>
    <row r="31" spans="1:11" s="48" customFormat="1" ht="31.5" customHeight="1" thickBot="1" x14ac:dyDescent="0.25">
      <c r="A31" s="1312"/>
      <c r="B31" s="53" t="s">
        <v>0</v>
      </c>
      <c r="C31" s="144"/>
      <c r="D31" s="144"/>
      <c r="E31" s="144"/>
      <c r="F31" s="145"/>
      <c r="G31" s="47"/>
      <c r="H31" s="47"/>
      <c r="I31" s="47"/>
      <c r="J31" s="47"/>
      <c r="K31" s="46"/>
    </row>
    <row r="32" spans="1:11" s="46" customFormat="1" ht="15" customHeight="1" thickBot="1" x14ac:dyDescent="0.25">
      <c r="A32" s="47"/>
      <c r="B32" s="47"/>
      <c r="C32" s="47"/>
      <c r="D32" s="47"/>
      <c r="E32" s="47"/>
      <c r="F32" s="47"/>
      <c r="G32" s="47"/>
      <c r="H32" s="47"/>
      <c r="I32" s="47"/>
      <c r="J32" s="47"/>
      <c r="K32" s="48"/>
    </row>
    <row r="33" spans="1:11" s="48" customFormat="1" ht="31.5" customHeight="1" thickBot="1" x14ac:dyDescent="0.25">
      <c r="A33" s="54" t="s">
        <v>33</v>
      </c>
      <c r="B33" s="916"/>
      <c r="C33" s="1297" t="s">
        <v>27</v>
      </c>
      <c r="D33" s="1298"/>
      <c r="E33" s="1"/>
      <c r="F33" s="1684" t="s">
        <v>307</v>
      </c>
      <c r="G33" s="1685"/>
      <c r="H33" s="2"/>
      <c r="I33" s="973" t="s">
        <v>9</v>
      </c>
      <c r="J33" s="3"/>
      <c r="K33" s="46"/>
    </row>
    <row r="34" spans="1:11" s="46" customFormat="1" ht="12" customHeight="1" x14ac:dyDescent="0.2">
      <c r="A34" s="55"/>
      <c r="B34" s="55"/>
      <c r="C34" s="55"/>
      <c r="D34" s="55"/>
      <c r="E34" s="55"/>
      <c r="F34" s="55"/>
      <c r="G34" s="55"/>
      <c r="H34" s="55"/>
      <c r="I34" s="55"/>
      <c r="J34" s="55"/>
      <c r="K34" s="48"/>
    </row>
    <row r="35" spans="1:11" s="48" customFormat="1" ht="15" customHeight="1" thickBot="1" x14ac:dyDescent="0.25">
      <c r="A35" s="56"/>
      <c r="B35" s="56"/>
      <c r="C35" s="56"/>
      <c r="D35" s="56"/>
      <c r="E35" s="56"/>
      <c r="F35" s="56"/>
      <c r="G35" s="56"/>
      <c r="H35" s="56"/>
      <c r="I35" s="56"/>
      <c r="J35" s="56"/>
    </row>
    <row r="36" spans="1:11" s="48" customFormat="1" ht="32.25" customHeight="1" thickBot="1" x14ac:dyDescent="0.25">
      <c r="A36" s="1294" t="s">
        <v>34</v>
      </c>
      <c r="B36" s="1295"/>
      <c r="C36" s="1295"/>
      <c r="D36" s="1295"/>
      <c r="E36" s="1295"/>
      <c r="F36" s="1295"/>
      <c r="G36" s="1295"/>
      <c r="H36" s="1295"/>
      <c r="I36" s="1295"/>
      <c r="J36" s="1296"/>
    </row>
    <row r="37" spans="1:11" s="48" customFormat="1" ht="3.75" customHeight="1" thickBot="1" x14ac:dyDescent="0.25">
      <c r="A37" s="55"/>
      <c r="B37" s="47"/>
      <c r="C37" s="47"/>
      <c r="D37" s="47"/>
      <c r="E37" s="47"/>
      <c r="F37" s="47"/>
      <c r="G37" s="47"/>
      <c r="H37" s="47"/>
      <c r="I37" s="47"/>
      <c r="J37" s="55"/>
    </row>
    <row r="38" spans="1:11" s="48" customFormat="1" ht="31.5" customHeight="1" thickBot="1" x14ac:dyDescent="0.25">
      <c r="A38" s="47"/>
      <c r="B38" s="1316" t="s">
        <v>35</v>
      </c>
      <c r="C38" s="1317"/>
      <c r="D38" s="1317"/>
      <c r="E38" s="1317"/>
      <c r="F38" s="1318"/>
      <c r="G38" s="47"/>
      <c r="H38" s="1319" t="s">
        <v>236</v>
      </c>
      <c r="I38" s="1320"/>
      <c r="J38" s="1321"/>
    </row>
    <row r="39" spans="1:11" s="48" customFormat="1" ht="31.5" customHeight="1" thickBot="1" x14ac:dyDescent="0.25">
      <c r="A39" s="47"/>
      <c r="B39" s="57" t="s">
        <v>31</v>
      </c>
      <c r="C39" s="203">
        <v>1</v>
      </c>
      <c r="D39" s="141">
        <v>2</v>
      </c>
      <c r="E39" s="141">
        <v>3</v>
      </c>
      <c r="F39" s="204">
        <v>4</v>
      </c>
      <c r="G39" s="47"/>
      <c r="H39" s="1322"/>
      <c r="I39" s="1323"/>
      <c r="J39" s="1324"/>
    </row>
    <row r="40" spans="1:11" s="48" customFormat="1" ht="31.5" customHeight="1" x14ac:dyDescent="0.2">
      <c r="A40" s="58"/>
      <c r="B40" s="59"/>
      <c r="C40" s="121" t="e">
        <f>+AVERAGE(C28,C31)</f>
        <v>#DIV/0!</v>
      </c>
      <c r="D40" s="122" t="e">
        <f>+AVERAGE(D28,D31)</f>
        <v>#DIV/0!</v>
      </c>
      <c r="E40" s="122" t="e">
        <f>+AVERAGE(E28,E31)</f>
        <v>#DIV/0!</v>
      </c>
      <c r="F40" s="205" t="e">
        <f>+AVERAGE(F28,F31)</f>
        <v>#DIV/0!</v>
      </c>
      <c r="G40" s="47"/>
      <c r="H40" s="1325"/>
      <c r="I40" s="1326"/>
      <c r="J40" s="1327"/>
    </row>
    <row r="41" spans="1:11" s="48" customFormat="1" ht="31.5" customHeight="1" x14ac:dyDescent="0.2">
      <c r="A41" s="58"/>
      <c r="B41" s="60"/>
      <c r="C41" s="123" t="e">
        <f>+AVERAGE(C29:C30)</f>
        <v>#DIV/0!</v>
      </c>
      <c r="D41" s="61" t="e">
        <f>+AVERAGE(D29:D30)</f>
        <v>#DIV/0!</v>
      </c>
      <c r="E41" s="61" t="e">
        <f>+AVERAGE(E29:E30)</f>
        <v>#DIV/0!</v>
      </c>
      <c r="F41" s="206" t="e">
        <f>+AVERAGE(F29:F30)</f>
        <v>#DIV/0!</v>
      </c>
      <c r="G41" s="47"/>
      <c r="H41" s="1325"/>
      <c r="I41" s="1326"/>
      <c r="J41" s="1327"/>
    </row>
    <row r="42" spans="1:11" s="48" customFormat="1" ht="31.5" customHeight="1" thickBot="1" x14ac:dyDescent="0.25">
      <c r="A42" s="58"/>
      <c r="B42" s="62"/>
      <c r="C42" s="124" t="e">
        <f>+C41-C40</f>
        <v>#DIV/0!</v>
      </c>
      <c r="D42" s="125" t="e">
        <f>+D41-D40</f>
        <v>#DIV/0!</v>
      </c>
      <c r="E42" s="125" t="e">
        <f>+E41-E40</f>
        <v>#DIV/0!</v>
      </c>
      <c r="F42" s="207" t="e">
        <f>+F41-F40</f>
        <v>#DIV/0!</v>
      </c>
      <c r="G42" s="47"/>
      <c r="H42" s="1328"/>
      <c r="I42" s="1329"/>
      <c r="J42" s="1330"/>
    </row>
    <row r="43" spans="1:11" s="48" customFormat="1" ht="31.5" customHeight="1" thickBot="1" x14ac:dyDescent="0.25">
      <c r="A43" s="47"/>
      <c r="B43" s="63" t="s">
        <v>36</v>
      </c>
      <c r="C43" s="286" t="e">
        <f>+AVERAGE(C42:F42)</f>
        <v>#DIV/0!</v>
      </c>
      <c r="D43" s="47"/>
      <c r="E43" s="47"/>
      <c r="F43" s="47"/>
      <c r="G43" s="47"/>
      <c r="H43" s="47"/>
      <c r="I43" s="47"/>
      <c r="J43" s="47"/>
    </row>
    <row r="44" spans="1:11" s="48" customFormat="1" ht="31.5" customHeight="1" thickBot="1" x14ac:dyDescent="0.25">
      <c r="A44" s="47"/>
      <c r="B44" s="64" t="s">
        <v>77</v>
      </c>
      <c r="C44" s="287" t="e">
        <f>+STDEV(C42:F42)</f>
        <v>#DIV/0!</v>
      </c>
      <c r="D44" s="47"/>
      <c r="E44" s="47"/>
      <c r="F44" s="47"/>
      <c r="G44" s="47"/>
      <c r="H44" s="47"/>
      <c r="I44" s="47"/>
      <c r="J44" s="47"/>
      <c r="K44" s="46"/>
    </row>
    <row r="45" spans="1:11" s="46" customFormat="1" ht="15" customHeight="1" thickBot="1" x14ac:dyDescent="0.25">
      <c r="A45" s="47"/>
      <c r="B45" s="47"/>
      <c r="C45" s="47"/>
      <c r="D45" s="47"/>
      <c r="E45" s="47"/>
      <c r="F45" s="47"/>
      <c r="G45" s="65"/>
      <c r="H45" s="47"/>
      <c r="I45" s="47"/>
      <c r="J45" s="47"/>
      <c r="K45" s="48"/>
    </row>
    <row r="46" spans="1:11" s="48" customFormat="1" ht="31.5" customHeight="1" thickBot="1" x14ac:dyDescent="0.25">
      <c r="A46" s="1331" t="s">
        <v>37</v>
      </c>
      <c r="B46" s="1332"/>
      <c r="C46" s="1284"/>
      <c r="D46" s="1284"/>
      <c r="E46" s="1284"/>
      <c r="F46" s="1332"/>
      <c r="G46" s="1332"/>
      <c r="H46" s="1332"/>
      <c r="I46" s="1332"/>
      <c r="J46" s="1333"/>
    </row>
    <row r="47" spans="1:11" s="48" customFormat="1" ht="31.5" customHeight="1" thickBot="1" x14ac:dyDescent="0.25">
      <c r="A47" s="1375" t="s">
        <v>321</v>
      </c>
      <c r="B47" s="1376"/>
      <c r="C47" s="1338" t="s">
        <v>38</v>
      </c>
      <c r="D47" s="1339"/>
      <c r="E47" s="1340"/>
      <c r="F47" s="47"/>
      <c r="G47" s="47"/>
      <c r="H47" s="47"/>
      <c r="I47" s="47"/>
      <c r="J47" s="47"/>
    </row>
    <row r="48" spans="1:11" s="48" customFormat="1" ht="36.75" customHeight="1" thickBot="1" x14ac:dyDescent="0.25">
      <c r="A48" s="1377"/>
      <c r="B48" s="1378"/>
      <c r="C48" s="82" t="s">
        <v>27</v>
      </c>
      <c r="D48" s="93" t="s">
        <v>307</v>
      </c>
      <c r="E48" s="83" t="s">
        <v>9</v>
      </c>
      <c r="G48" s="1341" t="s">
        <v>70</v>
      </c>
      <c r="H48" s="1342"/>
      <c r="I48" s="102" t="e">
        <f>+(0.34848*E50-0.009*D50*EXP(0.061*C50))/(273.15+C50)</f>
        <v>#DIV/0!</v>
      </c>
      <c r="J48" s="103" t="s">
        <v>73</v>
      </c>
    </row>
    <row r="49" spans="1:21" s="48" customFormat="1" ht="33" customHeight="1" thickBot="1" x14ac:dyDescent="0.25">
      <c r="A49" s="1306" t="s">
        <v>39</v>
      </c>
      <c r="B49" s="1307"/>
      <c r="C49" s="90" t="e">
        <f>+AVERAGE(E33,E24)</f>
        <v>#DIV/0!</v>
      </c>
      <c r="D49" s="91" t="e">
        <f>+AVERAGE(H33,H24)</f>
        <v>#DIV/0!</v>
      </c>
      <c r="E49" s="92" t="e">
        <f>+AVERAGE(J33,J24)</f>
        <v>#DIV/0!</v>
      </c>
      <c r="G49" s="1308" t="s">
        <v>71</v>
      </c>
      <c r="H49" s="1309"/>
      <c r="I49" s="422" t="e">
        <f>I48*((0.0001)^2+(0.001*I20/2)^2+(-0.0034*D20/2)^2+(-0.01*G20/2)^2)^0.5</f>
        <v>#DIV/0!</v>
      </c>
      <c r="J49" s="66" t="s">
        <v>73</v>
      </c>
    </row>
    <row r="50" spans="1:21" s="48" customFormat="1" ht="36.75" customHeight="1" thickBot="1" x14ac:dyDescent="0.25">
      <c r="A50" s="1343" t="s">
        <v>322</v>
      </c>
      <c r="B50" s="1344"/>
      <c r="C50" s="84" t="e">
        <f>C49+(VLOOKUP(J19,'DATOS %'!J174:W180,9,FALSE))*C49+(VLOOKUP(J19,'DATOS %'!J174:W180,10,FALSE))</f>
        <v>#DIV/0!</v>
      </c>
      <c r="D50" s="85" t="e">
        <f>D49+(VLOOKUP(J19,'DATOS %'!J174:W180,11,FALSE))*D49+(VLOOKUP(J19,'DATOS %'!J174:W180,12,FALSE))</f>
        <v>#DIV/0!</v>
      </c>
      <c r="E50" s="86" t="e">
        <f>E49+(VLOOKUP(J19,'DATOS %'!J174:W180,13,FALSE))*E49+(VLOOKUP(J19,'DATOS %'!J174:W180,14,FALSE))</f>
        <v>#DIV/0!</v>
      </c>
      <c r="G50" s="1341" t="s">
        <v>72</v>
      </c>
      <c r="H50" s="1342"/>
      <c r="I50" s="67">
        <v>1.2</v>
      </c>
      <c r="J50" s="66" t="s">
        <v>73</v>
      </c>
    </row>
    <row r="51" spans="1:21" s="46" customFormat="1" ht="15" customHeight="1" thickBot="1" x14ac:dyDescent="0.25">
      <c r="A51" s="47"/>
      <c r="B51" s="47"/>
      <c r="C51" s="47"/>
      <c r="D51" s="47"/>
      <c r="E51" s="47"/>
      <c r="F51" s="47"/>
      <c r="G51" s="47"/>
      <c r="H51" s="47"/>
      <c r="I51" s="47"/>
      <c r="J51" s="47"/>
      <c r="K51" s="48"/>
    </row>
    <row r="52" spans="1:21" s="48" customFormat="1" ht="31.5" customHeight="1" thickBot="1" x14ac:dyDescent="0.25">
      <c r="A52" s="1331" t="s">
        <v>40</v>
      </c>
      <c r="B52" s="1332"/>
      <c r="C52" s="1332"/>
      <c r="D52" s="1332"/>
      <c r="E52" s="1332"/>
      <c r="F52" s="1332"/>
      <c r="G52" s="1332"/>
      <c r="H52" s="1332"/>
      <c r="I52" s="1332"/>
      <c r="J52" s="1333"/>
    </row>
    <row r="53" spans="1:21" s="48" customFormat="1" ht="31.5" customHeight="1" x14ac:dyDescent="0.35">
      <c r="A53" s="47"/>
      <c r="B53" s="68" t="s">
        <v>41</v>
      </c>
      <c r="C53" s="69"/>
      <c r="D53" s="1345" t="s">
        <v>74</v>
      </c>
      <c r="E53" s="1345"/>
      <c r="F53" s="70" t="s">
        <v>42</v>
      </c>
      <c r="G53" s="71" t="s">
        <v>43</v>
      </c>
      <c r="H53" s="1346" t="s">
        <v>44</v>
      </c>
      <c r="I53" s="1347"/>
      <c r="J53" s="47"/>
    </row>
    <row r="54" spans="1:21" s="48" customFormat="1" ht="31.5" customHeight="1" thickBot="1" x14ac:dyDescent="0.25">
      <c r="A54" s="47"/>
      <c r="B54" s="72" t="e">
        <f>+C43</f>
        <v>#DIV/0!</v>
      </c>
      <c r="C54" s="73" t="s">
        <v>1</v>
      </c>
      <c r="D54" s="74" t="e">
        <f>+C10+C11/1000</f>
        <v>#N/A</v>
      </c>
      <c r="E54" s="73" t="s">
        <v>1</v>
      </c>
      <c r="F54" s="74" t="e">
        <f>+(I48-I50)*(1/H10-1/C13)</f>
        <v>#DIV/0!</v>
      </c>
      <c r="G54" s="75"/>
      <c r="H54" s="67" t="e">
        <f>+(B54+D54*F54)*1000</f>
        <v>#DIV/0!</v>
      </c>
      <c r="I54" s="66" t="s">
        <v>3</v>
      </c>
      <c r="J54" s="47"/>
      <c r="K54" s="46"/>
    </row>
    <row r="55" spans="1:21" s="46" customFormat="1" ht="15" customHeight="1" x14ac:dyDescent="0.2">
      <c r="A55" s="47"/>
      <c r="B55" s="47"/>
      <c r="C55" s="47"/>
      <c r="D55" s="47"/>
      <c r="E55" s="47"/>
      <c r="F55" s="47"/>
      <c r="G55" s="47"/>
      <c r="H55" s="47"/>
      <c r="I55" s="47"/>
      <c r="J55" s="47"/>
      <c r="K55" s="48"/>
    </row>
    <row r="56" spans="1:21" s="48" customFormat="1" ht="31.5" customHeight="1" x14ac:dyDescent="0.2">
      <c r="A56" s="1348" t="s">
        <v>45</v>
      </c>
      <c r="B56" s="1349"/>
      <c r="C56" s="1349"/>
      <c r="D56" s="1349"/>
      <c r="E56" s="1349"/>
      <c r="F56" s="1349"/>
      <c r="G56" s="1349"/>
      <c r="H56" s="1349"/>
      <c r="I56" s="1349"/>
      <c r="J56" s="1349"/>
      <c r="K56" s="46"/>
    </row>
    <row r="57" spans="1:21" s="46" customFormat="1" ht="15" customHeight="1" thickBot="1" x14ac:dyDescent="0.25">
      <c r="A57" s="47"/>
      <c r="B57" s="47"/>
      <c r="C57" s="47"/>
      <c r="D57" s="47"/>
      <c r="E57" s="47"/>
      <c r="K57" s="48"/>
    </row>
    <row r="58" spans="1:21" s="48" customFormat="1" ht="31.5" customHeight="1" thickBot="1" x14ac:dyDescent="0.25">
      <c r="A58" s="1350" t="s">
        <v>38</v>
      </c>
      <c r="B58" s="1351"/>
      <c r="C58" s="1352" t="s">
        <v>46</v>
      </c>
      <c r="D58" s="1353"/>
      <c r="E58" s="1354" t="s">
        <v>238</v>
      </c>
      <c r="F58" s="1379"/>
      <c r="G58" s="1061" t="s">
        <v>553</v>
      </c>
      <c r="J58" s="114"/>
      <c r="L58" s="46"/>
      <c r="Q58" s="47"/>
      <c r="R58" s="47"/>
      <c r="S58" s="47"/>
      <c r="T58" s="47"/>
      <c r="U58" s="47"/>
    </row>
    <row r="59" spans="1:21" s="48" customFormat="1" ht="57.95" customHeight="1" thickBot="1" x14ac:dyDescent="0.25">
      <c r="A59" s="1024" t="s">
        <v>47</v>
      </c>
      <c r="B59" s="1025"/>
      <c r="C59" s="1026" t="e">
        <f>+C44/B26^0.5*1000</f>
        <v>#DIV/0!</v>
      </c>
      <c r="D59" s="1017" t="s">
        <v>3</v>
      </c>
      <c r="E59" s="1027" t="s">
        <v>240</v>
      </c>
      <c r="F59" s="139">
        <f>$B$26-1</f>
        <v>3</v>
      </c>
      <c r="G59" s="1111" t="e">
        <f>(C59/$G$70)^2</f>
        <v>#DIV/0!</v>
      </c>
      <c r="H59" s="47"/>
      <c r="K59" s="156">
        <v>0.3</v>
      </c>
      <c r="L59" s="157">
        <v>1.65</v>
      </c>
      <c r="M59" s="113"/>
    </row>
    <row r="60" spans="1:21" s="48" customFormat="1" ht="57.95" customHeight="1" thickBot="1" x14ac:dyDescent="0.25">
      <c r="A60" s="1019" t="s">
        <v>343</v>
      </c>
      <c r="B60" s="1020" t="s">
        <v>48</v>
      </c>
      <c r="C60" s="1021" t="e">
        <f>+C12/2</f>
        <v>#N/A</v>
      </c>
      <c r="D60" s="1022" t="s">
        <v>3</v>
      </c>
      <c r="E60" s="1023" t="s">
        <v>239</v>
      </c>
      <c r="F60" s="146" t="s">
        <v>265</v>
      </c>
      <c r="G60" s="1112"/>
      <c r="H60" s="1380" t="s">
        <v>241</v>
      </c>
      <c r="I60" s="1356"/>
      <c r="J60" s="1356"/>
      <c r="K60" s="1356"/>
      <c r="L60" s="1356"/>
      <c r="M60" s="1357"/>
    </row>
    <row r="61" spans="1:21" s="48" customFormat="1" ht="57.95" customHeight="1" thickBot="1" x14ac:dyDescent="0.25">
      <c r="A61" s="1028" t="s">
        <v>344</v>
      </c>
      <c r="B61" s="1029"/>
      <c r="C61" s="1030" t="e">
        <f>+C12/3^0.5</f>
        <v>#N/A</v>
      </c>
      <c r="D61" s="1031" t="s">
        <v>3</v>
      </c>
      <c r="E61" s="1032" t="s">
        <v>239</v>
      </c>
      <c r="F61" s="147" t="s">
        <v>265</v>
      </c>
      <c r="G61" s="1112"/>
      <c r="H61" s="132" t="s">
        <v>243</v>
      </c>
      <c r="I61" s="149" t="e">
        <f>MAX(C59:C62,C66:C67,C68)</f>
        <v>#DIV/0!</v>
      </c>
      <c r="J61" s="151" t="e">
        <f>IF((I62)&lt;=(K59),"1,65","2")</f>
        <v>#DIV/0!</v>
      </c>
      <c r="K61" s="152" t="s">
        <v>242</v>
      </c>
      <c r="L61" s="153" t="s">
        <v>237</v>
      </c>
      <c r="M61" s="360" t="s">
        <v>328</v>
      </c>
    </row>
    <row r="62" spans="1:21" s="48" customFormat="1" ht="57.95" customHeight="1" thickBot="1" x14ac:dyDescent="0.3">
      <c r="A62" s="1024" t="s">
        <v>49</v>
      </c>
      <c r="B62" s="1035"/>
      <c r="C62" s="1036" t="e">
        <f>+SQRT(SUMSQ(C60:C61))</f>
        <v>#N/A</v>
      </c>
      <c r="D62" s="1017" t="s">
        <v>3</v>
      </c>
      <c r="E62" s="1037" t="s">
        <v>240</v>
      </c>
      <c r="F62" s="139">
        <v>200</v>
      </c>
      <c r="G62" s="1112" t="e">
        <f t="shared" ref="G62:G68" si="0">(C62/$G$70)^2</f>
        <v>#N/A</v>
      </c>
      <c r="H62" s="133" t="s">
        <v>244</v>
      </c>
      <c r="I62" s="150" t="e">
        <f>SQRT((C59)^2+(C66)^2+(C67)^2)/I61</f>
        <v>#DIV/0!</v>
      </c>
      <c r="J62" s="126"/>
      <c r="K62" s="154" t="s">
        <v>242</v>
      </c>
      <c r="L62" s="155" t="s">
        <v>252</v>
      </c>
      <c r="M62" s="361" t="s">
        <v>329</v>
      </c>
    </row>
    <row r="63" spans="1:21" s="48" customFormat="1" ht="57.95" customHeight="1" x14ac:dyDescent="0.2">
      <c r="A63" s="1019" t="s">
        <v>345</v>
      </c>
      <c r="B63" s="1020"/>
      <c r="C63" s="1033" t="e">
        <f>+I49</f>
        <v>#DIV/0!</v>
      </c>
      <c r="D63" s="1021" t="s">
        <v>73</v>
      </c>
      <c r="E63" s="1034" t="s">
        <v>239</v>
      </c>
      <c r="F63" s="146" t="s">
        <v>265</v>
      </c>
      <c r="G63" s="1112"/>
      <c r="L63" s="46"/>
      <c r="T63" s="46"/>
      <c r="U63" s="46"/>
    </row>
    <row r="64" spans="1:21" s="48" customFormat="1" ht="57.95" customHeight="1" x14ac:dyDescent="0.2">
      <c r="A64" s="426" t="s">
        <v>50</v>
      </c>
      <c r="B64" s="1018"/>
      <c r="C64" s="425" t="e">
        <f>+H11/2</f>
        <v>#N/A</v>
      </c>
      <c r="D64" s="424" t="s">
        <v>73</v>
      </c>
      <c r="E64" s="423" t="s">
        <v>239</v>
      </c>
      <c r="F64" s="148" t="s">
        <v>265</v>
      </c>
      <c r="G64" s="1112"/>
      <c r="H64" s="130"/>
      <c r="J64" s="130"/>
      <c r="K64" s="130"/>
      <c r="L64" s="130"/>
      <c r="M64" s="130"/>
      <c r="Q64" s="47"/>
      <c r="R64" s="47"/>
      <c r="S64" s="47"/>
      <c r="T64" s="47"/>
      <c r="U64" s="47"/>
    </row>
    <row r="65" spans="1:21" s="48" customFormat="1" ht="57.95" customHeight="1" thickBot="1" x14ac:dyDescent="0.25">
      <c r="A65" s="1028" t="s">
        <v>346</v>
      </c>
      <c r="B65" s="1038"/>
      <c r="C65" s="1039" t="e">
        <f>+C14/2</f>
        <v>#N/A</v>
      </c>
      <c r="D65" s="1031" t="s">
        <v>73</v>
      </c>
      <c r="E65" s="1040" t="s">
        <v>239</v>
      </c>
      <c r="F65" s="147" t="s">
        <v>265</v>
      </c>
      <c r="G65" s="1112"/>
      <c r="H65" s="130"/>
      <c r="I65" s="130"/>
      <c r="J65" s="130"/>
      <c r="K65" s="130"/>
      <c r="L65" s="130"/>
      <c r="M65" s="130"/>
      <c r="Q65" s="46"/>
      <c r="R65" s="46"/>
      <c r="S65" s="46"/>
      <c r="T65" s="46"/>
      <c r="U65" s="46"/>
    </row>
    <row r="66" spans="1:21" s="48" customFormat="1" ht="57.95" customHeight="1" thickBot="1" x14ac:dyDescent="0.3">
      <c r="A66" s="1024" t="s">
        <v>347</v>
      </c>
      <c r="B66" s="1035"/>
      <c r="C66" s="1036" t="e">
        <f>+SQRT(ABS(((C10/1000+C11/1000000)*(C13-H10)/(C13*H10)*C63)^2+((C10/1000+C11/1000000)*(I48-I50))^2*C64^2/H10^4+(C10/1000+C11/1000000)^2*(I48-I50)*((I48-I50)-2*(C15-I50))*C65^2/C13^4))*1000000</f>
        <v>#N/A</v>
      </c>
      <c r="D66" s="1051" t="s">
        <v>3</v>
      </c>
      <c r="E66" s="1037" t="s">
        <v>240</v>
      </c>
      <c r="F66" s="139">
        <v>200</v>
      </c>
      <c r="G66" s="1112" t="e">
        <f t="shared" si="0"/>
        <v>#N/A</v>
      </c>
      <c r="H66" s="130"/>
      <c r="I66" s="1093" t="s">
        <v>554</v>
      </c>
      <c r="J66" s="1095" t="s">
        <v>556</v>
      </c>
      <c r="K66" s="1094" t="s">
        <v>555</v>
      </c>
      <c r="L66" s="130"/>
      <c r="M66" s="130"/>
      <c r="Q66" s="47"/>
      <c r="R66" s="47"/>
      <c r="S66" s="47"/>
      <c r="T66" s="47"/>
      <c r="U66" s="47"/>
    </row>
    <row r="67" spans="1:21" s="48" customFormat="1" ht="57.95" customHeight="1" thickBot="1" x14ac:dyDescent="0.3">
      <c r="A67" s="1047" t="s">
        <v>52</v>
      </c>
      <c r="B67" s="1048"/>
      <c r="C67" s="1049" t="e">
        <f>+(G15/2/3^0.5)*2^0.5*1000</f>
        <v>#N/A</v>
      </c>
      <c r="D67" s="1044" t="s">
        <v>3</v>
      </c>
      <c r="E67" s="1045" t="s">
        <v>239</v>
      </c>
      <c r="F67" s="1050">
        <v>200</v>
      </c>
      <c r="G67" s="1112" t="e">
        <f t="shared" si="0"/>
        <v>#N/A</v>
      </c>
      <c r="H67" s="130"/>
      <c r="I67" s="1096" t="e">
        <f>G70^4/((C59^4/F59)+(C62^4/F62)+(C66^4/F66)+(C67^4/F67)+(C68^4/F68))</f>
        <v>#DIV/0!</v>
      </c>
      <c r="J67" s="1097" t="e">
        <f>TINV(0.05,I67)</f>
        <v>#DIV/0!</v>
      </c>
      <c r="K67" s="1098" t="e">
        <f>1-TDIST(J67,I67,2)</f>
        <v>#DIV/0!</v>
      </c>
      <c r="L67" s="130"/>
      <c r="M67" s="130"/>
    </row>
    <row r="68" spans="1:21" s="46" customFormat="1" ht="65.25" customHeight="1" thickBot="1" x14ac:dyDescent="0.3">
      <c r="A68" s="1041" t="s">
        <v>551</v>
      </c>
      <c r="B68" s="1042"/>
      <c r="C68" s="1043">
        <f>0.01/SQRT(45)</f>
        <v>1.4907119849998597E-3</v>
      </c>
      <c r="D68" s="1044" t="s">
        <v>3</v>
      </c>
      <c r="E68" s="1045" t="s">
        <v>240</v>
      </c>
      <c r="F68" s="1046">
        <v>50</v>
      </c>
      <c r="G68" s="1113" t="e">
        <f t="shared" si="0"/>
        <v>#DIV/0!</v>
      </c>
      <c r="H68" s="130"/>
      <c r="I68" s="130"/>
      <c r="J68" s="130"/>
      <c r="K68" s="130"/>
      <c r="L68" s="130"/>
      <c r="M68" s="130"/>
      <c r="S68" s="48"/>
      <c r="T68" s="48"/>
      <c r="U68" s="48"/>
    </row>
    <row r="69" spans="1:21" s="46" customFormat="1" ht="65.25" customHeight="1" thickBot="1" x14ac:dyDescent="0.25">
      <c r="A69" s="130"/>
      <c r="B69" s="130"/>
      <c r="C69" s="130"/>
      <c r="D69" s="130"/>
      <c r="E69" s="130"/>
      <c r="F69" s="130"/>
      <c r="G69" s="1114" t="e">
        <f>SUM(G59,G62,G66,G67,G68)</f>
        <v>#DIV/0!</v>
      </c>
      <c r="H69" s="130"/>
      <c r="I69" s="130"/>
      <c r="J69" s="130"/>
      <c r="K69" s="130"/>
      <c r="L69" s="130"/>
      <c r="M69" s="130"/>
      <c r="S69" s="48"/>
      <c r="T69" s="48"/>
      <c r="U69" s="48"/>
    </row>
    <row r="70" spans="1:21" s="106" customFormat="1" ht="51.75" customHeight="1" thickBot="1" x14ac:dyDescent="0.3">
      <c r="D70" s="1306" t="s">
        <v>51</v>
      </c>
      <c r="E70" s="1307"/>
      <c r="F70" s="134"/>
      <c r="G70" s="140" t="e">
        <f>+SQRT(SUMSQ(C59,C62,C66,C67,C68))</f>
        <v>#DIV/0!</v>
      </c>
      <c r="H70" s="136" t="s">
        <v>3</v>
      </c>
      <c r="K70" s="130"/>
      <c r="L70" s="130"/>
      <c r="M70" s="130"/>
      <c r="S70" s="48"/>
      <c r="T70" s="48"/>
      <c r="U70" s="48"/>
    </row>
    <row r="71" spans="1:21" s="106" customFormat="1" ht="35.1" customHeight="1" thickBot="1" x14ac:dyDescent="0.25">
      <c r="D71" s="1306" t="s">
        <v>53</v>
      </c>
      <c r="E71" s="1307"/>
      <c r="F71" s="135"/>
      <c r="G71" s="140" t="e">
        <f>+G70*2</f>
        <v>#DIV/0!</v>
      </c>
      <c r="H71" s="137" t="s">
        <v>3</v>
      </c>
      <c r="K71" s="110"/>
      <c r="L71" s="107"/>
      <c r="O71" s="48"/>
      <c r="P71" s="48"/>
      <c r="Q71" s="48"/>
      <c r="R71" s="48"/>
      <c r="S71" s="48"/>
      <c r="T71" s="48"/>
      <c r="U71" s="48"/>
    </row>
    <row r="72" spans="1:21" s="106" customFormat="1" ht="33.75" customHeight="1" thickBot="1" x14ac:dyDescent="4.45">
      <c r="B72" s="1313" t="s">
        <v>54</v>
      </c>
      <c r="C72" s="1314"/>
      <c r="D72" s="1314"/>
      <c r="E72" s="1314"/>
      <c r="F72" s="1314"/>
      <c r="G72" s="1314"/>
      <c r="H72" s="1314"/>
      <c r="I72" s="1314"/>
      <c r="J72" s="1314"/>
      <c r="K72" s="1315"/>
      <c r="L72" s="117"/>
      <c r="O72" s="48"/>
      <c r="P72" s="48"/>
      <c r="Q72" s="48"/>
      <c r="R72" s="48"/>
      <c r="S72" s="48"/>
      <c r="T72" s="48"/>
      <c r="U72" s="48"/>
    </row>
    <row r="73" spans="1:21" s="106" customFormat="1" ht="35.1" customHeight="1" thickBot="1" x14ac:dyDescent="0.25">
      <c r="B73" s="1368" t="s">
        <v>255</v>
      </c>
      <c r="C73" s="1369"/>
      <c r="D73" s="1369"/>
      <c r="E73" s="1370"/>
      <c r="F73" s="79"/>
      <c r="G73" s="80"/>
      <c r="H73" s="1371"/>
      <c r="I73" s="1372"/>
      <c r="J73" s="1372"/>
      <c r="K73" s="1373"/>
      <c r="O73" s="48"/>
      <c r="P73" s="48"/>
      <c r="Q73" s="48"/>
      <c r="R73" s="48"/>
      <c r="S73" s="48"/>
      <c r="T73" s="48"/>
      <c r="U73" s="48"/>
    </row>
    <row r="74" spans="1:21" s="106" customFormat="1" ht="40.5" customHeight="1" x14ac:dyDescent="0.2">
      <c r="B74" s="118"/>
      <c r="C74" s="362" t="s">
        <v>348</v>
      </c>
      <c r="D74" s="119" t="s">
        <v>253</v>
      </c>
      <c r="E74" s="120"/>
      <c r="F74" s="1358"/>
      <c r="G74" s="1358"/>
      <c r="H74" s="1359" t="s">
        <v>266</v>
      </c>
      <c r="I74" s="1381" t="s">
        <v>254</v>
      </c>
      <c r="J74" s="1381"/>
      <c r="K74" s="1382"/>
      <c r="O74" s="48"/>
      <c r="P74" s="48"/>
      <c r="Q74" s="48"/>
      <c r="R74" s="48"/>
      <c r="S74" s="48"/>
      <c r="T74" s="48"/>
      <c r="U74" s="48"/>
    </row>
    <row r="75" spans="1:21" s="106" customFormat="1" ht="35.1" customHeight="1" x14ac:dyDescent="0.2">
      <c r="B75" s="81" t="e">
        <f>C10</f>
        <v>#N/A</v>
      </c>
      <c r="C75" s="77" t="e">
        <f>C11</f>
        <v>#N/A</v>
      </c>
      <c r="D75" s="78" t="e">
        <f>H54</f>
        <v>#DIV/0!</v>
      </c>
      <c r="E75" s="216" t="e">
        <f>B75+(C75/1000)+(D75/1000)</f>
        <v>#N/A</v>
      </c>
      <c r="F75" s="264" t="e">
        <f>E75*1000-B75*1000</f>
        <v>#N/A</v>
      </c>
      <c r="G75" s="61"/>
      <c r="H75" s="1360"/>
      <c r="I75" s="1055" t="e">
        <f>G71</f>
        <v>#DIV/0!</v>
      </c>
      <c r="J75" s="1364"/>
      <c r="K75" s="1365"/>
      <c r="O75" s="48"/>
      <c r="P75" s="48"/>
      <c r="Q75" s="48"/>
      <c r="R75" s="48"/>
      <c r="S75" s="48"/>
      <c r="T75" s="48"/>
      <c r="U75" s="48"/>
    </row>
    <row r="76" spans="1:21" s="106" customFormat="1" ht="35.1" customHeight="1" thickBot="1" x14ac:dyDescent="0.25">
      <c r="B76" s="87" t="e">
        <f>B75</f>
        <v>#N/A</v>
      </c>
      <c r="C76" s="88" t="e">
        <f>C75</f>
        <v>#N/A</v>
      </c>
      <c r="D76" s="88" t="e">
        <f>D75</f>
        <v>#DIV/0!</v>
      </c>
      <c r="E76" s="217" t="e">
        <f>B76+(C76/1000)+(D76/1000)</f>
        <v>#N/A</v>
      </c>
      <c r="F76" s="283" t="e">
        <f>F75/1000</f>
        <v>#N/A</v>
      </c>
      <c r="G76" s="89"/>
      <c r="H76" s="1361"/>
      <c r="I76" s="290" t="e">
        <f>I75/1000</f>
        <v>#DIV/0!</v>
      </c>
      <c r="J76" s="1366"/>
      <c r="K76" s="1367"/>
      <c r="O76" s="48"/>
      <c r="P76" s="48"/>
      <c r="Q76" s="48"/>
      <c r="R76" s="48"/>
      <c r="S76" s="48"/>
      <c r="T76" s="48"/>
      <c r="U76" s="48"/>
    </row>
    <row r="77" spans="1:21" s="106" customFormat="1" ht="35.1" customHeight="1" x14ac:dyDescent="0.2">
      <c r="G77" s="47"/>
      <c r="H77" s="47"/>
      <c r="I77" s="47"/>
      <c r="J77" s="47"/>
      <c r="O77" s="48"/>
      <c r="P77" s="48"/>
      <c r="Q77" s="48"/>
      <c r="R77" s="48"/>
      <c r="S77" s="48"/>
      <c r="T77" s="48"/>
      <c r="U77" s="48"/>
    </row>
    <row r="78" spans="1:21" s="106" customFormat="1" ht="35.1" customHeight="1" x14ac:dyDescent="0.2">
      <c r="G78" s="47"/>
      <c r="H78" s="47"/>
      <c r="I78" s="47"/>
      <c r="J78" s="47"/>
      <c r="O78" s="48"/>
      <c r="P78" s="48"/>
      <c r="Q78" s="48"/>
      <c r="R78" s="48"/>
      <c r="S78" s="48"/>
      <c r="T78" s="48"/>
      <c r="U78" s="48"/>
    </row>
    <row r="79" spans="1:21" s="106" customFormat="1" ht="35.1" customHeight="1" x14ac:dyDescent="0.2">
      <c r="G79" s="47"/>
      <c r="H79" s="47"/>
      <c r="I79" s="47"/>
      <c r="J79" s="47"/>
    </row>
    <row r="80" spans="1:21" s="107" customFormat="1" ht="35.1" customHeight="1" x14ac:dyDescent="0.2">
      <c r="A80" s="109"/>
      <c r="B80" s="106"/>
      <c r="C80" s="106"/>
      <c r="D80" s="106"/>
      <c r="E80" s="106"/>
      <c r="F80" s="106"/>
      <c r="G80" s="47"/>
      <c r="H80" s="47"/>
    </row>
    <row r="81" spans="2:11" s="111" customFormat="1" ht="35.1" customHeight="1" x14ac:dyDescent="0.2">
      <c r="B81" s="106"/>
      <c r="C81" s="106"/>
      <c r="D81" s="106"/>
      <c r="E81" s="106"/>
      <c r="F81" s="106"/>
      <c r="G81" s="47"/>
      <c r="H81" s="47"/>
    </row>
    <row r="82" spans="2:11" s="106" customFormat="1" ht="61.5" customHeight="1" x14ac:dyDescent="0.2">
      <c r="H82" s="111"/>
      <c r="I82" s="111"/>
      <c r="J82" s="111"/>
      <c r="K82" s="108"/>
    </row>
    <row r="83" spans="2:11" s="106" customFormat="1" ht="35.1" customHeight="1" x14ac:dyDescent="0.2">
      <c r="G83" s="111"/>
      <c r="H83" s="111"/>
      <c r="I83" s="111"/>
      <c r="J83" s="111"/>
      <c r="K83" s="108"/>
    </row>
    <row r="84" spans="2:11" s="106" customFormat="1" ht="35.1" customHeight="1" x14ac:dyDescent="0.2">
      <c r="G84" s="111"/>
      <c r="H84" s="111"/>
      <c r="I84" s="111"/>
      <c r="J84" s="111"/>
      <c r="K84" s="108"/>
    </row>
    <row r="85" spans="2:11" s="106" customFormat="1" ht="35.1" customHeight="1" x14ac:dyDescent="0.2">
      <c r="F85" s="107"/>
      <c r="K85" s="108"/>
    </row>
    <row r="86" spans="2:11" s="106" customFormat="1" ht="50.1" customHeight="1" x14ac:dyDescent="0.2"/>
    <row r="87" spans="2:11" s="106" customFormat="1" ht="57.75" customHeight="1" x14ac:dyDescent="0.2">
      <c r="C87" s="112"/>
      <c r="D87" s="112"/>
      <c r="E87" s="112"/>
    </row>
    <row r="88" spans="2:11" s="106" customFormat="1" ht="35.1" customHeight="1" x14ac:dyDescent="0.2"/>
    <row r="89" spans="2:11" s="106" customFormat="1" ht="35.1" customHeight="1" x14ac:dyDescent="0.2">
      <c r="F89" s="108"/>
      <c r="G89" s="108"/>
      <c r="H89" s="108"/>
      <c r="I89" s="108"/>
      <c r="J89" s="108"/>
    </row>
    <row r="90" spans="2:11" s="106" customFormat="1" ht="35.1" customHeight="1" x14ac:dyDescent="0.2"/>
    <row r="91" spans="2:11" s="106" customFormat="1" ht="50.1" customHeight="1" x14ac:dyDescent="0.2">
      <c r="J91" s="47"/>
    </row>
    <row r="92" spans="2:11" s="106" customFormat="1" ht="55.5" customHeight="1" x14ac:dyDescent="0.2">
      <c r="J92" s="111"/>
    </row>
    <row r="93" spans="2:11" s="106" customFormat="1" ht="50.1" customHeight="1" x14ac:dyDescent="0.2">
      <c r="J93" s="111"/>
    </row>
    <row r="94" spans="2:11" s="107" customFormat="1" ht="31.5" customHeight="1" x14ac:dyDescent="0.2">
      <c r="J94" s="111"/>
    </row>
    <row r="95" spans="2:11" s="106" customFormat="1" ht="35.1" customHeight="1" x14ac:dyDescent="0.2">
      <c r="G95" s="111"/>
      <c r="H95" s="111"/>
      <c r="I95" s="111"/>
      <c r="J95" s="111"/>
    </row>
    <row r="96" spans="2:11" s="106" customFormat="1" ht="35.1" customHeight="1" x14ac:dyDescent="0.2">
      <c r="G96" s="111"/>
      <c r="H96" s="111"/>
      <c r="I96" s="111"/>
      <c r="J96" s="111"/>
    </row>
    <row r="97" spans="1:12" s="106" customFormat="1" ht="9.9499999999999993" customHeight="1" x14ac:dyDescent="0.2">
      <c r="G97" s="108"/>
      <c r="H97" s="108"/>
      <c r="I97" s="108"/>
      <c r="J97" s="108"/>
    </row>
    <row r="98" spans="1:12" s="106" customFormat="1" ht="35.1" customHeight="1" x14ac:dyDescent="0.2">
      <c r="J98" s="108"/>
      <c r="K98" s="108"/>
      <c r="L98" s="108"/>
    </row>
    <row r="99" spans="1:12" s="46" customFormat="1" ht="15" customHeight="1" x14ac:dyDescent="0.2">
      <c r="A99" s="47"/>
      <c r="G99" s="47"/>
      <c r="H99" s="47"/>
      <c r="I99" s="47"/>
      <c r="J99" s="47"/>
      <c r="K99" s="48"/>
    </row>
    <row r="100" spans="1:12" s="48" customFormat="1" ht="31.5" customHeight="1" x14ac:dyDescent="0.2">
      <c r="A100" s="47"/>
      <c r="B100" s="47"/>
      <c r="C100" s="47"/>
      <c r="D100" s="47"/>
      <c r="E100" s="47"/>
      <c r="F100" s="47"/>
      <c r="G100" s="47"/>
      <c r="H100" s="47"/>
      <c r="I100" s="47"/>
      <c r="J100" s="47"/>
    </row>
    <row r="101" spans="1:12" s="48" customFormat="1" ht="31.5" customHeight="1" x14ac:dyDescent="0.2"/>
    <row r="102" spans="1:12" s="48" customFormat="1" ht="31.5" customHeight="1" x14ac:dyDescent="0.2"/>
    <row r="103" spans="1:12" s="48" customFormat="1" ht="52.5" customHeight="1" x14ac:dyDescent="0.2"/>
    <row r="104" spans="1:12" s="48" customFormat="1" ht="31.5" customHeight="1" x14ac:dyDescent="0.2">
      <c r="K104" s="8"/>
    </row>
    <row r="105" spans="1:12" s="48" customFormat="1" ht="31.5" customHeight="1" x14ac:dyDescent="0.2">
      <c r="K105" s="8"/>
    </row>
    <row r="106" spans="1:12" ht="31.5" customHeight="1" x14ac:dyDescent="0.2">
      <c r="G106" s="76"/>
    </row>
    <row r="107" spans="1:12" ht="51" customHeight="1" x14ac:dyDescent="0.2"/>
    <row r="109" spans="1:12" ht="31.5" customHeight="1" x14ac:dyDescent="0.2">
      <c r="B109" s="29"/>
      <c r="C109" s="29"/>
      <c r="D109" s="29"/>
      <c r="E109" s="29"/>
      <c r="F109" s="29"/>
      <c r="G109" s="29"/>
      <c r="H109" s="29"/>
      <c r="I109" s="29"/>
      <c r="J109" s="29"/>
    </row>
    <row r="110" spans="1:12" ht="31.5" customHeight="1" x14ac:dyDescent="0.2">
      <c r="B110" s="29"/>
      <c r="C110" s="29"/>
      <c r="D110" s="29"/>
      <c r="E110" s="29"/>
      <c r="F110" s="29"/>
      <c r="G110" s="29"/>
      <c r="H110" s="29"/>
      <c r="I110" s="29"/>
      <c r="J110" s="29"/>
    </row>
    <row r="111" spans="1:12" ht="31.5" customHeight="1" x14ac:dyDescent="0.2">
      <c r="B111" s="29"/>
      <c r="C111" s="29"/>
      <c r="D111" s="29"/>
      <c r="E111" s="29"/>
      <c r="F111" s="29"/>
      <c r="G111" s="29"/>
      <c r="H111" s="29"/>
      <c r="I111" s="29"/>
      <c r="J111" s="29"/>
    </row>
    <row r="112" spans="1:12" ht="31.5" customHeight="1" x14ac:dyDescent="0.2">
      <c r="B112" s="29"/>
      <c r="C112" s="29"/>
      <c r="D112" s="29"/>
      <c r="E112" s="29"/>
      <c r="F112" s="29"/>
      <c r="G112" s="29"/>
      <c r="H112" s="29"/>
      <c r="I112" s="29"/>
      <c r="J112" s="29"/>
    </row>
    <row r="113" spans="2:10" ht="31.5" customHeight="1" x14ac:dyDescent="0.2">
      <c r="B113" s="29"/>
      <c r="C113" s="29"/>
      <c r="D113" s="29"/>
      <c r="E113" s="29"/>
      <c r="F113" s="29"/>
      <c r="G113" s="29"/>
      <c r="H113" s="29"/>
      <c r="I113" s="29"/>
      <c r="J113" s="29"/>
    </row>
    <row r="114" spans="2:10" ht="31.5" customHeight="1" x14ac:dyDescent="0.2">
      <c r="B114" s="29"/>
      <c r="C114" s="29"/>
      <c r="D114" s="29"/>
      <c r="E114" s="29"/>
      <c r="F114" s="29"/>
      <c r="G114" s="29"/>
      <c r="H114" s="29"/>
      <c r="I114" s="29"/>
      <c r="J114" s="29"/>
    </row>
    <row r="115" spans="2:10" ht="31.5" customHeight="1" x14ac:dyDescent="0.2">
      <c r="B115" s="29"/>
      <c r="C115" s="29"/>
      <c r="D115" s="29"/>
      <c r="E115" s="29"/>
      <c r="F115" s="29"/>
      <c r="G115" s="29"/>
      <c r="H115" s="29"/>
      <c r="I115" s="29"/>
      <c r="J115" s="29"/>
    </row>
  </sheetData>
  <sheetProtection password="CF5C" sheet="1" objects="1" scenarios="1"/>
  <mergeCells count="62">
    <mergeCell ref="D70:E70"/>
    <mergeCell ref="D71:E71"/>
    <mergeCell ref="B72:K72"/>
    <mergeCell ref="B73:E73"/>
    <mergeCell ref="H73:K73"/>
    <mergeCell ref="F74:G74"/>
    <mergeCell ref="H74:H76"/>
    <mergeCell ref="I74:K74"/>
    <mergeCell ref="J75:K75"/>
    <mergeCell ref="J76:K76"/>
    <mergeCell ref="A56:J56"/>
    <mergeCell ref="A58:B58"/>
    <mergeCell ref="C58:D58"/>
    <mergeCell ref="E58:F58"/>
    <mergeCell ref="H60:M60"/>
    <mergeCell ref="A50:B50"/>
    <mergeCell ref="G50:H50"/>
    <mergeCell ref="A52:J52"/>
    <mergeCell ref="D53:E53"/>
    <mergeCell ref="H53:I53"/>
    <mergeCell ref="A49:B49"/>
    <mergeCell ref="G49:H49"/>
    <mergeCell ref="A28:A31"/>
    <mergeCell ref="C33:D33"/>
    <mergeCell ref="F33:G33"/>
    <mergeCell ref="A36:J36"/>
    <mergeCell ref="B38:F38"/>
    <mergeCell ref="H38:J38"/>
    <mergeCell ref="H39:J42"/>
    <mergeCell ref="A46:J46"/>
    <mergeCell ref="A47:B48"/>
    <mergeCell ref="C47:E47"/>
    <mergeCell ref="G48:H48"/>
    <mergeCell ref="A27:B27"/>
    <mergeCell ref="G27:H27"/>
    <mergeCell ref="A14:B14"/>
    <mergeCell ref="A15:B15"/>
    <mergeCell ref="A16:B16"/>
    <mergeCell ref="C16:D16"/>
    <mergeCell ref="A18:J18"/>
    <mergeCell ref="F19:G19"/>
    <mergeCell ref="J19:J20"/>
    <mergeCell ref="A20:B20"/>
    <mergeCell ref="E20:F20"/>
    <mergeCell ref="A22:J22"/>
    <mergeCell ref="C24:D24"/>
    <mergeCell ref="F24:G24"/>
    <mergeCell ref="C26:F26"/>
    <mergeCell ref="G26:H26"/>
    <mergeCell ref="A13:B13"/>
    <mergeCell ref="F13:I13"/>
    <mergeCell ref="A1:B1"/>
    <mergeCell ref="C1:M1"/>
    <mergeCell ref="I3:J4"/>
    <mergeCell ref="A6:D6"/>
    <mergeCell ref="F6:I6"/>
    <mergeCell ref="F9:G9"/>
    <mergeCell ref="A10:B10"/>
    <mergeCell ref="F10:G10"/>
    <mergeCell ref="A11:B11"/>
    <mergeCell ref="F11:G11"/>
    <mergeCell ref="A12:B12"/>
  </mergeCells>
  <printOptions horizontalCentered="1"/>
  <pageMargins left="0.70866141732283472" right="0.70866141732283472" top="0.74803149606299213" bottom="0.74803149606299213" header="0.31496062992125984" footer="0.31496062992125984"/>
  <pageSetup scale="13" orientation="portrait" r:id="rId1"/>
  <headerFooter>
    <oddHeader xml:space="preserve">&amp;C
&amp;16   
</oddHeader>
    <oddFooter xml:space="preserve">&amp;RRT03-F13 Vr.14 (2021-05-21)
</oddFooter>
  </headerFooter>
  <rowBreaks count="1" manualBreakCount="1">
    <brk id="34" max="12" man="1"/>
  </rowBreaks>
  <drawing r:id="rId2"/>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1500-000000000000}">
          <x14:formula1>
            <xm:f>'DATOS %'!$V$161:$V$165</xm:f>
          </x14:formula1>
          <xm:sqref>H25</xm:sqref>
        </x14:dataValidation>
        <x14:dataValidation type="list" allowBlank="1" showInputMessage="1" showErrorMessage="1" xr:uid="{00000000-0002-0000-1500-000001000000}">
          <x14:formula1>
            <xm:f>'DATOS %'!$V$120:$V$126</xm:f>
          </x14:formula1>
          <xm:sqref>J13</xm:sqref>
        </x14:dataValidation>
        <x14:dataValidation type="list" allowBlank="1" showInputMessage="1" showErrorMessage="1" xr:uid="{00000000-0002-0000-1500-000002000000}">
          <x14:formula1>
            <xm:f>'DATOS %'!$N$29:$N$113</xm:f>
          </x14:formula1>
          <xm:sqref>E6</xm:sqref>
        </x14:dataValidation>
        <x14:dataValidation type="list" allowBlank="1" showInputMessage="1" showErrorMessage="1" xr:uid="{00000000-0002-0000-1500-000003000000}">
          <x14:formula1>
            <xm:f>'DATOS %'!$N$121:$N$166</xm:f>
          </x14:formula1>
          <xm:sqref>F48</xm:sqref>
        </x14:dataValidation>
        <x14:dataValidation type="list" allowBlank="1" showInputMessage="1" showErrorMessage="1" xr:uid="{00000000-0002-0000-1500-000004000000}">
          <x14:formula1>
            <xm:f>'DATOS %'!$J$174:$J$179</xm:f>
          </x14:formula1>
          <xm:sqref>J19:J20</xm:sqref>
        </x14:dataValidation>
        <x14:dataValidation type="list" allowBlank="1" showInputMessage="1" showErrorMessage="1" xr:uid="{00000000-0002-0000-1500-000005000000}">
          <x14:formula1>
            <xm:f>'DATOS %'!$B$7:$B$40</xm:f>
          </x14:formula1>
          <xm:sqref>I3:J4</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U115"/>
  <sheetViews>
    <sheetView showGridLines="0" view="pageBreakPreview" topLeftCell="A22" zoomScale="80" zoomScaleNormal="60" zoomScaleSheetLayoutView="80" workbookViewId="0">
      <selection activeCell="C65" sqref="C65"/>
    </sheetView>
  </sheetViews>
  <sheetFormatPr baseColWidth="10" defaultColWidth="11.42578125" defaultRowHeight="31.5" customHeight="1" x14ac:dyDescent="0.2"/>
  <cols>
    <col min="1" max="1" width="14.7109375" style="37" customWidth="1"/>
    <col min="2" max="2" width="12" style="37" customWidth="1"/>
    <col min="3" max="3" width="15.7109375" style="37" customWidth="1"/>
    <col min="4" max="4" width="17" style="37" customWidth="1"/>
    <col min="5" max="5" width="15.5703125" style="37" customWidth="1"/>
    <col min="6" max="6" width="18.5703125" style="37" customWidth="1"/>
    <col min="7" max="7" width="15.7109375" style="37" customWidth="1"/>
    <col min="8" max="8" width="24.42578125" style="37" bestFit="1" customWidth="1"/>
    <col min="9" max="9" width="13.85546875" style="37" bestFit="1" customWidth="1"/>
    <col min="10" max="10" width="13.7109375" style="37" customWidth="1"/>
    <col min="11" max="19" width="11.42578125" style="8"/>
    <col min="20" max="20" width="15.85546875" style="8" bestFit="1" customWidth="1"/>
    <col min="21" max="21" width="14.42578125" style="8" bestFit="1" customWidth="1"/>
    <col min="22" max="16384" width="11.42578125" style="8"/>
  </cols>
  <sheetData>
    <row r="1" spans="1:16" ht="60" customHeight="1" thickBot="1" x14ac:dyDescent="0.25">
      <c r="A1" s="1257"/>
      <c r="B1" s="1258"/>
      <c r="C1" s="1259" t="s">
        <v>57</v>
      </c>
      <c r="D1" s="1260"/>
      <c r="E1" s="1260"/>
      <c r="F1" s="1260"/>
      <c r="G1" s="1260"/>
      <c r="H1" s="1260"/>
      <c r="I1" s="1260"/>
      <c r="J1" s="1260"/>
      <c r="K1" s="1260"/>
      <c r="L1" s="1260"/>
      <c r="M1" s="1261"/>
      <c r="N1" s="7"/>
      <c r="O1" s="7"/>
      <c r="P1" s="7"/>
    </row>
    <row r="2" spans="1:16" s="11" customFormat="1" ht="9.75" customHeight="1" thickBot="1" x14ac:dyDescent="0.25">
      <c r="A2" s="9"/>
      <c r="B2" s="9"/>
      <c r="C2" s="10"/>
      <c r="D2" s="10"/>
      <c r="E2" s="10"/>
      <c r="F2" s="10"/>
      <c r="G2" s="10"/>
      <c r="H2" s="10"/>
      <c r="K2" s="12"/>
      <c r="M2" s="7"/>
    </row>
    <row r="3" spans="1:16" s="12" customFormat="1" ht="35.25" customHeight="1" thickBot="1" x14ac:dyDescent="0.25">
      <c r="A3" s="13" t="s">
        <v>17</v>
      </c>
      <c r="B3" s="14" t="s">
        <v>55</v>
      </c>
      <c r="C3" s="15" t="s">
        <v>209</v>
      </c>
      <c r="D3" s="15" t="s">
        <v>56</v>
      </c>
      <c r="E3" s="15" t="s">
        <v>8</v>
      </c>
      <c r="F3" s="16" t="s">
        <v>18</v>
      </c>
      <c r="G3" s="16" t="s">
        <v>297</v>
      </c>
      <c r="H3" s="17" t="s">
        <v>24</v>
      </c>
      <c r="I3" s="1262"/>
      <c r="J3" s="1263"/>
      <c r="K3" s="11"/>
      <c r="M3" s="7"/>
    </row>
    <row r="4" spans="1:16" s="11" customFormat="1" ht="32.25" customHeight="1" thickBot="1" x14ac:dyDescent="0.25">
      <c r="A4" s="18" t="e">
        <f>VLOOKUP($I$3,'DATOS %'!B7:J40,2,FALSE)</f>
        <v>#N/A</v>
      </c>
      <c r="B4" s="212" t="e">
        <f>VLOOKUP($I$3,'DATOS %'!$B$7:$J$40,3,FALSE)</f>
        <v>#N/A</v>
      </c>
      <c r="C4" s="19" t="e">
        <f>VLOOKUP($I$3,'DATOS %'!$B$7:$J$40,8,FALSE)</f>
        <v>#N/A</v>
      </c>
      <c r="D4" s="19" t="e">
        <f>VLOOKUP($I$3,'DATOS %'!$B$7:$J$40,6,FALSE)</f>
        <v>#N/A</v>
      </c>
      <c r="E4" s="212" t="e">
        <f>VLOOKUP($I$3,'DATOS %'!$B$7:$J$40,7,FALSE)</f>
        <v>#N/A</v>
      </c>
      <c r="F4" s="18" t="e">
        <f>VLOOKUP($I$3,'DATOS %'!$B$7:$J$40,4,FALSE)</f>
        <v>#N/A</v>
      </c>
      <c r="G4" s="18" t="e">
        <f>VLOOKUP($I$3,'DATOS %'!$B$7:$J$40,5,FALSE)</f>
        <v>#N/A</v>
      </c>
      <c r="H4" s="19" t="e">
        <f>VLOOKUP($I$3,'DATOS %'!$B$7:$J$40,9,FALSE)</f>
        <v>#N/A</v>
      </c>
      <c r="I4" s="1264"/>
      <c r="J4" s="1265"/>
      <c r="K4" s="8"/>
      <c r="L4" s="20"/>
      <c r="M4" s="20"/>
    </row>
    <row r="5" spans="1:16" s="22" customFormat="1" ht="6.75" customHeight="1" thickBot="1" x14ac:dyDescent="0.25">
      <c r="A5" s="21"/>
      <c r="B5" s="21"/>
      <c r="C5" s="21"/>
      <c r="F5" s="21"/>
      <c r="G5" s="21"/>
      <c r="H5" s="21"/>
      <c r="K5" s="8"/>
    </row>
    <row r="6" spans="1:16" ht="31.5" customHeight="1" thickBot="1" x14ac:dyDescent="0.25">
      <c r="A6" s="1266" t="s">
        <v>19</v>
      </c>
      <c r="B6" s="1267"/>
      <c r="C6" s="1267"/>
      <c r="D6" s="1268"/>
      <c r="E6" s="4"/>
      <c r="F6" s="1266" t="s">
        <v>20</v>
      </c>
      <c r="G6" s="1267"/>
      <c r="H6" s="1267"/>
      <c r="I6" s="1268"/>
      <c r="J6" s="402">
        <f>I3</f>
        <v>0</v>
      </c>
    </row>
    <row r="7" spans="1:16" ht="31.5" customHeight="1" x14ac:dyDescent="0.2">
      <c r="A7" s="23" t="s">
        <v>21</v>
      </c>
      <c r="B7" s="24" t="e">
        <f>VLOOKUP($E$6,'DATOS %'!N11:AA113,2,FALSE)</f>
        <v>#N/A</v>
      </c>
      <c r="C7" s="25" t="s">
        <v>10</v>
      </c>
      <c r="D7" s="26" t="e">
        <f>VLOOKUP($E$6,'DATOS %'!N11:AA113,3,FALSE)</f>
        <v>#N/A</v>
      </c>
      <c r="E7" s="27"/>
      <c r="F7" s="23" t="s">
        <v>21</v>
      </c>
      <c r="G7" s="24" t="e">
        <f>VLOOKUP($J$6,'DATOS %'!B47:I79,2,FALSE)</f>
        <v>#N/A</v>
      </c>
      <c r="H7" s="28" t="s">
        <v>10</v>
      </c>
      <c r="I7" s="26" t="e">
        <f>VLOOKUP($J$6,'DATOS %'!B47:I79,3,FALSE)</f>
        <v>#N/A</v>
      </c>
      <c r="J7" s="29"/>
    </row>
    <row r="8" spans="1:16" ht="31.5" customHeight="1" x14ac:dyDescent="0.2">
      <c r="A8" s="30" t="s">
        <v>22</v>
      </c>
      <c r="B8" s="31" t="e">
        <f>VLOOKUP($E$6,'DATOS %'!N11:AA113,4,FALSE)</f>
        <v>#N/A</v>
      </c>
      <c r="C8" s="32" t="s">
        <v>23</v>
      </c>
      <c r="D8" s="33" t="e">
        <f>VLOOKUP($E$6,'DATOS %'!N11:AA113,5,FALSE)</f>
        <v>#N/A</v>
      </c>
      <c r="E8" s="27"/>
      <c r="F8" s="30" t="s">
        <v>22</v>
      </c>
      <c r="G8" s="31" t="e">
        <f>VLOOKUP($J$6,'DATOS %'!B47:I79,4,FALSE)</f>
        <v>#N/A</v>
      </c>
      <c r="H8" s="32" t="s">
        <v>23</v>
      </c>
      <c r="I8" s="297" t="e">
        <f>VLOOKUP($J$6,'DATOS %'!B47:I79,5,FALSE)</f>
        <v>#N/A</v>
      </c>
      <c r="J8" s="29"/>
    </row>
    <row r="9" spans="1:16" ht="31.5" customHeight="1" x14ac:dyDescent="0.2">
      <c r="A9" s="34" t="s">
        <v>24</v>
      </c>
      <c r="B9" s="31" t="e">
        <f>VLOOKUP($E$6,'DATOS %'!N11:AA113,6,FALSE)</f>
        <v>#N/A</v>
      </c>
      <c r="C9" s="35" t="s">
        <v>15</v>
      </c>
      <c r="D9" s="36" t="e">
        <f>VLOOKUP($E$6,'DATOS %'!N11:AA113,7,FALSE)</f>
        <v>#N/A</v>
      </c>
      <c r="F9" s="1252" t="s">
        <v>62</v>
      </c>
      <c r="G9" s="1253"/>
      <c r="H9" s="31" t="e">
        <f>VLOOKUP($J$6,'DATOS %'!B47:I79,6,FALSE)</f>
        <v>#N/A</v>
      </c>
      <c r="I9" s="33" t="s">
        <v>1</v>
      </c>
      <c r="J9" s="29"/>
      <c r="K9" s="208"/>
    </row>
    <row r="10" spans="1:16" s="38" customFormat="1" ht="31.5" customHeight="1" x14ac:dyDescent="0.25">
      <c r="A10" s="1252" t="s">
        <v>63</v>
      </c>
      <c r="B10" s="1253"/>
      <c r="C10" s="223" t="e">
        <f>VLOOKUP($E$6,'DATOS %'!N11:AA113,8,FALSE)</f>
        <v>#N/A</v>
      </c>
      <c r="D10" s="33" t="s">
        <v>1</v>
      </c>
      <c r="F10" s="1252" t="s">
        <v>64</v>
      </c>
      <c r="G10" s="1253"/>
      <c r="H10" s="213" t="e">
        <f>VLOOKUP($J$6,'DATOS %'!B47:I79,7,FALSE)</f>
        <v>#N/A</v>
      </c>
      <c r="I10" s="33" t="s">
        <v>76</v>
      </c>
      <c r="J10" s="39"/>
    </row>
    <row r="11" spans="1:16" s="38" customFormat="1" ht="31.5" customHeight="1" thickBot="1" x14ac:dyDescent="0.3">
      <c r="A11" s="1252" t="s">
        <v>65</v>
      </c>
      <c r="B11" s="1253"/>
      <c r="C11" s="31" t="e">
        <f>VLOOKUP($E$6,'DATOS %'!N11:AA113,9,FALSE)</f>
        <v>#N/A</v>
      </c>
      <c r="D11" s="33" t="s">
        <v>3</v>
      </c>
      <c r="E11" s="40"/>
      <c r="F11" s="1271" t="s">
        <v>66</v>
      </c>
      <c r="G11" s="1272"/>
      <c r="H11" s="41" t="e">
        <f>VLOOKUP($J$6,'DATOS %'!B47:I79,8,FALSE)</f>
        <v>#N/A</v>
      </c>
      <c r="I11" s="45" t="s">
        <v>76</v>
      </c>
      <c r="J11" s="39"/>
    </row>
    <row r="12" spans="1:16" s="38" customFormat="1" ht="31.5" customHeight="1" thickBot="1" x14ac:dyDescent="0.3">
      <c r="A12" s="1252" t="s">
        <v>67</v>
      </c>
      <c r="B12" s="1253"/>
      <c r="C12" s="31" t="e">
        <f>VLOOKUP($E$6,'DATOS %'!N11:AA113,10,FALSE)</f>
        <v>#N/A</v>
      </c>
      <c r="D12" s="33" t="s">
        <v>3</v>
      </c>
      <c r="E12" s="39"/>
      <c r="F12" s="39"/>
      <c r="G12" s="39"/>
      <c r="H12" s="39"/>
    </row>
    <row r="13" spans="1:16" s="38" customFormat="1" ht="31.5" customHeight="1" thickBot="1" x14ac:dyDescent="0.3">
      <c r="A13" s="1252" t="s">
        <v>68</v>
      </c>
      <c r="B13" s="1253"/>
      <c r="C13" s="213" t="e">
        <f>VLOOKUP($E$6,'DATOS %'!N11:AA113,11,FALSE)</f>
        <v>#N/A</v>
      </c>
      <c r="D13" s="33" t="s">
        <v>76</v>
      </c>
      <c r="E13" s="39"/>
      <c r="F13" s="1254" t="s">
        <v>559</v>
      </c>
      <c r="G13" s="1255"/>
      <c r="H13" s="1255"/>
      <c r="I13" s="1256"/>
      <c r="J13" s="5"/>
    </row>
    <row r="14" spans="1:16" s="38" customFormat="1" ht="31.5" customHeight="1" x14ac:dyDescent="0.2">
      <c r="A14" s="1252" t="s">
        <v>305</v>
      </c>
      <c r="B14" s="1253"/>
      <c r="C14" s="31" t="e">
        <f>VLOOKUP($E$6,'DATOS %'!N11:AA113,12,FALSE)</f>
        <v>#N/A</v>
      </c>
      <c r="D14" s="33" t="s">
        <v>76</v>
      </c>
      <c r="E14" s="39"/>
      <c r="F14" s="23" t="s">
        <v>10</v>
      </c>
      <c r="G14" s="24" t="e">
        <f>VLOOKUP($J$13,'DATOS %'!$V$119:$Y$126,2,FALSE)</f>
        <v>#N/A</v>
      </c>
      <c r="H14" s="28" t="s">
        <v>22</v>
      </c>
      <c r="I14" s="24" t="e">
        <f>VLOOKUP($J$13,'DATOS %'!$V$119:$Z$126,3,FALSE)</f>
        <v>#N/A</v>
      </c>
      <c r="J14" s="42"/>
      <c r="K14" s="8"/>
    </row>
    <row r="15" spans="1:16" ht="31.5" customHeight="1" thickBot="1" x14ac:dyDescent="0.25">
      <c r="A15" s="1277" t="s">
        <v>69</v>
      </c>
      <c r="B15" s="1278"/>
      <c r="C15" s="31" t="e">
        <f>VLOOKUP($E$6,'DATOS %'!N11:AA113,13,FALSE)</f>
        <v>#N/A</v>
      </c>
      <c r="D15" s="33" t="s">
        <v>76</v>
      </c>
      <c r="E15" s="29"/>
      <c r="F15" s="43" t="s">
        <v>61</v>
      </c>
      <c r="G15" s="41" t="e">
        <f>VLOOKUP($J$13,'DATOS %'!$V$119:$Y$126,4,FALSE)</f>
        <v>#N/A</v>
      </c>
      <c r="H15" s="41" t="s">
        <v>1</v>
      </c>
      <c r="I15" s="238" t="s">
        <v>210</v>
      </c>
      <c r="J15" s="45" t="e">
        <f>VLOOKUP($J$13,'DATOS %'!$V$119:$Z$126,5,FALSE)</f>
        <v>#N/A</v>
      </c>
      <c r="K15" s="22"/>
    </row>
    <row r="16" spans="1:16" ht="30.95" customHeight="1" thickBot="1" x14ac:dyDescent="0.25">
      <c r="A16" s="1279" t="s">
        <v>210</v>
      </c>
      <c r="B16" s="1280"/>
      <c r="C16" s="1281" t="e">
        <f>VLOOKUP($E$6,'DATOS %'!N11:AA113,14,FALSE)</f>
        <v>#N/A</v>
      </c>
      <c r="D16" s="1282"/>
      <c r="E16" s="29"/>
      <c r="F16" s="8"/>
      <c r="G16" s="8"/>
      <c r="H16" s="8"/>
      <c r="I16" s="8"/>
      <c r="J16" s="8"/>
    </row>
    <row r="17" spans="1:11" s="22" customFormat="1" ht="30.95" customHeight="1" thickBot="1" x14ac:dyDescent="0.25">
      <c r="A17" s="29"/>
      <c r="B17" s="29"/>
      <c r="C17" s="29"/>
      <c r="D17" s="29"/>
      <c r="E17" s="29"/>
      <c r="F17" s="29"/>
      <c r="G17" s="29"/>
      <c r="H17" s="29"/>
      <c r="I17" s="29"/>
      <c r="J17" s="29"/>
      <c r="K17" s="8"/>
    </row>
    <row r="18" spans="1:11" ht="31.5" customHeight="1" thickBot="1" x14ac:dyDescent="0.25">
      <c r="A18" s="1331" t="s">
        <v>26</v>
      </c>
      <c r="B18" s="1332"/>
      <c r="C18" s="1332"/>
      <c r="D18" s="1332"/>
      <c r="E18" s="1332"/>
      <c r="F18" s="1332"/>
      <c r="G18" s="1332"/>
      <c r="H18" s="1332"/>
      <c r="I18" s="1332"/>
      <c r="J18" s="1333"/>
    </row>
    <row r="19" spans="1:11" ht="46.5" customHeight="1" thickBot="1" x14ac:dyDescent="0.25">
      <c r="A19" s="407" t="s">
        <v>10</v>
      </c>
      <c r="B19" s="101" t="e">
        <f>VLOOKUP(J19,'DATOS %'!J174:W180,2,FALSE)</f>
        <v>#N/A</v>
      </c>
      <c r="C19" s="95" t="s">
        <v>7</v>
      </c>
      <c r="D19" s="408" t="e">
        <f>VLOOKUP(J19,'DATOS %'!J174:W180,3,FALSE)</f>
        <v>#N/A</v>
      </c>
      <c r="E19" s="409" t="s">
        <v>24</v>
      </c>
      <c r="F19" s="1286" t="e">
        <f>VLOOKUP(J19,'DATOS %'!J174:W180,5,FALSE)</f>
        <v>#N/A</v>
      </c>
      <c r="G19" s="1287"/>
      <c r="H19" s="95" t="s">
        <v>25</v>
      </c>
      <c r="I19" s="212" t="e">
        <f>VLOOKUP(J19,'DATOS %'!J174:W180,4,FALSE)</f>
        <v>#N/A</v>
      </c>
      <c r="J19" s="1374"/>
    </row>
    <row r="20" spans="1:11" ht="31.5" customHeight="1" thickBot="1" x14ac:dyDescent="0.25">
      <c r="A20" s="1290" t="s">
        <v>316</v>
      </c>
      <c r="B20" s="1291"/>
      <c r="C20" s="94" t="s">
        <v>27</v>
      </c>
      <c r="D20" s="101" t="e">
        <f>VLOOKUP(J19,'DATOS %'!J174:W180,6,FALSE)</f>
        <v>#N/A</v>
      </c>
      <c r="E20" s="1292" t="s">
        <v>307</v>
      </c>
      <c r="F20" s="1293"/>
      <c r="G20" s="101" t="e">
        <f>VLOOKUP(J19,'DATOS %'!J174:W180,7,FALSE)</f>
        <v>#N/A</v>
      </c>
      <c r="H20" s="95" t="s">
        <v>9</v>
      </c>
      <c r="I20" s="214" t="e">
        <f>VLOOKUP(J19,'DATOS %'!J174:W180,8,FALSE)</f>
        <v>#N/A</v>
      </c>
      <c r="J20" s="1289"/>
    </row>
    <row r="21" spans="1:11" s="46" customFormat="1" ht="15" customHeight="1" thickBot="1" x14ac:dyDescent="0.25">
      <c r="A21" s="47"/>
      <c r="B21" s="47"/>
      <c r="C21" s="47"/>
      <c r="D21" s="47"/>
      <c r="E21" s="47"/>
      <c r="F21" s="47"/>
      <c r="G21" s="47"/>
      <c r="H21" s="47"/>
      <c r="I21" s="47"/>
      <c r="J21" s="47"/>
      <c r="K21" s="8"/>
    </row>
    <row r="22" spans="1:11" s="48" customFormat="1" ht="31.5" customHeight="1" thickBot="1" x14ac:dyDescent="0.25">
      <c r="A22" s="1294" t="s">
        <v>28</v>
      </c>
      <c r="B22" s="1295"/>
      <c r="C22" s="1295"/>
      <c r="D22" s="1295"/>
      <c r="E22" s="1295"/>
      <c r="F22" s="1295"/>
      <c r="G22" s="1295"/>
      <c r="H22" s="1295"/>
      <c r="I22" s="1295"/>
      <c r="J22" s="1296"/>
      <c r="K22" s="47"/>
    </row>
    <row r="23" spans="1:11" s="47" customFormat="1" ht="2.25" customHeight="1" thickBot="1" x14ac:dyDescent="0.25">
      <c r="A23" s="49"/>
      <c r="B23" s="50"/>
      <c r="C23" s="50"/>
      <c r="D23" s="50"/>
      <c r="E23" s="50"/>
      <c r="F23" s="50"/>
      <c r="G23" s="50"/>
      <c r="H23" s="50"/>
      <c r="I23" s="50"/>
      <c r="J23" s="51"/>
      <c r="K23" s="48"/>
    </row>
    <row r="24" spans="1:11" s="48" customFormat="1" ht="31.5" customHeight="1" thickBot="1" x14ac:dyDescent="0.25">
      <c r="A24" s="52" t="s">
        <v>29</v>
      </c>
      <c r="B24" s="916"/>
      <c r="C24" s="1297" t="s">
        <v>27</v>
      </c>
      <c r="D24" s="1298"/>
      <c r="E24" s="1"/>
      <c r="F24" s="1684" t="s">
        <v>307</v>
      </c>
      <c r="G24" s="1685"/>
      <c r="H24" s="2"/>
      <c r="I24" s="972" t="s">
        <v>9</v>
      </c>
      <c r="J24" s="215"/>
      <c r="K24" s="46"/>
    </row>
    <row r="25" spans="1:11" s="46" customFormat="1" ht="15" customHeight="1" thickBot="1" x14ac:dyDescent="0.25">
      <c r="A25" s="47"/>
      <c r="B25" s="47"/>
      <c r="C25" s="47"/>
      <c r="D25" s="47"/>
      <c r="E25" s="47"/>
      <c r="F25" s="47"/>
      <c r="G25" s="47"/>
      <c r="H25" s="6"/>
      <c r="I25" s="47"/>
      <c r="K25" s="48"/>
    </row>
    <row r="26" spans="1:11" s="48" customFormat="1" ht="29.25" customHeight="1" thickBot="1" x14ac:dyDescent="0.25">
      <c r="A26" s="115" t="s">
        <v>129</v>
      </c>
      <c r="B26" s="105">
        <v>4</v>
      </c>
      <c r="C26" s="1301" t="s">
        <v>30</v>
      </c>
      <c r="D26" s="1302"/>
      <c r="E26" s="1302"/>
      <c r="F26" s="1303"/>
      <c r="G26" s="1304" t="s">
        <v>211</v>
      </c>
      <c r="H26" s="1305"/>
    </row>
    <row r="27" spans="1:11" s="48" customFormat="1" ht="31.5" customHeight="1" thickBot="1" x14ac:dyDescent="0.25">
      <c r="A27" s="1273" t="s">
        <v>31</v>
      </c>
      <c r="B27" s="1274"/>
      <c r="C27" s="237">
        <v>1</v>
      </c>
      <c r="D27" s="237">
        <v>2</v>
      </c>
      <c r="E27" s="237">
        <v>3</v>
      </c>
      <c r="F27" s="129">
        <v>4</v>
      </c>
      <c r="G27" s="1275" t="e">
        <f>VLOOKUP($H$25,'DATOS %'!$V$161:$AA$165,2,FALSE)</f>
        <v>#N/A</v>
      </c>
      <c r="H27" s="1276"/>
    </row>
    <row r="28" spans="1:11" s="48" customFormat="1" ht="31.5" customHeight="1" x14ac:dyDescent="0.2">
      <c r="A28" s="1310" t="s">
        <v>32</v>
      </c>
      <c r="B28" s="141" t="s">
        <v>0</v>
      </c>
      <c r="C28" s="142"/>
      <c r="D28" s="142"/>
      <c r="E28" s="142"/>
      <c r="F28" s="143"/>
      <c r="G28" s="47"/>
      <c r="H28" s="47"/>
      <c r="I28" s="47"/>
      <c r="J28" s="47"/>
    </row>
    <row r="29" spans="1:11" s="48" customFormat="1" ht="31.5" customHeight="1" x14ac:dyDescent="0.2">
      <c r="A29" s="1311"/>
      <c r="B29" s="104" t="s">
        <v>2</v>
      </c>
      <c r="C29" s="127"/>
      <c r="D29" s="127"/>
      <c r="E29" s="127"/>
      <c r="F29" s="128"/>
      <c r="G29" s="47"/>
      <c r="H29" s="47"/>
      <c r="I29" s="47"/>
      <c r="J29" s="47"/>
    </row>
    <row r="30" spans="1:11" s="48" customFormat="1" ht="31.5" customHeight="1" x14ac:dyDescent="0.2">
      <c r="A30" s="1311"/>
      <c r="B30" s="104" t="s">
        <v>2</v>
      </c>
      <c r="C30" s="127"/>
      <c r="D30" s="127"/>
      <c r="E30" s="127"/>
      <c r="F30" s="128"/>
      <c r="G30" s="47"/>
      <c r="H30" s="47"/>
      <c r="I30" s="47"/>
      <c r="J30" s="47"/>
    </row>
    <row r="31" spans="1:11" s="48" customFormat="1" ht="31.5" customHeight="1" thickBot="1" x14ac:dyDescent="0.25">
      <c r="A31" s="1312"/>
      <c r="B31" s="53" t="s">
        <v>0</v>
      </c>
      <c r="C31" s="144"/>
      <c r="D31" s="144"/>
      <c r="E31" s="144"/>
      <c r="F31" s="145"/>
      <c r="G31" s="47"/>
      <c r="H31" s="47"/>
      <c r="I31" s="47"/>
      <c r="J31" s="47"/>
      <c r="K31" s="46"/>
    </row>
    <row r="32" spans="1:11" s="46" customFormat="1" ht="15" customHeight="1" thickBot="1" x14ac:dyDescent="0.25">
      <c r="A32" s="47"/>
      <c r="B32" s="47"/>
      <c r="C32" s="47"/>
      <c r="D32" s="47"/>
      <c r="E32" s="47"/>
      <c r="F32" s="47"/>
      <c r="G32" s="47"/>
      <c r="H32" s="47"/>
      <c r="I32" s="47"/>
      <c r="J32" s="47"/>
      <c r="K32" s="48"/>
    </row>
    <row r="33" spans="1:11" s="48" customFormat="1" ht="31.5" customHeight="1" thickBot="1" x14ac:dyDescent="0.25">
      <c r="A33" s="54" t="s">
        <v>33</v>
      </c>
      <c r="B33" s="916"/>
      <c r="C33" s="1297" t="s">
        <v>27</v>
      </c>
      <c r="D33" s="1298"/>
      <c r="E33" s="1"/>
      <c r="F33" s="1684" t="s">
        <v>307</v>
      </c>
      <c r="G33" s="1685"/>
      <c r="H33" s="2"/>
      <c r="I33" s="973" t="s">
        <v>9</v>
      </c>
      <c r="J33" s="3"/>
      <c r="K33" s="46"/>
    </row>
    <row r="34" spans="1:11" s="46" customFormat="1" ht="12" customHeight="1" x14ac:dyDescent="0.2">
      <c r="A34" s="55"/>
      <c r="B34" s="55"/>
      <c r="C34" s="55"/>
      <c r="D34" s="55"/>
      <c r="E34" s="55"/>
      <c r="F34" s="55"/>
      <c r="G34" s="55"/>
      <c r="H34" s="55"/>
      <c r="I34" s="55"/>
      <c r="J34" s="55"/>
      <c r="K34" s="48"/>
    </row>
    <row r="35" spans="1:11" s="48" customFormat="1" ht="15" customHeight="1" thickBot="1" x14ac:dyDescent="0.25">
      <c r="A35" s="56"/>
      <c r="B35" s="56"/>
      <c r="C35" s="56"/>
      <c r="D35" s="56"/>
      <c r="E35" s="56"/>
      <c r="F35" s="56"/>
      <c r="G35" s="56"/>
      <c r="H35" s="56"/>
      <c r="I35" s="56"/>
      <c r="J35" s="56"/>
    </row>
    <row r="36" spans="1:11" s="48" customFormat="1" ht="32.25" customHeight="1" thickBot="1" x14ac:dyDescent="0.25">
      <c r="A36" s="1294" t="s">
        <v>34</v>
      </c>
      <c r="B36" s="1295"/>
      <c r="C36" s="1295"/>
      <c r="D36" s="1295"/>
      <c r="E36" s="1295"/>
      <c r="F36" s="1295"/>
      <c r="G36" s="1295"/>
      <c r="H36" s="1295"/>
      <c r="I36" s="1295"/>
      <c r="J36" s="1296"/>
    </row>
    <row r="37" spans="1:11" s="48" customFormat="1" ht="3.75" customHeight="1" thickBot="1" x14ac:dyDescent="0.25">
      <c r="A37" s="55"/>
      <c r="B37" s="47"/>
      <c r="C37" s="47"/>
      <c r="D37" s="47"/>
      <c r="E37" s="47"/>
      <c r="F37" s="47"/>
      <c r="G37" s="47"/>
      <c r="H37" s="47"/>
      <c r="I37" s="47"/>
      <c r="J37" s="55"/>
    </row>
    <row r="38" spans="1:11" s="48" customFormat="1" ht="31.5" customHeight="1" thickBot="1" x14ac:dyDescent="0.25">
      <c r="A38" s="47"/>
      <c r="B38" s="1316" t="s">
        <v>35</v>
      </c>
      <c r="C38" s="1317"/>
      <c r="D38" s="1317"/>
      <c r="E38" s="1317"/>
      <c r="F38" s="1318"/>
      <c r="G38" s="47"/>
      <c r="H38" s="1319" t="s">
        <v>236</v>
      </c>
      <c r="I38" s="1320"/>
      <c r="J38" s="1321"/>
    </row>
    <row r="39" spans="1:11" s="48" customFormat="1" ht="31.5" customHeight="1" thickBot="1" x14ac:dyDescent="0.25">
      <c r="A39" s="47"/>
      <c r="B39" s="57" t="s">
        <v>31</v>
      </c>
      <c r="C39" s="203">
        <v>1</v>
      </c>
      <c r="D39" s="141">
        <v>2</v>
      </c>
      <c r="E39" s="141">
        <v>3</v>
      </c>
      <c r="F39" s="204">
        <v>4</v>
      </c>
      <c r="G39" s="47"/>
      <c r="H39" s="1322"/>
      <c r="I39" s="1323"/>
      <c r="J39" s="1324"/>
    </row>
    <row r="40" spans="1:11" s="48" customFormat="1" ht="31.5" customHeight="1" x14ac:dyDescent="0.2">
      <c r="A40" s="58"/>
      <c r="B40" s="59"/>
      <c r="C40" s="121" t="e">
        <f>+AVERAGE(C28,C31)</f>
        <v>#DIV/0!</v>
      </c>
      <c r="D40" s="122" t="e">
        <f>+AVERAGE(D28,D31)</f>
        <v>#DIV/0!</v>
      </c>
      <c r="E40" s="122" t="e">
        <f>+AVERAGE(E28,E31)</f>
        <v>#DIV/0!</v>
      </c>
      <c r="F40" s="205" t="e">
        <f>+AVERAGE(F28,F31)</f>
        <v>#DIV/0!</v>
      </c>
      <c r="G40" s="47"/>
      <c r="H40" s="1325"/>
      <c r="I40" s="1326"/>
      <c r="J40" s="1327"/>
    </row>
    <row r="41" spans="1:11" s="48" customFormat="1" ht="31.5" customHeight="1" x14ac:dyDescent="0.2">
      <c r="A41" s="58"/>
      <c r="B41" s="60"/>
      <c r="C41" s="123" t="e">
        <f>+AVERAGE(C29:C30)</f>
        <v>#DIV/0!</v>
      </c>
      <c r="D41" s="61" t="e">
        <f>+AVERAGE(D29:D30)</f>
        <v>#DIV/0!</v>
      </c>
      <c r="E41" s="61" t="e">
        <f>+AVERAGE(E29:E30)</f>
        <v>#DIV/0!</v>
      </c>
      <c r="F41" s="206" t="e">
        <f>+AVERAGE(F29:F30)</f>
        <v>#DIV/0!</v>
      </c>
      <c r="G41" s="47"/>
      <c r="H41" s="1325"/>
      <c r="I41" s="1326"/>
      <c r="J41" s="1327"/>
    </row>
    <row r="42" spans="1:11" s="48" customFormat="1" ht="31.5" customHeight="1" thickBot="1" x14ac:dyDescent="0.25">
      <c r="A42" s="58"/>
      <c r="B42" s="62"/>
      <c r="C42" s="124" t="e">
        <f>+C41-C40</f>
        <v>#DIV/0!</v>
      </c>
      <c r="D42" s="125" t="e">
        <f>+D41-D40</f>
        <v>#DIV/0!</v>
      </c>
      <c r="E42" s="125" t="e">
        <f>+E41-E40</f>
        <v>#DIV/0!</v>
      </c>
      <c r="F42" s="207" t="e">
        <f>+F41-F40</f>
        <v>#DIV/0!</v>
      </c>
      <c r="G42" s="47"/>
      <c r="H42" s="1328"/>
      <c r="I42" s="1329"/>
      <c r="J42" s="1330"/>
    </row>
    <row r="43" spans="1:11" s="48" customFormat="1" ht="31.5" customHeight="1" thickBot="1" x14ac:dyDescent="0.25">
      <c r="A43" s="47"/>
      <c r="B43" s="63" t="s">
        <v>36</v>
      </c>
      <c r="C43" s="286" t="e">
        <f>+AVERAGE(C42:F42)</f>
        <v>#DIV/0!</v>
      </c>
      <c r="D43" s="47"/>
      <c r="E43" s="47"/>
      <c r="F43" s="47"/>
      <c r="G43" s="47"/>
      <c r="H43" s="47"/>
      <c r="I43" s="47"/>
      <c r="J43" s="47"/>
    </row>
    <row r="44" spans="1:11" s="48" customFormat="1" ht="31.5" customHeight="1" thickBot="1" x14ac:dyDescent="0.25">
      <c r="A44" s="47"/>
      <c r="B44" s="64" t="s">
        <v>77</v>
      </c>
      <c r="C44" s="287" t="e">
        <f>+STDEV(C42:F42)</f>
        <v>#DIV/0!</v>
      </c>
      <c r="D44" s="47"/>
      <c r="E44" s="47"/>
      <c r="F44" s="47"/>
      <c r="G44" s="47"/>
      <c r="H44" s="47"/>
      <c r="I44" s="47"/>
      <c r="J44" s="47"/>
      <c r="K44" s="46"/>
    </row>
    <row r="45" spans="1:11" s="46" customFormat="1" ht="15" customHeight="1" thickBot="1" x14ac:dyDescent="0.25">
      <c r="A45" s="47"/>
      <c r="B45" s="47"/>
      <c r="C45" s="47"/>
      <c r="D45" s="47"/>
      <c r="E45" s="47"/>
      <c r="F45" s="47"/>
      <c r="G45" s="65"/>
      <c r="H45" s="47"/>
      <c r="I45" s="47"/>
      <c r="J45" s="47"/>
      <c r="K45" s="48"/>
    </row>
    <row r="46" spans="1:11" s="48" customFormat="1" ht="31.5" customHeight="1" thickBot="1" x14ac:dyDescent="0.25">
      <c r="A46" s="1331" t="s">
        <v>37</v>
      </c>
      <c r="B46" s="1332"/>
      <c r="C46" s="1284"/>
      <c r="D46" s="1284"/>
      <c r="E46" s="1284"/>
      <c r="F46" s="1332"/>
      <c r="G46" s="1332"/>
      <c r="H46" s="1332"/>
      <c r="I46" s="1332"/>
      <c r="J46" s="1333"/>
    </row>
    <row r="47" spans="1:11" s="48" customFormat="1" ht="31.5" customHeight="1" thickBot="1" x14ac:dyDescent="0.25">
      <c r="A47" s="1375" t="s">
        <v>321</v>
      </c>
      <c r="B47" s="1376"/>
      <c r="C47" s="1338" t="s">
        <v>38</v>
      </c>
      <c r="D47" s="1339"/>
      <c r="E47" s="1340"/>
      <c r="F47" s="47"/>
      <c r="G47" s="47"/>
      <c r="H47" s="47"/>
      <c r="I47" s="47"/>
      <c r="J47" s="47"/>
    </row>
    <row r="48" spans="1:11" s="48" customFormat="1" ht="36.75" customHeight="1" thickBot="1" x14ac:dyDescent="0.25">
      <c r="A48" s="1377"/>
      <c r="B48" s="1378"/>
      <c r="C48" s="82" t="s">
        <v>27</v>
      </c>
      <c r="D48" s="93" t="s">
        <v>307</v>
      </c>
      <c r="E48" s="83" t="s">
        <v>9</v>
      </c>
      <c r="G48" s="1341" t="s">
        <v>70</v>
      </c>
      <c r="H48" s="1342"/>
      <c r="I48" s="102" t="e">
        <f>+(0.34848*E50-0.009*D50*EXP(0.061*C50))/(273.15+C50)</f>
        <v>#DIV/0!</v>
      </c>
      <c r="J48" s="103" t="s">
        <v>73</v>
      </c>
    </row>
    <row r="49" spans="1:21" s="48" customFormat="1" ht="33" customHeight="1" thickBot="1" x14ac:dyDescent="0.25">
      <c r="A49" s="1306" t="s">
        <v>39</v>
      </c>
      <c r="B49" s="1307"/>
      <c r="C49" s="90" t="e">
        <f>+AVERAGE(E33,E24)</f>
        <v>#DIV/0!</v>
      </c>
      <c r="D49" s="91" t="e">
        <f>+AVERAGE(H33,H24)</f>
        <v>#DIV/0!</v>
      </c>
      <c r="E49" s="92" t="e">
        <f>+AVERAGE(J33,J24)</f>
        <v>#DIV/0!</v>
      </c>
      <c r="G49" s="1308" t="s">
        <v>71</v>
      </c>
      <c r="H49" s="1309"/>
      <c r="I49" s="422" t="e">
        <f>I48*((0.0001)^2+(0.001*I20/2)^2+(-0.0034*D20/2)^2+(-0.01*G20/2)^2)^0.5</f>
        <v>#DIV/0!</v>
      </c>
      <c r="J49" s="66" t="s">
        <v>73</v>
      </c>
    </row>
    <row r="50" spans="1:21" s="48" customFormat="1" ht="36.75" customHeight="1" thickBot="1" x14ac:dyDescent="0.25">
      <c r="A50" s="1343" t="s">
        <v>322</v>
      </c>
      <c r="B50" s="1344"/>
      <c r="C50" s="84" t="e">
        <f>C49+(VLOOKUP(J19,'DATOS %'!J174:W180,9,FALSE))*C49+(VLOOKUP(J19,'DATOS %'!J174:W180,10,FALSE))</f>
        <v>#DIV/0!</v>
      </c>
      <c r="D50" s="85" t="e">
        <f>D49+(VLOOKUP(J19,'DATOS %'!J174:W180,11,FALSE))*D49+(VLOOKUP(J19,'DATOS %'!J174:W180,12,FALSE))</f>
        <v>#DIV/0!</v>
      </c>
      <c r="E50" s="86" t="e">
        <f>E49+(VLOOKUP(J19,'DATOS %'!J174:W180,13,FALSE))*E49+(VLOOKUP(J19,'DATOS %'!J174:W180,14,FALSE))</f>
        <v>#DIV/0!</v>
      </c>
      <c r="G50" s="1341" t="s">
        <v>72</v>
      </c>
      <c r="H50" s="1342"/>
      <c r="I50" s="67">
        <v>1.2</v>
      </c>
      <c r="J50" s="66" t="s">
        <v>73</v>
      </c>
    </row>
    <row r="51" spans="1:21" s="46" customFormat="1" ht="15" customHeight="1" thickBot="1" x14ac:dyDescent="0.25">
      <c r="A51" s="47"/>
      <c r="B51" s="47"/>
      <c r="C51" s="47"/>
      <c r="D51" s="47"/>
      <c r="E51" s="47"/>
      <c r="F51" s="47"/>
      <c r="G51" s="47"/>
      <c r="H51" s="47"/>
      <c r="I51" s="47"/>
      <c r="J51" s="47"/>
      <c r="K51" s="48"/>
    </row>
    <row r="52" spans="1:21" s="48" customFormat="1" ht="31.5" customHeight="1" thickBot="1" x14ac:dyDescent="0.25">
      <c r="A52" s="1331" t="s">
        <v>40</v>
      </c>
      <c r="B52" s="1332"/>
      <c r="C52" s="1332"/>
      <c r="D52" s="1332"/>
      <c r="E52" s="1332"/>
      <c r="F52" s="1332"/>
      <c r="G52" s="1332"/>
      <c r="H52" s="1332"/>
      <c r="I52" s="1332"/>
      <c r="J52" s="1333"/>
    </row>
    <row r="53" spans="1:21" s="48" customFormat="1" ht="31.5" customHeight="1" x14ac:dyDescent="0.35">
      <c r="A53" s="47"/>
      <c r="B53" s="68" t="s">
        <v>41</v>
      </c>
      <c r="C53" s="69"/>
      <c r="D53" s="1345" t="s">
        <v>74</v>
      </c>
      <c r="E53" s="1345"/>
      <c r="F53" s="70" t="s">
        <v>42</v>
      </c>
      <c r="G53" s="71" t="s">
        <v>43</v>
      </c>
      <c r="H53" s="1346" t="s">
        <v>44</v>
      </c>
      <c r="I53" s="1347"/>
      <c r="J53" s="47"/>
    </row>
    <row r="54" spans="1:21" s="48" customFormat="1" ht="31.5" customHeight="1" thickBot="1" x14ac:dyDescent="0.25">
      <c r="A54" s="47"/>
      <c r="B54" s="72" t="e">
        <f>+C43</f>
        <v>#DIV/0!</v>
      </c>
      <c r="C54" s="73" t="s">
        <v>1</v>
      </c>
      <c r="D54" s="74" t="e">
        <f>+C10+C11/1000</f>
        <v>#N/A</v>
      </c>
      <c r="E54" s="73" t="s">
        <v>1</v>
      </c>
      <c r="F54" s="74" t="e">
        <f>+(I48-I50)*(1/H10-1/C13)</f>
        <v>#DIV/0!</v>
      </c>
      <c r="G54" s="75"/>
      <c r="H54" s="67" t="e">
        <f>+(B54+D54*F54)*1000</f>
        <v>#DIV/0!</v>
      </c>
      <c r="I54" s="66" t="s">
        <v>3</v>
      </c>
      <c r="J54" s="47"/>
      <c r="K54" s="46"/>
    </row>
    <row r="55" spans="1:21" s="46" customFormat="1" ht="15" customHeight="1" x14ac:dyDescent="0.2">
      <c r="A55" s="47"/>
      <c r="B55" s="47"/>
      <c r="C55" s="47"/>
      <c r="D55" s="47"/>
      <c r="E55" s="47"/>
      <c r="F55" s="47"/>
      <c r="G55" s="47"/>
      <c r="H55" s="47"/>
      <c r="I55" s="47"/>
      <c r="J55" s="47"/>
      <c r="K55" s="48"/>
    </row>
    <row r="56" spans="1:21" s="48" customFormat="1" ht="31.5" customHeight="1" x14ac:dyDescent="0.2">
      <c r="A56" s="1348" t="s">
        <v>45</v>
      </c>
      <c r="B56" s="1349"/>
      <c r="C56" s="1349"/>
      <c r="D56" s="1349"/>
      <c r="E56" s="1349"/>
      <c r="F56" s="1349"/>
      <c r="G56" s="1349"/>
      <c r="H56" s="1349"/>
      <c r="I56" s="1349"/>
      <c r="J56" s="1349"/>
      <c r="K56" s="46"/>
    </row>
    <row r="57" spans="1:21" s="46" customFormat="1" ht="15" customHeight="1" thickBot="1" x14ac:dyDescent="0.25">
      <c r="A57" s="47"/>
      <c r="B57" s="47"/>
      <c r="C57" s="47"/>
      <c r="D57" s="47"/>
      <c r="E57" s="47"/>
      <c r="K57" s="48"/>
    </row>
    <row r="58" spans="1:21" s="48" customFormat="1" ht="31.5" customHeight="1" thickBot="1" x14ac:dyDescent="0.25">
      <c r="A58" s="1350" t="s">
        <v>38</v>
      </c>
      <c r="B58" s="1351"/>
      <c r="C58" s="1352" t="s">
        <v>46</v>
      </c>
      <c r="D58" s="1353"/>
      <c r="E58" s="1354" t="s">
        <v>238</v>
      </c>
      <c r="F58" s="1379"/>
      <c r="G58" s="1061" t="s">
        <v>553</v>
      </c>
      <c r="J58" s="114"/>
      <c r="L58" s="46"/>
      <c r="Q58" s="47"/>
      <c r="R58" s="47"/>
      <c r="S58" s="47"/>
      <c r="T58" s="47"/>
      <c r="U58" s="47"/>
    </row>
    <row r="59" spans="1:21" s="48" customFormat="1" ht="57.95" customHeight="1" thickBot="1" x14ac:dyDescent="0.25">
      <c r="A59" s="1024" t="s">
        <v>47</v>
      </c>
      <c r="B59" s="1025"/>
      <c r="C59" s="1026" t="e">
        <f>+C44/B26^0.5*1000</f>
        <v>#DIV/0!</v>
      </c>
      <c r="D59" s="1017" t="s">
        <v>3</v>
      </c>
      <c r="E59" s="1027" t="s">
        <v>240</v>
      </c>
      <c r="F59" s="139">
        <f>$B$26-1</f>
        <v>3</v>
      </c>
      <c r="G59" s="1111" t="e">
        <f>(C59/$G$70)^2</f>
        <v>#DIV/0!</v>
      </c>
      <c r="H59" s="47"/>
      <c r="K59" s="156">
        <v>0.3</v>
      </c>
      <c r="L59" s="157">
        <v>1.65</v>
      </c>
      <c r="M59" s="113"/>
    </row>
    <row r="60" spans="1:21" s="48" customFormat="1" ht="57.95" customHeight="1" thickBot="1" x14ac:dyDescent="0.25">
      <c r="A60" s="1019" t="s">
        <v>343</v>
      </c>
      <c r="B60" s="1020" t="s">
        <v>48</v>
      </c>
      <c r="C60" s="1021" t="e">
        <f>+C12/2</f>
        <v>#N/A</v>
      </c>
      <c r="D60" s="1022" t="s">
        <v>3</v>
      </c>
      <c r="E60" s="1023" t="s">
        <v>239</v>
      </c>
      <c r="F60" s="146" t="s">
        <v>265</v>
      </c>
      <c r="G60" s="1112"/>
      <c r="H60" s="1380" t="s">
        <v>241</v>
      </c>
      <c r="I60" s="1356"/>
      <c r="J60" s="1356"/>
      <c r="K60" s="1356"/>
      <c r="L60" s="1356"/>
      <c r="M60" s="1357"/>
    </row>
    <row r="61" spans="1:21" s="48" customFormat="1" ht="57.95" customHeight="1" thickBot="1" x14ac:dyDescent="0.25">
      <c r="A61" s="1028" t="s">
        <v>344</v>
      </c>
      <c r="B61" s="1029"/>
      <c r="C61" s="1030" t="e">
        <f>+C12/3^0.5</f>
        <v>#N/A</v>
      </c>
      <c r="D61" s="1031" t="s">
        <v>3</v>
      </c>
      <c r="E61" s="1032" t="s">
        <v>239</v>
      </c>
      <c r="F61" s="147" t="s">
        <v>265</v>
      </c>
      <c r="G61" s="1112"/>
      <c r="H61" s="132" t="s">
        <v>243</v>
      </c>
      <c r="I61" s="149" t="e">
        <f>MAX(C59:C62,C66:C67,C68)</f>
        <v>#DIV/0!</v>
      </c>
      <c r="J61" s="151" t="e">
        <f>IF((I62)&lt;=(K59),"1,65","2")</f>
        <v>#DIV/0!</v>
      </c>
      <c r="K61" s="152" t="s">
        <v>242</v>
      </c>
      <c r="L61" s="153" t="s">
        <v>237</v>
      </c>
      <c r="M61" s="360" t="s">
        <v>328</v>
      </c>
    </row>
    <row r="62" spans="1:21" s="48" customFormat="1" ht="57.95" customHeight="1" thickBot="1" x14ac:dyDescent="0.3">
      <c r="A62" s="1024" t="s">
        <v>49</v>
      </c>
      <c r="B62" s="1035"/>
      <c r="C62" s="1036" t="e">
        <f>+SQRT(SUMSQ(C60:C61))</f>
        <v>#N/A</v>
      </c>
      <c r="D62" s="1017" t="s">
        <v>3</v>
      </c>
      <c r="E62" s="1037" t="s">
        <v>240</v>
      </c>
      <c r="F62" s="139">
        <v>200</v>
      </c>
      <c r="G62" s="1112" t="e">
        <f t="shared" ref="G62:G68" si="0">(C62/$G$70)^2</f>
        <v>#N/A</v>
      </c>
      <c r="H62" s="133" t="s">
        <v>244</v>
      </c>
      <c r="I62" s="150" t="e">
        <f>SQRT((C59)^2+(C66)^2+(C67)^2)/I61</f>
        <v>#DIV/0!</v>
      </c>
      <c r="J62" s="126"/>
      <c r="K62" s="154" t="s">
        <v>242</v>
      </c>
      <c r="L62" s="155" t="s">
        <v>252</v>
      </c>
      <c r="M62" s="361" t="s">
        <v>329</v>
      </c>
    </row>
    <row r="63" spans="1:21" s="48" customFormat="1" ht="57.95" customHeight="1" x14ac:dyDescent="0.2">
      <c r="A63" s="1019" t="s">
        <v>345</v>
      </c>
      <c r="B63" s="1020"/>
      <c r="C63" s="1033" t="e">
        <f>+I49</f>
        <v>#DIV/0!</v>
      </c>
      <c r="D63" s="1021" t="s">
        <v>73</v>
      </c>
      <c r="E63" s="1034" t="s">
        <v>239</v>
      </c>
      <c r="F63" s="146" t="s">
        <v>265</v>
      </c>
      <c r="G63" s="1112"/>
      <c r="L63" s="46"/>
      <c r="T63" s="46"/>
      <c r="U63" s="46"/>
    </row>
    <row r="64" spans="1:21" s="48" customFormat="1" ht="57.95" customHeight="1" x14ac:dyDescent="0.2">
      <c r="A64" s="426" t="s">
        <v>50</v>
      </c>
      <c r="B64" s="1018"/>
      <c r="C64" s="425" t="e">
        <f>+H11/2</f>
        <v>#N/A</v>
      </c>
      <c r="D64" s="424" t="s">
        <v>73</v>
      </c>
      <c r="E64" s="423" t="s">
        <v>239</v>
      </c>
      <c r="F64" s="148" t="s">
        <v>265</v>
      </c>
      <c r="G64" s="1112"/>
      <c r="H64" s="130"/>
      <c r="J64" s="130"/>
      <c r="K64" s="130"/>
      <c r="L64" s="130"/>
      <c r="M64" s="130"/>
      <c r="Q64" s="47"/>
      <c r="R64" s="47"/>
      <c r="S64" s="47"/>
      <c r="T64" s="47"/>
      <c r="U64" s="47"/>
    </row>
    <row r="65" spans="1:21" s="48" customFormat="1" ht="57.95" customHeight="1" thickBot="1" x14ac:dyDescent="0.25">
      <c r="A65" s="1028" t="s">
        <v>346</v>
      </c>
      <c r="B65" s="1038"/>
      <c r="C65" s="1039" t="e">
        <f>+C14/2</f>
        <v>#N/A</v>
      </c>
      <c r="D65" s="1031" t="s">
        <v>73</v>
      </c>
      <c r="E65" s="1040" t="s">
        <v>239</v>
      </c>
      <c r="F65" s="147" t="s">
        <v>265</v>
      </c>
      <c r="G65" s="1112"/>
      <c r="H65" s="130"/>
      <c r="I65" s="130"/>
      <c r="J65" s="130"/>
      <c r="K65" s="130"/>
      <c r="L65" s="130"/>
      <c r="M65" s="130"/>
      <c r="Q65" s="46"/>
      <c r="R65" s="46"/>
      <c r="S65" s="46"/>
      <c r="T65" s="46"/>
      <c r="U65" s="46"/>
    </row>
    <row r="66" spans="1:21" s="48" customFormat="1" ht="57.95" customHeight="1" thickBot="1" x14ac:dyDescent="0.3">
      <c r="A66" s="1024" t="s">
        <v>347</v>
      </c>
      <c r="B66" s="1035"/>
      <c r="C66" s="1036" t="e">
        <f>+SQRT(ABS(((C10/1000+C11/1000000)*(C13-H10)/(C13*H10)*C63)^2+((C10/1000+C11/1000000)*(I48-I50))^2*C64^2/H10^4+(C10/1000+C11/1000000)^2*(I48-I50)*((I48-I50)-2*(C15-I50))*C65^2/C13^4))*1000000</f>
        <v>#N/A</v>
      </c>
      <c r="D66" s="1051" t="s">
        <v>3</v>
      </c>
      <c r="E66" s="1037" t="s">
        <v>240</v>
      </c>
      <c r="F66" s="139">
        <v>200</v>
      </c>
      <c r="G66" s="1112" t="e">
        <f t="shared" si="0"/>
        <v>#N/A</v>
      </c>
      <c r="H66" s="130"/>
      <c r="I66" s="1093" t="s">
        <v>554</v>
      </c>
      <c r="J66" s="1095" t="s">
        <v>556</v>
      </c>
      <c r="K66" s="1094" t="s">
        <v>555</v>
      </c>
      <c r="L66" s="130"/>
      <c r="M66" s="130"/>
      <c r="Q66" s="47"/>
      <c r="R66" s="47"/>
      <c r="S66" s="47"/>
      <c r="T66" s="47"/>
      <c r="U66" s="47"/>
    </row>
    <row r="67" spans="1:21" s="48" customFormat="1" ht="57.95" customHeight="1" thickBot="1" x14ac:dyDescent="0.3">
      <c r="A67" s="1047" t="s">
        <v>52</v>
      </c>
      <c r="B67" s="1048"/>
      <c r="C67" s="1049" t="e">
        <f>+(G15/2/3^0.5)*2^0.5*1000</f>
        <v>#N/A</v>
      </c>
      <c r="D67" s="1044" t="s">
        <v>3</v>
      </c>
      <c r="E67" s="1045" t="s">
        <v>239</v>
      </c>
      <c r="F67" s="1050">
        <v>200</v>
      </c>
      <c r="G67" s="1112" t="e">
        <f t="shared" si="0"/>
        <v>#N/A</v>
      </c>
      <c r="H67" s="130"/>
      <c r="I67" s="1096" t="e">
        <f>G70^4/((C59^4/F59)+(C62^4/F62)+(C66^4/F66)+(C67^4/F67)+(C68^4/F68))</f>
        <v>#DIV/0!</v>
      </c>
      <c r="J67" s="1097" t="e">
        <f>TINV(0.05,I67)</f>
        <v>#DIV/0!</v>
      </c>
      <c r="K67" s="1098" t="e">
        <f>1-TDIST(J67,I67,2)</f>
        <v>#DIV/0!</v>
      </c>
      <c r="L67" s="130"/>
      <c r="M67" s="130"/>
    </row>
    <row r="68" spans="1:21" s="46" customFormat="1" ht="65.25" customHeight="1" thickBot="1" x14ac:dyDescent="0.3">
      <c r="A68" s="1041" t="s">
        <v>551</v>
      </c>
      <c r="B68" s="1042"/>
      <c r="C68" s="1043">
        <f>0.01/SQRT(45)</f>
        <v>1.4907119849998597E-3</v>
      </c>
      <c r="D68" s="1044" t="s">
        <v>3</v>
      </c>
      <c r="E68" s="1045" t="s">
        <v>240</v>
      </c>
      <c r="F68" s="1046">
        <v>50</v>
      </c>
      <c r="G68" s="1113" t="e">
        <f t="shared" si="0"/>
        <v>#DIV/0!</v>
      </c>
      <c r="H68" s="130"/>
      <c r="I68" s="130"/>
      <c r="J68" s="130"/>
      <c r="K68" s="130"/>
      <c r="L68" s="130"/>
      <c r="M68" s="130"/>
      <c r="S68" s="48"/>
      <c r="T68" s="48"/>
      <c r="U68" s="48"/>
    </row>
    <row r="69" spans="1:21" s="46" customFormat="1" ht="65.25" customHeight="1" thickBot="1" x14ac:dyDescent="0.25">
      <c r="A69" s="130"/>
      <c r="B69" s="130"/>
      <c r="C69" s="130"/>
      <c r="D69" s="130"/>
      <c r="E69" s="130"/>
      <c r="F69" s="130"/>
      <c r="G69" s="1114" t="e">
        <f>SUM(G59,G62,G66,G67,G68)</f>
        <v>#DIV/0!</v>
      </c>
      <c r="H69" s="130"/>
      <c r="I69" s="130"/>
      <c r="J69" s="130"/>
      <c r="K69" s="130"/>
      <c r="L69" s="130"/>
      <c r="M69" s="130"/>
      <c r="S69" s="48"/>
      <c r="T69" s="48"/>
      <c r="U69" s="48"/>
    </row>
    <row r="70" spans="1:21" s="106" customFormat="1" ht="51.75" customHeight="1" thickBot="1" x14ac:dyDescent="0.3">
      <c r="D70" s="1306" t="s">
        <v>51</v>
      </c>
      <c r="E70" s="1307"/>
      <c r="F70" s="134"/>
      <c r="G70" s="140" t="e">
        <f>+SQRT(SUMSQ(C59,C62,C66,C67,C68))</f>
        <v>#DIV/0!</v>
      </c>
      <c r="H70" s="136" t="s">
        <v>3</v>
      </c>
      <c r="K70" s="130"/>
      <c r="L70" s="130"/>
      <c r="M70" s="130"/>
      <c r="S70" s="48"/>
      <c r="T70" s="48"/>
      <c r="U70" s="48"/>
    </row>
    <row r="71" spans="1:21" s="106" customFormat="1" ht="35.1" customHeight="1" thickBot="1" x14ac:dyDescent="0.25">
      <c r="D71" s="1306" t="s">
        <v>53</v>
      </c>
      <c r="E71" s="1307"/>
      <c r="F71" s="135"/>
      <c r="G71" s="140" t="e">
        <f>+G70*2</f>
        <v>#DIV/0!</v>
      </c>
      <c r="H71" s="137" t="s">
        <v>3</v>
      </c>
      <c r="K71" s="110"/>
      <c r="L71" s="107"/>
      <c r="O71" s="48"/>
      <c r="P71" s="48"/>
      <c r="Q71" s="48"/>
      <c r="R71" s="48"/>
      <c r="S71" s="48"/>
      <c r="T71" s="48"/>
      <c r="U71" s="48"/>
    </row>
    <row r="72" spans="1:21" s="106" customFormat="1" ht="33.75" customHeight="1" thickBot="1" x14ac:dyDescent="4.45">
      <c r="B72" s="1313" t="s">
        <v>54</v>
      </c>
      <c r="C72" s="1314"/>
      <c r="D72" s="1314"/>
      <c r="E72" s="1314"/>
      <c r="F72" s="1314"/>
      <c r="G72" s="1314"/>
      <c r="H72" s="1314"/>
      <c r="I72" s="1314"/>
      <c r="J72" s="1314"/>
      <c r="K72" s="1315"/>
      <c r="L72" s="117"/>
      <c r="O72" s="48"/>
      <c r="P72" s="48"/>
      <c r="Q72" s="48"/>
      <c r="R72" s="48"/>
      <c r="S72" s="48"/>
      <c r="T72" s="48"/>
      <c r="U72" s="48"/>
    </row>
    <row r="73" spans="1:21" s="106" customFormat="1" ht="35.1" customHeight="1" thickBot="1" x14ac:dyDescent="0.25">
      <c r="B73" s="1368" t="s">
        <v>255</v>
      </c>
      <c r="C73" s="1369"/>
      <c r="D73" s="1369"/>
      <c r="E73" s="1370"/>
      <c r="F73" s="79"/>
      <c r="G73" s="80"/>
      <c r="H73" s="1371"/>
      <c r="I73" s="1372"/>
      <c r="J73" s="1372"/>
      <c r="K73" s="1373"/>
      <c r="O73" s="48"/>
      <c r="P73" s="48"/>
      <c r="Q73" s="48"/>
      <c r="R73" s="48"/>
      <c r="S73" s="48"/>
      <c r="T73" s="48"/>
      <c r="U73" s="48"/>
    </row>
    <row r="74" spans="1:21" s="106" customFormat="1" ht="40.5" customHeight="1" x14ac:dyDescent="0.2">
      <c r="B74" s="118"/>
      <c r="C74" s="362" t="s">
        <v>348</v>
      </c>
      <c r="D74" s="119" t="s">
        <v>253</v>
      </c>
      <c r="E74" s="120"/>
      <c r="F74" s="1358"/>
      <c r="G74" s="1358"/>
      <c r="H74" s="1359" t="s">
        <v>266</v>
      </c>
      <c r="I74" s="1381" t="s">
        <v>254</v>
      </c>
      <c r="J74" s="1381"/>
      <c r="K74" s="1382"/>
      <c r="O74" s="48"/>
      <c r="P74" s="48"/>
      <c r="Q74" s="48"/>
      <c r="R74" s="48"/>
      <c r="S74" s="48"/>
      <c r="T74" s="48"/>
      <c r="U74" s="48"/>
    </row>
    <row r="75" spans="1:21" s="106" customFormat="1" ht="35.1" customHeight="1" x14ac:dyDescent="0.2">
      <c r="B75" s="81" t="e">
        <f>C10</f>
        <v>#N/A</v>
      </c>
      <c r="C75" s="77" t="e">
        <f>C11</f>
        <v>#N/A</v>
      </c>
      <c r="D75" s="78" t="e">
        <f>H54</f>
        <v>#DIV/0!</v>
      </c>
      <c r="E75" s="216" t="e">
        <f>B75+(C75/1000)+(D75/1000)</f>
        <v>#N/A</v>
      </c>
      <c r="F75" s="264" t="e">
        <f>E75*1000-B75*1000</f>
        <v>#N/A</v>
      </c>
      <c r="G75" s="61"/>
      <c r="H75" s="1360"/>
      <c r="I75" s="1054" t="e">
        <f>G71</f>
        <v>#DIV/0!</v>
      </c>
      <c r="J75" s="1364"/>
      <c r="K75" s="1365"/>
      <c r="O75" s="48"/>
      <c r="P75" s="48"/>
      <c r="Q75" s="48"/>
      <c r="R75" s="48"/>
      <c r="S75" s="48"/>
      <c r="T75" s="48"/>
      <c r="U75" s="48"/>
    </row>
    <row r="76" spans="1:21" s="106" customFormat="1" ht="35.1" customHeight="1" thickBot="1" x14ac:dyDescent="0.25">
      <c r="B76" s="87" t="e">
        <f>B75</f>
        <v>#N/A</v>
      </c>
      <c r="C76" s="88" t="e">
        <f>C75</f>
        <v>#N/A</v>
      </c>
      <c r="D76" s="88" t="e">
        <f>D75</f>
        <v>#DIV/0!</v>
      </c>
      <c r="E76" s="217" t="e">
        <f>B76+(C76/1000)+(D76/1000)</f>
        <v>#N/A</v>
      </c>
      <c r="F76" s="283" t="e">
        <f>F75/1000</f>
        <v>#N/A</v>
      </c>
      <c r="G76" s="89"/>
      <c r="H76" s="1361"/>
      <c r="I76" s="284" t="e">
        <f>I75/1000</f>
        <v>#DIV/0!</v>
      </c>
      <c r="J76" s="1366"/>
      <c r="K76" s="1367"/>
      <c r="O76" s="48"/>
      <c r="P76" s="48"/>
      <c r="Q76" s="48"/>
      <c r="R76" s="48"/>
      <c r="S76" s="48"/>
      <c r="T76" s="48"/>
      <c r="U76" s="48"/>
    </row>
    <row r="77" spans="1:21" s="106" customFormat="1" ht="35.1" customHeight="1" x14ac:dyDescent="0.2">
      <c r="G77" s="47"/>
      <c r="H77" s="47"/>
      <c r="I77" s="47"/>
      <c r="J77" s="47"/>
      <c r="O77" s="48"/>
      <c r="P77" s="48"/>
      <c r="Q77" s="48"/>
      <c r="R77" s="48"/>
      <c r="S77" s="48"/>
      <c r="T77" s="48"/>
      <c r="U77" s="48"/>
    </row>
    <row r="78" spans="1:21" s="106" customFormat="1" ht="35.1" customHeight="1" x14ac:dyDescent="0.2">
      <c r="G78" s="47"/>
      <c r="H78" s="47"/>
      <c r="I78" s="47"/>
      <c r="J78" s="47"/>
      <c r="O78" s="48"/>
      <c r="P78" s="48"/>
      <c r="Q78" s="48"/>
      <c r="R78" s="48"/>
      <c r="S78" s="48"/>
      <c r="T78" s="48"/>
      <c r="U78" s="48"/>
    </row>
    <row r="79" spans="1:21" s="106" customFormat="1" ht="35.1" customHeight="1" x14ac:dyDescent="0.2">
      <c r="G79" s="47"/>
      <c r="H79" s="47"/>
      <c r="I79" s="47"/>
      <c r="J79" s="47"/>
    </row>
    <row r="80" spans="1:21" s="107" customFormat="1" ht="35.1" customHeight="1" x14ac:dyDescent="0.2">
      <c r="A80" s="109"/>
      <c r="B80" s="106"/>
      <c r="C80" s="106"/>
      <c r="D80" s="106"/>
      <c r="E80" s="106"/>
      <c r="F80" s="106"/>
      <c r="G80" s="47"/>
      <c r="H80" s="47"/>
    </row>
    <row r="81" spans="2:11" s="111" customFormat="1" ht="35.1" customHeight="1" x14ac:dyDescent="0.2">
      <c r="B81" s="106"/>
      <c r="C81" s="106"/>
      <c r="D81" s="106"/>
      <c r="E81" s="106"/>
      <c r="F81" s="106"/>
      <c r="G81" s="47"/>
      <c r="H81" s="47"/>
    </row>
    <row r="82" spans="2:11" s="106" customFormat="1" ht="61.5" customHeight="1" x14ac:dyDescent="0.2">
      <c r="H82" s="111"/>
      <c r="I82" s="111"/>
      <c r="J82" s="111"/>
      <c r="K82" s="108"/>
    </row>
    <row r="83" spans="2:11" s="106" customFormat="1" ht="35.1" customHeight="1" x14ac:dyDescent="0.2">
      <c r="G83" s="111"/>
      <c r="H83" s="111"/>
      <c r="I83" s="111"/>
      <c r="J83" s="111"/>
      <c r="K83" s="108"/>
    </row>
    <row r="84" spans="2:11" s="106" customFormat="1" ht="35.1" customHeight="1" x14ac:dyDescent="0.2">
      <c r="G84" s="111"/>
      <c r="H84" s="111"/>
      <c r="I84" s="111"/>
      <c r="J84" s="111"/>
      <c r="K84" s="108"/>
    </row>
    <row r="85" spans="2:11" s="106" customFormat="1" ht="35.1" customHeight="1" x14ac:dyDescent="0.2">
      <c r="F85" s="107"/>
      <c r="K85" s="108"/>
    </row>
    <row r="86" spans="2:11" s="106" customFormat="1" ht="50.1" customHeight="1" x14ac:dyDescent="0.2"/>
    <row r="87" spans="2:11" s="106" customFormat="1" ht="57.75" customHeight="1" x14ac:dyDescent="0.2">
      <c r="C87" s="112"/>
      <c r="D87" s="112"/>
      <c r="E87" s="112"/>
    </row>
    <row r="88" spans="2:11" s="106" customFormat="1" ht="35.1" customHeight="1" x14ac:dyDescent="0.2"/>
    <row r="89" spans="2:11" s="106" customFormat="1" ht="35.1" customHeight="1" x14ac:dyDescent="0.2">
      <c r="F89" s="108"/>
      <c r="G89" s="108"/>
      <c r="H89" s="108"/>
      <c r="I89" s="108"/>
      <c r="J89" s="108"/>
    </row>
    <row r="90" spans="2:11" s="106" customFormat="1" ht="35.1" customHeight="1" x14ac:dyDescent="0.2"/>
    <row r="91" spans="2:11" s="106" customFormat="1" ht="50.1" customHeight="1" x14ac:dyDescent="0.2">
      <c r="J91" s="47"/>
    </row>
    <row r="92" spans="2:11" s="106" customFormat="1" ht="55.5" customHeight="1" x14ac:dyDescent="0.2">
      <c r="J92" s="111"/>
    </row>
    <row r="93" spans="2:11" s="106" customFormat="1" ht="50.1" customHeight="1" x14ac:dyDescent="0.2">
      <c r="J93" s="111"/>
    </row>
    <row r="94" spans="2:11" s="107" customFormat="1" ht="31.5" customHeight="1" x14ac:dyDescent="0.2">
      <c r="J94" s="111"/>
    </row>
    <row r="95" spans="2:11" s="106" customFormat="1" ht="35.1" customHeight="1" x14ac:dyDescent="0.2">
      <c r="G95" s="111"/>
      <c r="H95" s="111"/>
      <c r="I95" s="111"/>
      <c r="J95" s="111"/>
    </row>
    <row r="96" spans="2:11" s="106" customFormat="1" ht="35.1" customHeight="1" x14ac:dyDescent="0.2">
      <c r="G96" s="111"/>
      <c r="H96" s="111"/>
      <c r="I96" s="111"/>
      <c r="J96" s="111"/>
    </row>
    <row r="97" spans="1:12" s="106" customFormat="1" ht="9.9499999999999993" customHeight="1" x14ac:dyDescent="0.2">
      <c r="G97" s="108"/>
      <c r="H97" s="108"/>
      <c r="I97" s="108"/>
      <c r="J97" s="108"/>
    </row>
    <row r="98" spans="1:12" s="106" customFormat="1" ht="35.1" customHeight="1" x14ac:dyDescent="0.2">
      <c r="J98" s="108"/>
      <c r="K98" s="108"/>
      <c r="L98" s="108"/>
    </row>
    <row r="99" spans="1:12" s="46" customFormat="1" ht="15" customHeight="1" x14ac:dyDescent="0.2">
      <c r="A99" s="47"/>
      <c r="G99" s="47"/>
      <c r="H99" s="47"/>
      <c r="I99" s="47"/>
      <c r="J99" s="47"/>
      <c r="K99" s="48"/>
    </row>
    <row r="100" spans="1:12" s="48" customFormat="1" ht="31.5" customHeight="1" x14ac:dyDescent="0.2">
      <c r="A100" s="47"/>
      <c r="B100" s="47"/>
      <c r="C100" s="47"/>
      <c r="D100" s="47"/>
      <c r="E100" s="47"/>
      <c r="F100" s="47"/>
      <c r="G100" s="47"/>
      <c r="H100" s="47"/>
      <c r="I100" s="47"/>
      <c r="J100" s="47"/>
    </row>
    <row r="101" spans="1:12" s="48" customFormat="1" ht="31.5" customHeight="1" x14ac:dyDescent="0.2"/>
    <row r="102" spans="1:12" s="48" customFormat="1" ht="31.5" customHeight="1" x14ac:dyDescent="0.2"/>
    <row r="103" spans="1:12" s="48" customFormat="1" ht="52.5" customHeight="1" x14ac:dyDescent="0.2"/>
    <row r="104" spans="1:12" s="48" customFormat="1" ht="31.5" customHeight="1" x14ac:dyDescent="0.2">
      <c r="K104" s="8"/>
    </row>
    <row r="105" spans="1:12" s="48" customFormat="1" ht="31.5" customHeight="1" x14ac:dyDescent="0.2">
      <c r="K105" s="8"/>
    </row>
    <row r="106" spans="1:12" ht="31.5" customHeight="1" x14ac:dyDescent="0.2">
      <c r="G106" s="76"/>
    </row>
    <row r="107" spans="1:12" ht="51" customHeight="1" x14ac:dyDescent="0.2"/>
    <row r="109" spans="1:12" ht="31.5" customHeight="1" x14ac:dyDescent="0.2">
      <c r="B109" s="29"/>
      <c r="C109" s="29"/>
      <c r="D109" s="29"/>
      <c r="E109" s="29"/>
      <c r="F109" s="29"/>
      <c r="G109" s="29"/>
      <c r="H109" s="29"/>
      <c r="I109" s="29"/>
      <c r="J109" s="29"/>
    </row>
    <row r="110" spans="1:12" ht="31.5" customHeight="1" x14ac:dyDescent="0.2">
      <c r="B110" s="29"/>
      <c r="C110" s="29"/>
      <c r="D110" s="29"/>
      <c r="E110" s="29"/>
      <c r="F110" s="29"/>
      <c r="G110" s="29"/>
      <c r="H110" s="29"/>
      <c r="I110" s="29"/>
      <c r="J110" s="29"/>
    </row>
    <row r="111" spans="1:12" ht="31.5" customHeight="1" x14ac:dyDescent="0.2">
      <c r="B111" s="29"/>
      <c r="C111" s="29"/>
      <c r="D111" s="29"/>
      <c r="E111" s="29"/>
      <c r="F111" s="29"/>
      <c r="G111" s="29"/>
      <c r="H111" s="29"/>
      <c r="I111" s="29"/>
      <c r="J111" s="29"/>
    </row>
    <row r="112" spans="1:12" ht="31.5" customHeight="1" x14ac:dyDescent="0.2">
      <c r="B112" s="29"/>
      <c r="C112" s="29"/>
      <c r="D112" s="29"/>
      <c r="E112" s="29"/>
      <c r="F112" s="29"/>
      <c r="G112" s="29"/>
      <c r="H112" s="29"/>
      <c r="I112" s="29"/>
      <c r="J112" s="29"/>
    </row>
    <row r="113" spans="2:10" ht="31.5" customHeight="1" x14ac:dyDescent="0.2">
      <c r="B113" s="29"/>
      <c r="C113" s="29"/>
      <c r="D113" s="29"/>
      <c r="E113" s="29"/>
      <c r="F113" s="29"/>
      <c r="G113" s="29"/>
      <c r="H113" s="29"/>
      <c r="I113" s="29"/>
      <c r="J113" s="29"/>
    </row>
    <row r="114" spans="2:10" ht="31.5" customHeight="1" x14ac:dyDescent="0.2">
      <c r="B114" s="29"/>
      <c r="C114" s="29"/>
      <c r="D114" s="29"/>
      <c r="E114" s="29"/>
      <c r="F114" s="29"/>
      <c r="G114" s="29"/>
      <c r="H114" s="29"/>
      <c r="I114" s="29"/>
      <c r="J114" s="29"/>
    </row>
    <row r="115" spans="2:10" ht="31.5" customHeight="1" x14ac:dyDescent="0.2">
      <c r="B115" s="29"/>
      <c r="C115" s="29"/>
      <c r="D115" s="29"/>
      <c r="E115" s="29"/>
      <c r="F115" s="29"/>
      <c r="G115" s="29"/>
      <c r="H115" s="29"/>
      <c r="I115" s="29"/>
      <c r="J115" s="29"/>
    </row>
  </sheetData>
  <sheetProtection password="CF5C" sheet="1" objects="1" scenarios="1"/>
  <mergeCells count="62">
    <mergeCell ref="D70:E70"/>
    <mergeCell ref="D71:E71"/>
    <mergeCell ref="B72:K72"/>
    <mergeCell ref="B73:E73"/>
    <mergeCell ref="H73:K73"/>
    <mergeCell ref="F74:G74"/>
    <mergeCell ref="H74:H76"/>
    <mergeCell ref="I74:K74"/>
    <mergeCell ref="J75:K75"/>
    <mergeCell ref="J76:K76"/>
    <mergeCell ref="A56:J56"/>
    <mergeCell ref="A58:B58"/>
    <mergeCell ref="C58:D58"/>
    <mergeCell ref="E58:F58"/>
    <mergeCell ref="H60:M60"/>
    <mergeCell ref="A50:B50"/>
    <mergeCell ref="G50:H50"/>
    <mergeCell ref="A52:J52"/>
    <mergeCell ref="D53:E53"/>
    <mergeCell ref="H53:I53"/>
    <mergeCell ref="A49:B49"/>
    <mergeCell ref="G49:H49"/>
    <mergeCell ref="A28:A31"/>
    <mergeCell ref="C33:D33"/>
    <mergeCell ref="F33:G33"/>
    <mergeCell ref="A36:J36"/>
    <mergeCell ref="B38:F38"/>
    <mergeCell ref="H38:J38"/>
    <mergeCell ref="H39:J42"/>
    <mergeCell ref="A46:J46"/>
    <mergeCell ref="A47:B48"/>
    <mergeCell ref="C47:E47"/>
    <mergeCell ref="G48:H48"/>
    <mergeCell ref="A27:B27"/>
    <mergeCell ref="G27:H27"/>
    <mergeCell ref="A14:B14"/>
    <mergeCell ref="A15:B15"/>
    <mergeCell ref="A16:B16"/>
    <mergeCell ref="C16:D16"/>
    <mergeCell ref="A18:J18"/>
    <mergeCell ref="F19:G19"/>
    <mergeCell ref="J19:J20"/>
    <mergeCell ref="A20:B20"/>
    <mergeCell ref="E20:F20"/>
    <mergeCell ref="A22:J22"/>
    <mergeCell ref="C24:D24"/>
    <mergeCell ref="F24:G24"/>
    <mergeCell ref="C26:F26"/>
    <mergeCell ref="G26:H26"/>
    <mergeCell ref="A13:B13"/>
    <mergeCell ref="F13:I13"/>
    <mergeCell ref="A1:B1"/>
    <mergeCell ref="C1:M1"/>
    <mergeCell ref="I3:J4"/>
    <mergeCell ref="A6:D6"/>
    <mergeCell ref="F6:I6"/>
    <mergeCell ref="F9:G9"/>
    <mergeCell ref="A10:B10"/>
    <mergeCell ref="F10:G10"/>
    <mergeCell ref="A11:B11"/>
    <mergeCell ref="F11:G11"/>
    <mergeCell ref="A12:B12"/>
  </mergeCells>
  <printOptions horizontalCentered="1"/>
  <pageMargins left="0.70866141732283472" right="0.70866141732283472" top="0.74803149606299213" bottom="0.74803149606299213" header="0.31496062992125984" footer="0.31496062992125984"/>
  <pageSetup scale="13" orientation="portrait" r:id="rId1"/>
  <headerFooter>
    <oddHeader xml:space="preserve">&amp;C
&amp;16   
</oddHeader>
    <oddFooter xml:space="preserve">&amp;RRT03-F13 Vr.14 (2021-05-21)
</oddFooter>
  </headerFooter>
  <rowBreaks count="1" manualBreakCount="1">
    <brk id="34" max="12" man="1"/>
  </rowBreaks>
  <drawing r:id="rId2"/>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1600-000000000000}">
          <x14:formula1>
            <xm:f>'DATOS %'!$J$174:$J$179</xm:f>
          </x14:formula1>
          <xm:sqref>J19:J20</xm:sqref>
        </x14:dataValidation>
        <x14:dataValidation type="list" allowBlank="1" showInputMessage="1" showErrorMessage="1" xr:uid="{00000000-0002-0000-1600-000001000000}">
          <x14:formula1>
            <xm:f>'DATOS %'!$N$121:$N$166</xm:f>
          </x14:formula1>
          <xm:sqref>F48</xm:sqref>
        </x14:dataValidation>
        <x14:dataValidation type="list" allowBlank="1" showInputMessage="1" showErrorMessage="1" xr:uid="{00000000-0002-0000-1600-000002000000}">
          <x14:formula1>
            <xm:f>'DATOS %'!$N$29:$N$113</xm:f>
          </x14:formula1>
          <xm:sqref>E6</xm:sqref>
        </x14:dataValidation>
        <x14:dataValidation type="list" allowBlank="1" showInputMessage="1" showErrorMessage="1" xr:uid="{00000000-0002-0000-1600-000003000000}">
          <x14:formula1>
            <xm:f>'DATOS %'!$V$120:$V$126</xm:f>
          </x14:formula1>
          <xm:sqref>J13</xm:sqref>
        </x14:dataValidation>
        <x14:dataValidation type="list" allowBlank="1" showInputMessage="1" showErrorMessage="1" xr:uid="{00000000-0002-0000-1600-000004000000}">
          <x14:formula1>
            <xm:f>'DATOS %'!$V$161:$V$165</xm:f>
          </x14:formula1>
          <xm:sqref>H25</xm:sqref>
        </x14:dataValidation>
        <x14:dataValidation type="list" allowBlank="1" showInputMessage="1" showErrorMessage="1" xr:uid="{00000000-0002-0000-1600-000005000000}">
          <x14:formula1>
            <xm:f>'DATOS %'!$B$7:$B$40</xm:f>
          </x14:formula1>
          <xm:sqref>I3:J4</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U115"/>
  <sheetViews>
    <sheetView showGridLines="0" view="pageBreakPreview" topLeftCell="A22" zoomScale="80" zoomScaleNormal="60" zoomScaleSheetLayoutView="80" workbookViewId="0">
      <selection activeCell="C65" sqref="C65"/>
    </sheetView>
  </sheetViews>
  <sheetFormatPr baseColWidth="10" defaultColWidth="11.42578125" defaultRowHeight="31.5" customHeight="1" x14ac:dyDescent="0.2"/>
  <cols>
    <col min="1" max="1" width="14.7109375" style="37" customWidth="1"/>
    <col min="2" max="2" width="12" style="37" customWidth="1"/>
    <col min="3" max="3" width="15.7109375" style="37" customWidth="1"/>
    <col min="4" max="4" width="17" style="37" customWidth="1"/>
    <col min="5" max="5" width="15.5703125" style="37" customWidth="1"/>
    <col min="6" max="6" width="18.5703125" style="37" customWidth="1"/>
    <col min="7" max="7" width="15.7109375" style="37" customWidth="1"/>
    <col min="8" max="8" width="24.42578125" style="37" bestFit="1" customWidth="1"/>
    <col min="9" max="9" width="13.85546875" style="37" bestFit="1" customWidth="1"/>
    <col min="10" max="10" width="13.7109375" style="37" customWidth="1"/>
    <col min="11" max="19" width="11.42578125" style="8"/>
    <col min="20" max="20" width="15.85546875" style="8" bestFit="1" customWidth="1"/>
    <col min="21" max="21" width="14.42578125" style="8" bestFit="1" customWidth="1"/>
    <col min="22" max="16384" width="11.42578125" style="8"/>
  </cols>
  <sheetData>
    <row r="1" spans="1:16" ht="60" customHeight="1" thickBot="1" x14ac:dyDescent="0.25">
      <c r="A1" s="1257"/>
      <c r="B1" s="1258"/>
      <c r="C1" s="1259" t="s">
        <v>57</v>
      </c>
      <c r="D1" s="1260"/>
      <c r="E1" s="1260"/>
      <c r="F1" s="1260"/>
      <c r="G1" s="1260"/>
      <c r="H1" s="1260"/>
      <c r="I1" s="1260"/>
      <c r="J1" s="1260"/>
      <c r="K1" s="1260"/>
      <c r="L1" s="1260"/>
      <c r="M1" s="1261"/>
      <c r="N1" s="7"/>
      <c r="O1" s="7"/>
      <c r="P1" s="7"/>
    </row>
    <row r="2" spans="1:16" s="11" customFormat="1" ht="9.75" customHeight="1" thickBot="1" x14ac:dyDescent="0.25">
      <c r="A2" s="9"/>
      <c r="B2" s="9"/>
      <c r="C2" s="10"/>
      <c r="D2" s="10"/>
      <c r="E2" s="10"/>
      <c r="F2" s="10"/>
      <c r="G2" s="10"/>
      <c r="H2" s="10"/>
      <c r="K2" s="12"/>
      <c r="M2" s="7"/>
    </row>
    <row r="3" spans="1:16" s="12" customFormat="1" ht="35.25" customHeight="1" thickBot="1" x14ac:dyDescent="0.25">
      <c r="A3" s="13" t="s">
        <v>17</v>
      </c>
      <c r="B3" s="14" t="s">
        <v>55</v>
      </c>
      <c r="C3" s="15" t="s">
        <v>209</v>
      </c>
      <c r="D3" s="15" t="s">
        <v>56</v>
      </c>
      <c r="E3" s="15" t="s">
        <v>8</v>
      </c>
      <c r="F3" s="16" t="s">
        <v>18</v>
      </c>
      <c r="G3" s="16" t="s">
        <v>297</v>
      </c>
      <c r="H3" s="17" t="s">
        <v>24</v>
      </c>
      <c r="I3" s="1262"/>
      <c r="J3" s="1263"/>
      <c r="K3" s="11"/>
      <c r="M3" s="7"/>
    </row>
    <row r="4" spans="1:16" s="11" customFormat="1" ht="32.25" customHeight="1" thickBot="1" x14ac:dyDescent="0.25">
      <c r="A4" s="18" t="e">
        <f>VLOOKUP($I$3,'DATOS %'!B7:J40,2,FALSE)</f>
        <v>#N/A</v>
      </c>
      <c r="B4" s="212" t="e">
        <f>VLOOKUP($I$3,'DATOS %'!$B$7:$J$40,3,FALSE)</f>
        <v>#N/A</v>
      </c>
      <c r="C4" s="19" t="e">
        <f>VLOOKUP($I$3,'DATOS %'!$B$7:$J$40,8,FALSE)</f>
        <v>#N/A</v>
      </c>
      <c r="D4" s="19" t="e">
        <f>VLOOKUP($I$3,'DATOS %'!$B$7:$J$40,6,FALSE)</f>
        <v>#N/A</v>
      </c>
      <c r="E4" s="212" t="e">
        <f>VLOOKUP($I$3,'DATOS %'!$B$7:$J$40,7,FALSE)</f>
        <v>#N/A</v>
      </c>
      <c r="F4" s="18" t="e">
        <f>VLOOKUP($I$3,'DATOS %'!$B$7:$J$40,4,FALSE)</f>
        <v>#N/A</v>
      </c>
      <c r="G4" s="18" t="e">
        <f>VLOOKUP($I$3,'DATOS %'!$B$7:$J$40,5,FALSE)</f>
        <v>#N/A</v>
      </c>
      <c r="H4" s="19" t="e">
        <f>VLOOKUP($I$3,'DATOS %'!$B$7:$J$40,9,FALSE)</f>
        <v>#N/A</v>
      </c>
      <c r="I4" s="1264"/>
      <c r="J4" s="1265"/>
      <c r="K4" s="8"/>
      <c r="L4" s="20"/>
      <c r="M4" s="20"/>
    </row>
    <row r="5" spans="1:16" s="22" customFormat="1" ht="6.75" customHeight="1" thickBot="1" x14ac:dyDescent="0.25">
      <c r="A5" s="21"/>
      <c r="B5" s="21"/>
      <c r="C5" s="21"/>
      <c r="F5" s="21"/>
      <c r="G5" s="21"/>
      <c r="H5" s="21"/>
      <c r="K5" s="8"/>
    </row>
    <row r="6" spans="1:16" ht="31.5" customHeight="1" thickBot="1" x14ac:dyDescent="0.25">
      <c r="A6" s="1266" t="s">
        <v>19</v>
      </c>
      <c r="B6" s="1267"/>
      <c r="C6" s="1267"/>
      <c r="D6" s="1268"/>
      <c r="E6" s="4"/>
      <c r="F6" s="1266" t="s">
        <v>20</v>
      </c>
      <c r="G6" s="1267"/>
      <c r="H6" s="1267"/>
      <c r="I6" s="1268"/>
      <c r="J6" s="402">
        <f>I3</f>
        <v>0</v>
      </c>
    </row>
    <row r="7" spans="1:16" ht="31.5" customHeight="1" x14ac:dyDescent="0.2">
      <c r="A7" s="23" t="s">
        <v>21</v>
      </c>
      <c r="B7" s="24" t="e">
        <f>VLOOKUP($E$6,'DATOS %'!N11:AA113,2,FALSE)</f>
        <v>#N/A</v>
      </c>
      <c r="C7" s="25" t="s">
        <v>10</v>
      </c>
      <c r="D7" s="26" t="e">
        <f>VLOOKUP($E$6,'DATOS %'!N11:AA113,3,FALSE)</f>
        <v>#N/A</v>
      </c>
      <c r="E7" s="27"/>
      <c r="F7" s="23" t="s">
        <v>21</v>
      </c>
      <c r="G7" s="24" t="e">
        <f>VLOOKUP($J$6,'DATOS %'!B47:I79,2,FALSE)</f>
        <v>#N/A</v>
      </c>
      <c r="H7" s="28" t="s">
        <v>10</v>
      </c>
      <c r="I7" s="26" t="e">
        <f>VLOOKUP($J$6,'DATOS %'!B47:I79,3,FALSE)</f>
        <v>#N/A</v>
      </c>
      <c r="J7" s="29"/>
    </row>
    <row r="8" spans="1:16" ht="31.5" customHeight="1" x14ac:dyDescent="0.2">
      <c r="A8" s="30" t="s">
        <v>22</v>
      </c>
      <c r="B8" s="31" t="e">
        <f>VLOOKUP($E$6,'DATOS %'!N11:AA113,4,FALSE)</f>
        <v>#N/A</v>
      </c>
      <c r="C8" s="32" t="s">
        <v>23</v>
      </c>
      <c r="D8" s="33" t="e">
        <f>VLOOKUP($E$6,'DATOS %'!N11:AA113,5,FALSE)</f>
        <v>#N/A</v>
      </c>
      <c r="E8" s="27"/>
      <c r="F8" s="30" t="s">
        <v>22</v>
      </c>
      <c r="G8" s="31" t="e">
        <f>VLOOKUP($J$6,'DATOS %'!B47:I79,4,FALSE)</f>
        <v>#N/A</v>
      </c>
      <c r="H8" s="32" t="s">
        <v>23</v>
      </c>
      <c r="I8" s="297" t="e">
        <f>VLOOKUP($J$6,'DATOS %'!B47:I79,5,FALSE)</f>
        <v>#N/A</v>
      </c>
      <c r="J8" s="29"/>
    </row>
    <row r="9" spans="1:16" ht="31.5" customHeight="1" x14ac:dyDescent="0.2">
      <c r="A9" s="34" t="s">
        <v>24</v>
      </c>
      <c r="B9" s="31" t="e">
        <f>VLOOKUP($E$6,'DATOS %'!N11:AA113,6,FALSE)</f>
        <v>#N/A</v>
      </c>
      <c r="C9" s="35" t="s">
        <v>15</v>
      </c>
      <c r="D9" s="36" t="e">
        <f>VLOOKUP($E$6,'DATOS %'!N11:AA113,7,FALSE)</f>
        <v>#N/A</v>
      </c>
      <c r="F9" s="1252" t="s">
        <v>62</v>
      </c>
      <c r="G9" s="1253"/>
      <c r="H9" s="31" t="e">
        <f>VLOOKUP($J$6,'DATOS %'!B47:I79,6,FALSE)</f>
        <v>#N/A</v>
      </c>
      <c r="I9" s="33" t="s">
        <v>1</v>
      </c>
      <c r="J9" s="29"/>
      <c r="K9" s="208"/>
    </row>
    <row r="10" spans="1:16" s="38" customFormat="1" ht="31.5" customHeight="1" x14ac:dyDescent="0.25">
      <c r="A10" s="1252" t="s">
        <v>63</v>
      </c>
      <c r="B10" s="1253"/>
      <c r="C10" s="223" t="e">
        <f>VLOOKUP($E$6,'DATOS %'!N11:AA113,8,FALSE)</f>
        <v>#N/A</v>
      </c>
      <c r="D10" s="33" t="s">
        <v>1</v>
      </c>
      <c r="F10" s="1252" t="s">
        <v>64</v>
      </c>
      <c r="G10" s="1253"/>
      <c r="H10" s="213" t="e">
        <f>VLOOKUP($J$6,'DATOS %'!B47:I79,7,FALSE)</f>
        <v>#N/A</v>
      </c>
      <c r="I10" s="33" t="s">
        <v>76</v>
      </c>
      <c r="J10" s="39"/>
    </row>
    <row r="11" spans="1:16" s="38" customFormat="1" ht="31.5" customHeight="1" thickBot="1" x14ac:dyDescent="0.3">
      <c r="A11" s="1252" t="s">
        <v>65</v>
      </c>
      <c r="B11" s="1253"/>
      <c r="C11" s="31" t="e">
        <f>VLOOKUP($E$6,'DATOS %'!N11:AA113,9,FALSE)</f>
        <v>#N/A</v>
      </c>
      <c r="D11" s="33" t="s">
        <v>3</v>
      </c>
      <c r="E11" s="40"/>
      <c r="F11" s="1271" t="s">
        <v>66</v>
      </c>
      <c r="G11" s="1272"/>
      <c r="H11" s="41" t="e">
        <f>VLOOKUP($J$6,'DATOS %'!B47:I79,8,FALSE)</f>
        <v>#N/A</v>
      </c>
      <c r="I11" s="45" t="s">
        <v>76</v>
      </c>
      <c r="J11" s="39"/>
    </row>
    <row r="12" spans="1:16" s="38" customFormat="1" ht="31.5" customHeight="1" thickBot="1" x14ac:dyDescent="0.3">
      <c r="A12" s="1252" t="s">
        <v>67</v>
      </c>
      <c r="B12" s="1253"/>
      <c r="C12" s="31" t="e">
        <f>VLOOKUP($E$6,'DATOS %'!N11:AA113,10,FALSE)</f>
        <v>#N/A</v>
      </c>
      <c r="D12" s="33" t="s">
        <v>3</v>
      </c>
      <c r="E12" s="39"/>
      <c r="F12" s="39"/>
      <c r="G12" s="39"/>
      <c r="H12" s="39"/>
    </row>
    <row r="13" spans="1:16" s="38" customFormat="1" ht="31.5" customHeight="1" thickBot="1" x14ac:dyDescent="0.3">
      <c r="A13" s="1252" t="s">
        <v>68</v>
      </c>
      <c r="B13" s="1253"/>
      <c r="C13" s="213" t="e">
        <f>VLOOKUP($E$6,'DATOS %'!N11:AA113,11,FALSE)</f>
        <v>#N/A</v>
      </c>
      <c r="D13" s="33" t="s">
        <v>76</v>
      </c>
      <c r="E13" s="39"/>
      <c r="F13" s="1254" t="s">
        <v>559</v>
      </c>
      <c r="G13" s="1255"/>
      <c r="H13" s="1255"/>
      <c r="I13" s="1256"/>
      <c r="J13" s="5"/>
    </row>
    <row r="14" spans="1:16" s="38" customFormat="1" ht="31.5" customHeight="1" x14ac:dyDescent="0.2">
      <c r="A14" s="1252" t="s">
        <v>305</v>
      </c>
      <c r="B14" s="1253"/>
      <c r="C14" s="31" t="e">
        <f>VLOOKUP($E$6,'DATOS %'!N11:AA113,12,FALSE)</f>
        <v>#N/A</v>
      </c>
      <c r="D14" s="33" t="s">
        <v>76</v>
      </c>
      <c r="E14" s="39"/>
      <c r="F14" s="23" t="s">
        <v>10</v>
      </c>
      <c r="G14" s="24" t="e">
        <f>VLOOKUP($J$13,'DATOS %'!$V$119:$Y$126,2,FALSE)</f>
        <v>#N/A</v>
      </c>
      <c r="H14" s="28" t="s">
        <v>22</v>
      </c>
      <c r="I14" s="24" t="e">
        <f>VLOOKUP($J$13,'DATOS %'!$V$119:$Z$126,3,FALSE)</f>
        <v>#N/A</v>
      </c>
      <c r="J14" s="42"/>
      <c r="K14" s="8"/>
    </row>
    <row r="15" spans="1:16" ht="31.5" customHeight="1" thickBot="1" x14ac:dyDescent="0.25">
      <c r="A15" s="1277" t="s">
        <v>69</v>
      </c>
      <c r="B15" s="1278"/>
      <c r="C15" s="31" t="e">
        <f>VLOOKUP($E$6,'DATOS %'!N11:AA113,13,FALSE)</f>
        <v>#N/A</v>
      </c>
      <c r="D15" s="33" t="s">
        <v>76</v>
      </c>
      <c r="E15" s="29"/>
      <c r="F15" s="43" t="s">
        <v>61</v>
      </c>
      <c r="G15" s="41" t="e">
        <f>VLOOKUP($J$13,'DATOS %'!$V$119:$Y$126,4,FALSE)</f>
        <v>#N/A</v>
      </c>
      <c r="H15" s="41" t="s">
        <v>1</v>
      </c>
      <c r="I15" s="243" t="s">
        <v>210</v>
      </c>
      <c r="J15" s="45" t="e">
        <f>VLOOKUP($J$13,'DATOS %'!$V$119:$Z$126,5,FALSE)</f>
        <v>#N/A</v>
      </c>
      <c r="K15" s="22"/>
    </row>
    <row r="16" spans="1:16" ht="30.95" customHeight="1" thickBot="1" x14ac:dyDescent="0.25">
      <c r="A16" s="1279" t="s">
        <v>210</v>
      </c>
      <c r="B16" s="1280"/>
      <c r="C16" s="1281" t="e">
        <f>VLOOKUP($E$6,'DATOS %'!N11:AA113,14,FALSE)</f>
        <v>#N/A</v>
      </c>
      <c r="D16" s="1282"/>
      <c r="E16" s="29"/>
      <c r="F16" s="8"/>
      <c r="G16" s="8"/>
      <c r="H16" s="8"/>
      <c r="I16" s="8"/>
      <c r="J16" s="8"/>
    </row>
    <row r="17" spans="1:11" s="22" customFormat="1" ht="30.95" customHeight="1" thickBot="1" x14ac:dyDescent="0.25">
      <c r="A17" s="29"/>
      <c r="B17" s="29"/>
      <c r="C17" s="29"/>
      <c r="D17" s="29"/>
      <c r="E17" s="29"/>
      <c r="F17" s="29"/>
      <c r="G17" s="29"/>
      <c r="H17" s="29"/>
      <c r="I17" s="29"/>
      <c r="J17" s="29"/>
      <c r="K17" s="8"/>
    </row>
    <row r="18" spans="1:11" ht="31.5" customHeight="1" thickBot="1" x14ac:dyDescent="0.25">
      <c r="A18" s="1331" t="s">
        <v>26</v>
      </c>
      <c r="B18" s="1332"/>
      <c r="C18" s="1332"/>
      <c r="D18" s="1332"/>
      <c r="E18" s="1332"/>
      <c r="F18" s="1332"/>
      <c r="G18" s="1332"/>
      <c r="H18" s="1332"/>
      <c r="I18" s="1332"/>
      <c r="J18" s="1333"/>
    </row>
    <row r="19" spans="1:11" ht="46.5" customHeight="1" thickBot="1" x14ac:dyDescent="0.25">
      <c r="A19" s="407" t="s">
        <v>10</v>
      </c>
      <c r="B19" s="101" t="e">
        <f>VLOOKUP(J19,'DATOS %'!J174:W180,2,FALSE)</f>
        <v>#N/A</v>
      </c>
      <c r="C19" s="95" t="s">
        <v>7</v>
      </c>
      <c r="D19" s="408" t="e">
        <f>VLOOKUP(J19,'DATOS %'!J174:W180,3,FALSE)</f>
        <v>#N/A</v>
      </c>
      <c r="E19" s="409" t="s">
        <v>24</v>
      </c>
      <c r="F19" s="1286" t="e">
        <f>VLOOKUP(J19,'DATOS %'!J174:W180,5,FALSE)</f>
        <v>#N/A</v>
      </c>
      <c r="G19" s="1287"/>
      <c r="H19" s="95" t="s">
        <v>25</v>
      </c>
      <c r="I19" s="212" t="e">
        <f>VLOOKUP(J19,'DATOS %'!J174:W180,4,FALSE)</f>
        <v>#N/A</v>
      </c>
      <c r="J19" s="1374"/>
    </row>
    <row r="20" spans="1:11" ht="31.5" customHeight="1" thickBot="1" x14ac:dyDescent="0.25">
      <c r="A20" s="1290" t="s">
        <v>316</v>
      </c>
      <c r="B20" s="1291"/>
      <c r="C20" s="94" t="s">
        <v>27</v>
      </c>
      <c r="D20" s="101" t="e">
        <f>VLOOKUP(J19,'DATOS %'!J174:W180,6,FALSE)</f>
        <v>#N/A</v>
      </c>
      <c r="E20" s="1292" t="s">
        <v>307</v>
      </c>
      <c r="F20" s="1293"/>
      <c r="G20" s="101" t="e">
        <f>VLOOKUP(J19,'DATOS %'!J174:W180,7,FALSE)</f>
        <v>#N/A</v>
      </c>
      <c r="H20" s="95" t="s">
        <v>9</v>
      </c>
      <c r="I20" s="214" t="e">
        <f>VLOOKUP(J19,'DATOS %'!J174:W180,8,FALSE)</f>
        <v>#N/A</v>
      </c>
      <c r="J20" s="1289"/>
    </row>
    <row r="21" spans="1:11" s="46" customFormat="1" ht="15" customHeight="1" thickBot="1" x14ac:dyDescent="0.25">
      <c r="A21" s="47"/>
      <c r="B21" s="47"/>
      <c r="C21" s="47"/>
      <c r="D21" s="47"/>
      <c r="E21" s="47"/>
      <c r="F21" s="47"/>
      <c r="G21" s="47"/>
      <c r="H21" s="47"/>
      <c r="I21" s="47"/>
      <c r="J21" s="47"/>
      <c r="K21" s="8"/>
    </row>
    <row r="22" spans="1:11" s="48" customFormat="1" ht="31.5" customHeight="1" thickBot="1" x14ac:dyDescent="0.25">
      <c r="A22" s="1294" t="s">
        <v>28</v>
      </c>
      <c r="B22" s="1295"/>
      <c r="C22" s="1295"/>
      <c r="D22" s="1295"/>
      <c r="E22" s="1295"/>
      <c r="F22" s="1295"/>
      <c r="G22" s="1295"/>
      <c r="H22" s="1295"/>
      <c r="I22" s="1295"/>
      <c r="J22" s="1296"/>
      <c r="K22" s="47"/>
    </row>
    <row r="23" spans="1:11" s="47" customFormat="1" ht="2.25" customHeight="1" thickBot="1" x14ac:dyDescent="0.25">
      <c r="A23" s="49"/>
      <c r="B23" s="50"/>
      <c r="C23" s="50"/>
      <c r="D23" s="50"/>
      <c r="E23" s="50"/>
      <c r="F23" s="50"/>
      <c r="G23" s="50"/>
      <c r="H23" s="50"/>
      <c r="I23" s="50"/>
      <c r="J23" s="51"/>
      <c r="K23" s="48"/>
    </row>
    <row r="24" spans="1:11" s="48" customFormat="1" ht="31.5" customHeight="1" thickBot="1" x14ac:dyDescent="0.25">
      <c r="A24" s="52" t="s">
        <v>29</v>
      </c>
      <c r="B24" s="916"/>
      <c r="C24" s="1297" t="s">
        <v>27</v>
      </c>
      <c r="D24" s="1298"/>
      <c r="E24" s="1"/>
      <c r="F24" s="1684" t="s">
        <v>307</v>
      </c>
      <c r="G24" s="1685"/>
      <c r="H24" s="2"/>
      <c r="I24" s="972" t="s">
        <v>9</v>
      </c>
      <c r="J24" s="215"/>
      <c r="K24" s="46"/>
    </row>
    <row r="25" spans="1:11" s="46" customFormat="1" ht="15" customHeight="1" thickBot="1" x14ac:dyDescent="0.25">
      <c r="A25" s="47"/>
      <c r="B25" s="47"/>
      <c r="C25" s="47"/>
      <c r="D25" s="47"/>
      <c r="E25" s="47"/>
      <c r="F25" s="47"/>
      <c r="G25" s="47"/>
      <c r="H25" s="6"/>
      <c r="I25" s="47"/>
      <c r="K25" s="48"/>
    </row>
    <row r="26" spans="1:11" s="48" customFormat="1" ht="29.25" customHeight="1" thickBot="1" x14ac:dyDescent="0.25">
      <c r="A26" s="115" t="s">
        <v>129</v>
      </c>
      <c r="B26" s="105">
        <v>4</v>
      </c>
      <c r="C26" s="1301" t="s">
        <v>30</v>
      </c>
      <c r="D26" s="1302"/>
      <c r="E26" s="1302"/>
      <c r="F26" s="1303"/>
      <c r="G26" s="1304" t="s">
        <v>211</v>
      </c>
      <c r="H26" s="1305"/>
    </row>
    <row r="27" spans="1:11" s="48" customFormat="1" ht="31.5" customHeight="1" thickBot="1" x14ac:dyDescent="0.25">
      <c r="A27" s="1273" t="s">
        <v>31</v>
      </c>
      <c r="B27" s="1274"/>
      <c r="C27" s="242">
        <v>1</v>
      </c>
      <c r="D27" s="242">
        <v>2</v>
      </c>
      <c r="E27" s="242">
        <v>3</v>
      </c>
      <c r="F27" s="129">
        <v>4</v>
      </c>
      <c r="G27" s="1275" t="e">
        <f>VLOOKUP($H$25,'DATOS %'!$V$161:$AA$165,2,FALSE)</f>
        <v>#N/A</v>
      </c>
      <c r="H27" s="1276"/>
    </row>
    <row r="28" spans="1:11" s="48" customFormat="1" ht="31.5" customHeight="1" x14ac:dyDescent="0.2">
      <c r="A28" s="1310" t="s">
        <v>32</v>
      </c>
      <c r="B28" s="141" t="s">
        <v>0</v>
      </c>
      <c r="C28" s="142"/>
      <c r="D28" s="142"/>
      <c r="E28" s="142"/>
      <c r="F28" s="143"/>
      <c r="G28" s="47"/>
      <c r="H28" s="47"/>
      <c r="I28" s="47"/>
      <c r="J28" s="47"/>
    </row>
    <row r="29" spans="1:11" s="48" customFormat="1" ht="31.5" customHeight="1" x14ac:dyDescent="0.2">
      <c r="A29" s="1311"/>
      <c r="B29" s="104" t="s">
        <v>2</v>
      </c>
      <c r="C29" s="127"/>
      <c r="D29" s="127"/>
      <c r="E29" s="127"/>
      <c r="F29" s="128"/>
      <c r="G29" s="47"/>
      <c r="H29" s="47"/>
      <c r="I29" s="47"/>
      <c r="J29" s="47"/>
    </row>
    <row r="30" spans="1:11" s="48" customFormat="1" ht="31.5" customHeight="1" x14ac:dyDescent="0.2">
      <c r="A30" s="1311"/>
      <c r="B30" s="104" t="s">
        <v>2</v>
      </c>
      <c r="C30" s="127"/>
      <c r="D30" s="127"/>
      <c r="E30" s="127"/>
      <c r="F30" s="128"/>
      <c r="G30" s="47"/>
      <c r="H30" s="47"/>
      <c r="I30" s="47"/>
      <c r="J30" s="47"/>
    </row>
    <row r="31" spans="1:11" s="48" customFormat="1" ht="31.5" customHeight="1" thickBot="1" x14ac:dyDescent="0.25">
      <c r="A31" s="1312"/>
      <c r="B31" s="53" t="s">
        <v>0</v>
      </c>
      <c r="C31" s="144"/>
      <c r="D31" s="144"/>
      <c r="E31" s="144"/>
      <c r="F31" s="145"/>
      <c r="G31" s="47"/>
      <c r="H31" s="47"/>
      <c r="I31" s="47"/>
      <c r="J31" s="47"/>
      <c r="K31" s="46"/>
    </row>
    <row r="32" spans="1:11" s="46" customFormat="1" ht="15" customHeight="1" thickBot="1" x14ac:dyDescent="0.25">
      <c r="A32" s="47"/>
      <c r="B32" s="47"/>
      <c r="C32" s="47"/>
      <c r="D32" s="47"/>
      <c r="E32" s="47"/>
      <c r="F32" s="47"/>
      <c r="G32" s="47"/>
      <c r="H32" s="47"/>
      <c r="I32" s="47"/>
      <c r="J32" s="47"/>
      <c r="K32" s="48"/>
    </row>
    <row r="33" spans="1:11" s="48" customFormat="1" ht="31.5" customHeight="1" thickBot="1" x14ac:dyDescent="0.25">
      <c r="A33" s="54" t="s">
        <v>33</v>
      </c>
      <c r="B33" s="916"/>
      <c r="C33" s="1297" t="s">
        <v>27</v>
      </c>
      <c r="D33" s="1298"/>
      <c r="E33" s="1"/>
      <c r="F33" s="1684" t="s">
        <v>307</v>
      </c>
      <c r="G33" s="1685"/>
      <c r="H33" s="2"/>
      <c r="I33" s="973" t="s">
        <v>9</v>
      </c>
      <c r="J33" s="3"/>
      <c r="K33" s="46"/>
    </row>
    <row r="34" spans="1:11" s="46" customFormat="1" ht="12" customHeight="1" x14ac:dyDescent="0.2">
      <c r="A34" s="55"/>
      <c r="B34" s="55"/>
      <c r="C34" s="55"/>
      <c r="D34" s="55"/>
      <c r="E34" s="55"/>
      <c r="F34" s="55"/>
      <c r="G34" s="55"/>
      <c r="H34" s="55"/>
      <c r="I34" s="55"/>
      <c r="J34" s="55"/>
      <c r="K34" s="48"/>
    </row>
    <row r="35" spans="1:11" s="48" customFormat="1" ht="15" customHeight="1" thickBot="1" x14ac:dyDescent="0.25">
      <c r="A35" s="56"/>
      <c r="B35" s="56"/>
      <c r="C35" s="56"/>
      <c r="D35" s="56"/>
      <c r="E35" s="56"/>
      <c r="F35" s="56"/>
      <c r="G35" s="56"/>
      <c r="H35" s="56"/>
      <c r="I35" s="56"/>
      <c r="J35" s="56"/>
    </row>
    <row r="36" spans="1:11" s="48" customFormat="1" ht="32.25" customHeight="1" thickBot="1" x14ac:dyDescent="0.25">
      <c r="A36" s="1294" t="s">
        <v>34</v>
      </c>
      <c r="B36" s="1295"/>
      <c r="C36" s="1295"/>
      <c r="D36" s="1295"/>
      <c r="E36" s="1295"/>
      <c r="F36" s="1295"/>
      <c r="G36" s="1295"/>
      <c r="H36" s="1295"/>
      <c r="I36" s="1295"/>
      <c r="J36" s="1296"/>
    </row>
    <row r="37" spans="1:11" s="48" customFormat="1" ht="3.75" customHeight="1" thickBot="1" x14ac:dyDescent="0.25">
      <c r="A37" s="55"/>
      <c r="B37" s="47"/>
      <c r="C37" s="47"/>
      <c r="D37" s="47"/>
      <c r="E37" s="47"/>
      <c r="F37" s="47"/>
      <c r="G37" s="47"/>
      <c r="H37" s="47"/>
      <c r="I37" s="47"/>
      <c r="J37" s="55"/>
    </row>
    <row r="38" spans="1:11" s="48" customFormat="1" ht="31.5" customHeight="1" thickBot="1" x14ac:dyDescent="0.25">
      <c r="A38" s="47"/>
      <c r="B38" s="1316" t="s">
        <v>35</v>
      </c>
      <c r="C38" s="1317"/>
      <c r="D38" s="1317"/>
      <c r="E38" s="1317"/>
      <c r="F38" s="1318"/>
      <c r="G38" s="47"/>
      <c r="H38" s="1319" t="s">
        <v>236</v>
      </c>
      <c r="I38" s="1320"/>
      <c r="J38" s="1321"/>
    </row>
    <row r="39" spans="1:11" s="48" customFormat="1" ht="31.5" customHeight="1" thickBot="1" x14ac:dyDescent="0.25">
      <c r="A39" s="47"/>
      <c r="B39" s="57" t="s">
        <v>31</v>
      </c>
      <c r="C39" s="203">
        <v>1</v>
      </c>
      <c r="D39" s="141">
        <v>2</v>
      </c>
      <c r="E39" s="141">
        <v>3</v>
      </c>
      <c r="F39" s="204">
        <v>4</v>
      </c>
      <c r="G39" s="47"/>
      <c r="H39" s="1322"/>
      <c r="I39" s="1323"/>
      <c r="J39" s="1324"/>
    </row>
    <row r="40" spans="1:11" s="48" customFormat="1" ht="31.5" customHeight="1" x14ac:dyDescent="0.2">
      <c r="A40" s="58"/>
      <c r="B40" s="59"/>
      <c r="C40" s="121" t="e">
        <f>+AVERAGE(C28,C31)</f>
        <v>#DIV/0!</v>
      </c>
      <c r="D40" s="122" t="e">
        <f>+AVERAGE(D28,D31)</f>
        <v>#DIV/0!</v>
      </c>
      <c r="E40" s="122" t="e">
        <f>+AVERAGE(E28,E31)</f>
        <v>#DIV/0!</v>
      </c>
      <c r="F40" s="205" t="e">
        <f>+AVERAGE(F28,F31)</f>
        <v>#DIV/0!</v>
      </c>
      <c r="G40" s="47"/>
      <c r="H40" s="1325"/>
      <c r="I40" s="1326"/>
      <c r="J40" s="1327"/>
    </row>
    <row r="41" spans="1:11" s="48" customFormat="1" ht="31.5" customHeight="1" x14ac:dyDescent="0.2">
      <c r="A41" s="58"/>
      <c r="B41" s="60"/>
      <c r="C41" s="123" t="e">
        <f>+AVERAGE(C29:C30)</f>
        <v>#DIV/0!</v>
      </c>
      <c r="D41" s="61" t="e">
        <f>+AVERAGE(D29:D30)</f>
        <v>#DIV/0!</v>
      </c>
      <c r="E41" s="61" t="e">
        <f>+AVERAGE(E29:E30)</f>
        <v>#DIV/0!</v>
      </c>
      <c r="F41" s="206" t="e">
        <f>+AVERAGE(F29:F30)</f>
        <v>#DIV/0!</v>
      </c>
      <c r="G41" s="47"/>
      <c r="H41" s="1325"/>
      <c r="I41" s="1326"/>
      <c r="J41" s="1327"/>
    </row>
    <row r="42" spans="1:11" s="48" customFormat="1" ht="31.5" customHeight="1" thickBot="1" x14ac:dyDescent="0.25">
      <c r="A42" s="58"/>
      <c r="B42" s="62"/>
      <c r="C42" s="124" t="e">
        <f>+C41-C40</f>
        <v>#DIV/0!</v>
      </c>
      <c r="D42" s="125" t="e">
        <f>+D41-D40</f>
        <v>#DIV/0!</v>
      </c>
      <c r="E42" s="125" t="e">
        <f>+E41-E40</f>
        <v>#DIV/0!</v>
      </c>
      <c r="F42" s="207" t="e">
        <f>+F41-F40</f>
        <v>#DIV/0!</v>
      </c>
      <c r="G42" s="47"/>
      <c r="H42" s="1328"/>
      <c r="I42" s="1329"/>
      <c r="J42" s="1330"/>
    </row>
    <row r="43" spans="1:11" s="48" customFormat="1" ht="31.5" customHeight="1" thickBot="1" x14ac:dyDescent="0.25">
      <c r="A43" s="47"/>
      <c r="B43" s="63" t="s">
        <v>36</v>
      </c>
      <c r="C43" s="286" t="e">
        <f>+AVERAGE(C42:F42)</f>
        <v>#DIV/0!</v>
      </c>
      <c r="D43" s="47"/>
      <c r="E43" s="47"/>
      <c r="F43" s="47"/>
      <c r="G43" s="47"/>
      <c r="H43" s="47"/>
      <c r="I43" s="47"/>
      <c r="J43" s="47"/>
    </row>
    <row r="44" spans="1:11" s="48" customFormat="1" ht="31.5" customHeight="1" thickBot="1" x14ac:dyDescent="0.25">
      <c r="A44" s="47"/>
      <c r="B44" s="64" t="s">
        <v>77</v>
      </c>
      <c r="C44" s="287" t="e">
        <f>+STDEV(C42:F42)</f>
        <v>#DIV/0!</v>
      </c>
      <c r="D44" s="47"/>
      <c r="E44" s="47"/>
      <c r="F44" s="47"/>
      <c r="G44" s="47"/>
      <c r="H44" s="47"/>
      <c r="I44" s="47"/>
      <c r="J44" s="47"/>
      <c r="K44" s="46"/>
    </row>
    <row r="45" spans="1:11" s="46" customFormat="1" ht="15" customHeight="1" thickBot="1" x14ac:dyDescent="0.25">
      <c r="A45" s="47"/>
      <c r="B45" s="47"/>
      <c r="C45" s="47"/>
      <c r="D45" s="47"/>
      <c r="E45" s="47"/>
      <c r="F45" s="47"/>
      <c r="G45" s="65"/>
      <c r="H45" s="47"/>
      <c r="I45" s="47"/>
      <c r="J45" s="47"/>
      <c r="K45" s="48"/>
    </row>
    <row r="46" spans="1:11" s="48" customFormat="1" ht="31.5" customHeight="1" thickBot="1" x14ac:dyDescent="0.25">
      <c r="A46" s="1331" t="s">
        <v>37</v>
      </c>
      <c r="B46" s="1332"/>
      <c r="C46" s="1284"/>
      <c r="D46" s="1284"/>
      <c r="E46" s="1284"/>
      <c r="F46" s="1332"/>
      <c r="G46" s="1332"/>
      <c r="H46" s="1332"/>
      <c r="I46" s="1332"/>
      <c r="J46" s="1333"/>
    </row>
    <row r="47" spans="1:11" s="48" customFormat="1" ht="31.5" customHeight="1" thickBot="1" x14ac:dyDescent="0.25">
      <c r="A47" s="1375" t="s">
        <v>321</v>
      </c>
      <c r="B47" s="1376"/>
      <c r="C47" s="1338" t="s">
        <v>38</v>
      </c>
      <c r="D47" s="1339"/>
      <c r="E47" s="1340"/>
      <c r="F47" s="47"/>
      <c r="G47" s="47"/>
      <c r="H47" s="47"/>
      <c r="I47" s="47"/>
      <c r="J47" s="47"/>
    </row>
    <row r="48" spans="1:11" s="48" customFormat="1" ht="36.75" customHeight="1" thickBot="1" x14ac:dyDescent="0.25">
      <c r="A48" s="1377"/>
      <c r="B48" s="1378"/>
      <c r="C48" s="82" t="s">
        <v>27</v>
      </c>
      <c r="D48" s="93" t="s">
        <v>307</v>
      </c>
      <c r="E48" s="83" t="s">
        <v>9</v>
      </c>
      <c r="G48" s="1341" t="s">
        <v>70</v>
      </c>
      <c r="H48" s="1342"/>
      <c r="I48" s="102" t="e">
        <f>+(0.34848*E50-0.009*D50*EXP(0.061*C50))/(273.15+C50)</f>
        <v>#DIV/0!</v>
      </c>
      <c r="J48" s="103" t="s">
        <v>73</v>
      </c>
    </row>
    <row r="49" spans="1:21" s="48" customFormat="1" ht="33" customHeight="1" thickBot="1" x14ac:dyDescent="0.25">
      <c r="A49" s="1306" t="s">
        <v>39</v>
      </c>
      <c r="B49" s="1307"/>
      <c r="C49" s="90" t="e">
        <f>+AVERAGE(E33,E24)</f>
        <v>#DIV/0!</v>
      </c>
      <c r="D49" s="91" t="e">
        <f>+AVERAGE(H33,H24)</f>
        <v>#DIV/0!</v>
      </c>
      <c r="E49" s="92" t="e">
        <f>+AVERAGE(J33,J24)</f>
        <v>#DIV/0!</v>
      </c>
      <c r="G49" s="1308" t="s">
        <v>71</v>
      </c>
      <c r="H49" s="1309"/>
      <c r="I49" s="422" t="e">
        <f>I48*((0.0001)^2+(0.001*I20/2)^2+(-0.0034*D20/2)^2+(-0.01*G20/2)^2)^0.5</f>
        <v>#DIV/0!</v>
      </c>
      <c r="J49" s="66" t="s">
        <v>73</v>
      </c>
    </row>
    <row r="50" spans="1:21" s="48" customFormat="1" ht="36.75" customHeight="1" thickBot="1" x14ac:dyDescent="0.25">
      <c r="A50" s="1343" t="s">
        <v>322</v>
      </c>
      <c r="B50" s="1344"/>
      <c r="C50" s="84" t="e">
        <f>C49+(VLOOKUP(J19,'DATOS %'!J174:W180,9,FALSE))*C49+(VLOOKUP(J19,'DATOS %'!J174:W180,10,FALSE))</f>
        <v>#DIV/0!</v>
      </c>
      <c r="D50" s="85" t="e">
        <f>D49+(VLOOKUP(J19,'DATOS %'!J174:W180,11,FALSE))*D49+(VLOOKUP(J19,'DATOS %'!J174:W180,12,FALSE))</f>
        <v>#DIV/0!</v>
      </c>
      <c r="E50" s="86" t="e">
        <f>E49+(VLOOKUP(J19,'DATOS %'!J174:W180,13,FALSE))*E49+(VLOOKUP(J19,'DATOS %'!J174:W180,14,FALSE))</f>
        <v>#DIV/0!</v>
      </c>
      <c r="G50" s="1341" t="s">
        <v>72</v>
      </c>
      <c r="H50" s="1342"/>
      <c r="I50" s="67">
        <v>1.2</v>
      </c>
      <c r="J50" s="66" t="s">
        <v>73</v>
      </c>
    </row>
    <row r="51" spans="1:21" s="46" customFormat="1" ht="15" customHeight="1" thickBot="1" x14ac:dyDescent="0.25">
      <c r="A51" s="47"/>
      <c r="B51" s="47"/>
      <c r="C51" s="47"/>
      <c r="D51" s="47"/>
      <c r="E51" s="47"/>
      <c r="F51" s="47"/>
      <c r="G51" s="47"/>
      <c r="H51" s="47"/>
      <c r="I51" s="47"/>
      <c r="J51" s="47"/>
      <c r="K51" s="48"/>
    </row>
    <row r="52" spans="1:21" s="48" customFormat="1" ht="31.5" customHeight="1" thickBot="1" x14ac:dyDescent="0.25">
      <c r="A52" s="1331" t="s">
        <v>40</v>
      </c>
      <c r="B52" s="1332"/>
      <c r="C52" s="1332"/>
      <c r="D52" s="1332"/>
      <c r="E52" s="1332"/>
      <c r="F52" s="1332"/>
      <c r="G52" s="1332"/>
      <c r="H52" s="1332"/>
      <c r="I52" s="1332"/>
      <c r="J52" s="1333"/>
    </row>
    <row r="53" spans="1:21" s="48" customFormat="1" ht="31.5" customHeight="1" x14ac:dyDescent="0.35">
      <c r="A53" s="47"/>
      <c r="B53" s="68" t="s">
        <v>41</v>
      </c>
      <c r="C53" s="69"/>
      <c r="D53" s="1345" t="s">
        <v>74</v>
      </c>
      <c r="E53" s="1345"/>
      <c r="F53" s="70" t="s">
        <v>42</v>
      </c>
      <c r="G53" s="71" t="s">
        <v>43</v>
      </c>
      <c r="H53" s="1346" t="s">
        <v>44</v>
      </c>
      <c r="I53" s="1347"/>
      <c r="J53" s="47"/>
    </row>
    <row r="54" spans="1:21" s="48" customFormat="1" ht="31.5" customHeight="1" thickBot="1" x14ac:dyDescent="0.25">
      <c r="A54" s="47"/>
      <c r="B54" s="72" t="e">
        <f>+C43</f>
        <v>#DIV/0!</v>
      </c>
      <c r="C54" s="73" t="s">
        <v>1</v>
      </c>
      <c r="D54" s="74" t="e">
        <f>+C10+C11/1000</f>
        <v>#N/A</v>
      </c>
      <c r="E54" s="73" t="s">
        <v>1</v>
      </c>
      <c r="F54" s="74" t="e">
        <f>+(I48-I50)*(1/H10-1/C13)</f>
        <v>#DIV/0!</v>
      </c>
      <c r="G54" s="75"/>
      <c r="H54" s="67" t="e">
        <f>+(B54+D54*F54)*1000</f>
        <v>#DIV/0!</v>
      </c>
      <c r="I54" s="66" t="s">
        <v>3</v>
      </c>
      <c r="J54" s="47"/>
      <c r="K54" s="46"/>
    </row>
    <row r="55" spans="1:21" s="46" customFormat="1" ht="15" customHeight="1" x14ac:dyDescent="0.2">
      <c r="A55" s="47"/>
      <c r="B55" s="47"/>
      <c r="C55" s="47"/>
      <c r="D55" s="47"/>
      <c r="E55" s="47"/>
      <c r="F55" s="47"/>
      <c r="G55" s="47"/>
      <c r="H55" s="47"/>
      <c r="I55" s="47"/>
      <c r="J55" s="47"/>
      <c r="K55" s="48"/>
    </row>
    <row r="56" spans="1:21" s="48" customFormat="1" ht="31.5" customHeight="1" x14ac:dyDescent="0.2">
      <c r="A56" s="1348" t="s">
        <v>45</v>
      </c>
      <c r="B56" s="1349"/>
      <c r="C56" s="1349"/>
      <c r="D56" s="1349"/>
      <c r="E56" s="1349"/>
      <c r="F56" s="1349"/>
      <c r="G56" s="1349"/>
      <c r="H56" s="1349"/>
      <c r="I56" s="1349"/>
      <c r="J56" s="1349"/>
      <c r="K56" s="46"/>
    </row>
    <row r="57" spans="1:21" s="46" customFormat="1" ht="15" customHeight="1" thickBot="1" x14ac:dyDescent="0.25">
      <c r="A57" s="47"/>
      <c r="B57" s="47"/>
      <c r="C57" s="47"/>
      <c r="D57" s="47"/>
      <c r="E57" s="47"/>
      <c r="K57" s="48"/>
    </row>
    <row r="58" spans="1:21" s="48" customFormat="1" ht="31.5" customHeight="1" thickBot="1" x14ac:dyDescent="0.25">
      <c r="A58" s="1350" t="s">
        <v>38</v>
      </c>
      <c r="B58" s="1351"/>
      <c r="C58" s="1352" t="s">
        <v>46</v>
      </c>
      <c r="D58" s="1353"/>
      <c r="E58" s="1354" t="s">
        <v>238</v>
      </c>
      <c r="F58" s="1379"/>
      <c r="G58" s="1061" t="s">
        <v>553</v>
      </c>
      <c r="J58" s="114"/>
      <c r="L58" s="46"/>
      <c r="Q58" s="47"/>
      <c r="R58" s="47"/>
      <c r="S58" s="47"/>
      <c r="T58" s="47"/>
      <c r="U58" s="47"/>
    </row>
    <row r="59" spans="1:21" s="48" customFormat="1" ht="57.95" customHeight="1" thickBot="1" x14ac:dyDescent="0.25">
      <c r="A59" s="1024" t="s">
        <v>47</v>
      </c>
      <c r="B59" s="1025"/>
      <c r="C59" s="1026" t="e">
        <f>+C44/B26^0.5*1000</f>
        <v>#DIV/0!</v>
      </c>
      <c r="D59" s="1017" t="s">
        <v>3</v>
      </c>
      <c r="E59" s="1027" t="s">
        <v>240</v>
      </c>
      <c r="F59" s="139">
        <f>$B$26-1</f>
        <v>3</v>
      </c>
      <c r="G59" s="1111" t="e">
        <f>(C59/$G$70)^2</f>
        <v>#DIV/0!</v>
      </c>
      <c r="H59" s="47"/>
      <c r="K59" s="156">
        <v>0.3</v>
      </c>
      <c r="L59" s="157">
        <v>1.65</v>
      </c>
      <c r="M59" s="113"/>
    </row>
    <row r="60" spans="1:21" s="48" customFormat="1" ht="57.95" customHeight="1" thickBot="1" x14ac:dyDescent="0.25">
      <c r="A60" s="1019" t="s">
        <v>343</v>
      </c>
      <c r="B60" s="1020" t="s">
        <v>48</v>
      </c>
      <c r="C60" s="1021" t="e">
        <f>+C12/2</f>
        <v>#N/A</v>
      </c>
      <c r="D60" s="1022" t="s">
        <v>3</v>
      </c>
      <c r="E60" s="1023" t="s">
        <v>239</v>
      </c>
      <c r="F60" s="146" t="s">
        <v>265</v>
      </c>
      <c r="G60" s="1112"/>
      <c r="H60" s="1380" t="s">
        <v>241</v>
      </c>
      <c r="I60" s="1356"/>
      <c r="J60" s="1356"/>
      <c r="K60" s="1356"/>
      <c r="L60" s="1356"/>
      <c r="M60" s="1357"/>
    </row>
    <row r="61" spans="1:21" s="48" customFormat="1" ht="57.95" customHeight="1" thickBot="1" x14ac:dyDescent="0.25">
      <c r="A61" s="1028" t="s">
        <v>344</v>
      </c>
      <c r="B61" s="1029"/>
      <c r="C61" s="1030" t="e">
        <f>+C12/3^0.5</f>
        <v>#N/A</v>
      </c>
      <c r="D61" s="1031" t="s">
        <v>3</v>
      </c>
      <c r="E61" s="1032" t="s">
        <v>239</v>
      </c>
      <c r="F61" s="147" t="s">
        <v>265</v>
      </c>
      <c r="G61" s="1112"/>
      <c r="H61" s="132" t="s">
        <v>243</v>
      </c>
      <c r="I61" s="149" t="e">
        <f>MAX(C59:C62,C66:C67,C68)</f>
        <v>#DIV/0!</v>
      </c>
      <c r="J61" s="151" t="e">
        <f>IF((I62)&lt;=(K59),"1,65","2")</f>
        <v>#DIV/0!</v>
      </c>
      <c r="K61" s="152" t="s">
        <v>242</v>
      </c>
      <c r="L61" s="153" t="s">
        <v>237</v>
      </c>
      <c r="M61" s="360" t="s">
        <v>328</v>
      </c>
    </row>
    <row r="62" spans="1:21" s="48" customFormat="1" ht="57.95" customHeight="1" thickBot="1" x14ac:dyDescent="0.3">
      <c r="A62" s="1024" t="s">
        <v>49</v>
      </c>
      <c r="B62" s="1035"/>
      <c r="C62" s="1036" t="e">
        <f>+SQRT(SUMSQ(C60:C61))</f>
        <v>#N/A</v>
      </c>
      <c r="D62" s="1017" t="s">
        <v>3</v>
      </c>
      <c r="E62" s="1037" t="s">
        <v>240</v>
      </c>
      <c r="F62" s="139">
        <v>200</v>
      </c>
      <c r="G62" s="1112" t="e">
        <f t="shared" ref="G62:G68" si="0">(C62/$G$70)^2</f>
        <v>#N/A</v>
      </c>
      <c r="H62" s="133" t="s">
        <v>244</v>
      </c>
      <c r="I62" s="150" t="e">
        <f>SQRT((C59)^2+(C66)^2+(C67)^2)/I61</f>
        <v>#DIV/0!</v>
      </c>
      <c r="J62" s="126"/>
      <c r="K62" s="154" t="s">
        <v>242</v>
      </c>
      <c r="L62" s="155" t="s">
        <v>252</v>
      </c>
      <c r="M62" s="361" t="s">
        <v>329</v>
      </c>
    </row>
    <row r="63" spans="1:21" s="48" customFormat="1" ht="57.95" customHeight="1" x14ac:dyDescent="0.2">
      <c r="A63" s="1019" t="s">
        <v>345</v>
      </c>
      <c r="B63" s="1020"/>
      <c r="C63" s="1033" t="e">
        <f>+I49</f>
        <v>#DIV/0!</v>
      </c>
      <c r="D63" s="1021" t="s">
        <v>73</v>
      </c>
      <c r="E63" s="1034" t="s">
        <v>239</v>
      </c>
      <c r="F63" s="146" t="s">
        <v>265</v>
      </c>
      <c r="G63" s="1112"/>
      <c r="L63" s="46"/>
      <c r="T63" s="46"/>
      <c r="U63" s="46"/>
    </row>
    <row r="64" spans="1:21" s="48" customFormat="1" ht="57.95" customHeight="1" x14ac:dyDescent="0.2">
      <c r="A64" s="426" t="s">
        <v>50</v>
      </c>
      <c r="B64" s="1018"/>
      <c r="C64" s="425" t="e">
        <f>+H11/2</f>
        <v>#N/A</v>
      </c>
      <c r="D64" s="424" t="s">
        <v>73</v>
      </c>
      <c r="E64" s="423" t="s">
        <v>239</v>
      </c>
      <c r="F64" s="148" t="s">
        <v>265</v>
      </c>
      <c r="G64" s="1112"/>
      <c r="H64" s="130"/>
      <c r="J64" s="130"/>
      <c r="K64" s="130"/>
      <c r="L64" s="130"/>
      <c r="M64" s="130"/>
      <c r="Q64" s="47"/>
      <c r="R64" s="47"/>
      <c r="S64" s="47"/>
      <c r="T64" s="47"/>
      <c r="U64" s="47"/>
    </row>
    <row r="65" spans="1:21" s="48" customFormat="1" ht="57.95" customHeight="1" thickBot="1" x14ac:dyDescent="0.25">
      <c r="A65" s="1028" t="s">
        <v>346</v>
      </c>
      <c r="B65" s="1038"/>
      <c r="C65" s="1039" t="e">
        <f>+C14/2</f>
        <v>#N/A</v>
      </c>
      <c r="D65" s="1031" t="s">
        <v>73</v>
      </c>
      <c r="E65" s="1040" t="s">
        <v>239</v>
      </c>
      <c r="F65" s="147" t="s">
        <v>265</v>
      </c>
      <c r="G65" s="1112"/>
      <c r="H65" s="130"/>
      <c r="I65" s="130"/>
      <c r="J65" s="130"/>
      <c r="K65" s="130"/>
      <c r="L65" s="130"/>
      <c r="M65" s="130"/>
      <c r="Q65" s="46"/>
      <c r="R65" s="46"/>
      <c r="S65" s="46"/>
      <c r="T65" s="46"/>
      <c r="U65" s="46"/>
    </row>
    <row r="66" spans="1:21" s="48" customFormat="1" ht="57.95" customHeight="1" thickBot="1" x14ac:dyDescent="0.3">
      <c r="A66" s="1024" t="s">
        <v>347</v>
      </c>
      <c r="B66" s="1035"/>
      <c r="C66" s="1036" t="e">
        <f>+SQRT(ABS(((C10/1000+C11/1000000)*(C13-H10)/(C13*H10)*C63)^2+((C10/1000+C11/1000000)*(I48-I50))^2*C64^2/H10^4+(C10/1000+C11/1000000)^2*(I48-I50)*((I48-I50)-2*(C15-I50))*C65^2/C13^4))*1000000</f>
        <v>#N/A</v>
      </c>
      <c r="D66" s="1051" t="s">
        <v>3</v>
      </c>
      <c r="E66" s="1037" t="s">
        <v>240</v>
      </c>
      <c r="F66" s="139">
        <v>200</v>
      </c>
      <c r="G66" s="1112" t="e">
        <f t="shared" si="0"/>
        <v>#N/A</v>
      </c>
      <c r="H66" s="130"/>
      <c r="I66" s="1093" t="s">
        <v>554</v>
      </c>
      <c r="J66" s="1095" t="s">
        <v>556</v>
      </c>
      <c r="K66" s="1094" t="s">
        <v>555</v>
      </c>
      <c r="L66" s="130"/>
      <c r="M66" s="130"/>
      <c r="Q66" s="47"/>
      <c r="R66" s="47"/>
      <c r="S66" s="47"/>
      <c r="T66" s="47"/>
      <c r="U66" s="47"/>
    </row>
    <row r="67" spans="1:21" s="48" customFormat="1" ht="57.95" customHeight="1" thickBot="1" x14ac:dyDescent="0.3">
      <c r="A67" s="1047" t="s">
        <v>52</v>
      </c>
      <c r="B67" s="1048"/>
      <c r="C67" s="1049" t="e">
        <f>+(G15/2/3^0.5)*2^0.5*1000</f>
        <v>#N/A</v>
      </c>
      <c r="D67" s="1044" t="s">
        <v>3</v>
      </c>
      <c r="E67" s="1045" t="s">
        <v>239</v>
      </c>
      <c r="F67" s="1050">
        <v>200</v>
      </c>
      <c r="G67" s="1112" t="e">
        <f t="shared" si="0"/>
        <v>#N/A</v>
      </c>
      <c r="H67" s="130"/>
      <c r="I67" s="1096" t="e">
        <f>G70^4/((C59^4/F59)+(C62^4/F62)+(C66^4/F66)+(C67^4/F67)+(C68^4/F68))</f>
        <v>#DIV/0!</v>
      </c>
      <c r="J67" s="1097" t="e">
        <f>TINV(0.05,I67)</f>
        <v>#DIV/0!</v>
      </c>
      <c r="K67" s="1098" t="e">
        <f>1-TDIST(J67,I67,2)</f>
        <v>#DIV/0!</v>
      </c>
      <c r="L67" s="130"/>
      <c r="M67" s="130"/>
    </row>
    <row r="68" spans="1:21" s="46" customFormat="1" ht="65.25" customHeight="1" thickBot="1" x14ac:dyDescent="0.3">
      <c r="A68" s="1041" t="s">
        <v>551</v>
      </c>
      <c r="B68" s="1042"/>
      <c r="C68" s="1043">
        <f>0.01/SQRT(45)</f>
        <v>1.4907119849998597E-3</v>
      </c>
      <c r="D68" s="1044" t="s">
        <v>3</v>
      </c>
      <c r="E68" s="1045" t="s">
        <v>240</v>
      </c>
      <c r="F68" s="1046">
        <v>50</v>
      </c>
      <c r="G68" s="1113" t="e">
        <f t="shared" si="0"/>
        <v>#DIV/0!</v>
      </c>
      <c r="H68" s="130"/>
      <c r="I68" s="130"/>
      <c r="J68" s="130"/>
      <c r="K68" s="130"/>
      <c r="L68" s="130"/>
      <c r="M68" s="130"/>
      <c r="S68" s="48"/>
      <c r="T68" s="48"/>
      <c r="U68" s="48"/>
    </row>
    <row r="69" spans="1:21" s="46" customFormat="1" ht="65.25" customHeight="1" thickBot="1" x14ac:dyDescent="0.25">
      <c r="A69" s="130"/>
      <c r="B69" s="130"/>
      <c r="C69" s="130"/>
      <c r="D69" s="130"/>
      <c r="E69" s="130"/>
      <c r="F69" s="130"/>
      <c r="G69" s="1114" t="e">
        <f>SUM(G59,G62,G66,G67,G68)</f>
        <v>#DIV/0!</v>
      </c>
      <c r="H69" s="130"/>
      <c r="I69" s="130"/>
      <c r="J69" s="130"/>
      <c r="K69" s="130"/>
      <c r="L69" s="130"/>
      <c r="M69" s="130"/>
      <c r="S69" s="48"/>
      <c r="T69" s="48"/>
      <c r="U69" s="48"/>
    </row>
    <row r="70" spans="1:21" s="106" customFormat="1" ht="51.75" customHeight="1" thickBot="1" x14ac:dyDescent="0.3">
      <c r="D70" s="1306" t="s">
        <v>51</v>
      </c>
      <c r="E70" s="1307"/>
      <c r="F70" s="134"/>
      <c r="G70" s="140" t="e">
        <f>+SQRT(SUMSQ(C59,C62,C66,C67,C68))</f>
        <v>#DIV/0!</v>
      </c>
      <c r="H70" s="136" t="s">
        <v>3</v>
      </c>
      <c r="K70" s="130"/>
      <c r="L70" s="130"/>
      <c r="M70" s="130"/>
      <c r="S70" s="48"/>
      <c r="T70" s="48"/>
      <c r="U70" s="48"/>
    </row>
    <row r="71" spans="1:21" s="106" customFormat="1" ht="35.1" customHeight="1" thickBot="1" x14ac:dyDescent="0.25">
      <c r="D71" s="1306" t="s">
        <v>53</v>
      </c>
      <c r="E71" s="1307"/>
      <c r="F71" s="135"/>
      <c r="G71" s="140" t="e">
        <f>+G70*2</f>
        <v>#DIV/0!</v>
      </c>
      <c r="H71" s="137" t="s">
        <v>3</v>
      </c>
      <c r="K71" s="110"/>
      <c r="L71" s="107"/>
      <c r="O71" s="48"/>
      <c r="P71" s="48"/>
      <c r="Q71" s="48"/>
      <c r="R71" s="48"/>
      <c r="S71" s="48"/>
      <c r="T71" s="48"/>
      <c r="U71" s="48"/>
    </row>
    <row r="72" spans="1:21" s="106" customFormat="1" ht="33.75" customHeight="1" thickBot="1" x14ac:dyDescent="4.45">
      <c r="B72" s="1313" t="s">
        <v>54</v>
      </c>
      <c r="C72" s="1314"/>
      <c r="D72" s="1314"/>
      <c r="E72" s="1314"/>
      <c r="F72" s="1314"/>
      <c r="G72" s="1314"/>
      <c r="H72" s="1314"/>
      <c r="I72" s="1314"/>
      <c r="J72" s="1314"/>
      <c r="K72" s="1315"/>
      <c r="L72" s="117"/>
      <c r="O72" s="48"/>
      <c r="P72" s="48"/>
      <c r="Q72" s="48"/>
      <c r="R72" s="48"/>
      <c r="S72" s="48"/>
      <c r="T72" s="48"/>
      <c r="U72" s="48"/>
    </row>
    <row r="73" spans="1:21" s="106" customFormat="1" ht="35.1" customHeight="1" thickBot="1" x14ac:dyDescent="0.25">
      <c r="B73" s="1368" t="s">
        <v>255</v>
      </c>
      <c r="C73" s="1369"/>
      <c r="D73" s="1369"/>
      <c r="E73" s="1370"/>
      <c r="F73" s="79"/>
      <c r="G73" s="80"/>
      <c r="H73" s="1371"/>
      <c r="I73" s="1372"/>
      <c r="J73" s="1372"/>
      <c r="K73" s="1373"/>
      <c r="O73" s="48"/>
      <c r="P73" s="48"/>
      <c r="Q73" s="48"/>
      <c r="R73" s="48"/>
      <c r="S73" s="48"/>
      <c r="T73" s="48"/>
      <c r="U73" s="48"/>
    </row>
    <row r="74" spans="1:21" s="106" customFormat="1" ht="40.5" customHeight="1" x14ac:dyDescent="0.2">
      <c r="B74" s="118"/>
      <c r="C74" s="362" t="s">
        <v>348</v>
      </c>
      <c r="D74" s="119" t="s">
        <v>253</v>
      </c>
      <c r="E74" s="120"/>
      <c r="F74" s="1358"/>
      <c r="G74" s="1358"/>
      <c r="H74" s="1359" t="s">
        <v>266</v>
      </c>
      <c r="I74" s="1381" t="s">
        <v>254</v>
      </c>
      <c r="J74" s="1381"/>
      <c r="K74" s="1382"/>
      <c r="O74" s="48"/>
      <c r="P74" s="48"/>
      <c r="Q74" s="48"/>
      <c r="R74" s="48"/>
      <c r="S74" s="48"/>
      <c r="T74" s="48"/>
      <c r="U74" s="48"/>
    </row>
    <row r="75" spans="1:21" s="106" customFormat="1" ht="35.1" customHeight="1" x14ac:dyDescent="0.2">
      <c r="B75" s="81" t="e">
        <f>C10</f>
        <v>#N/A</v>
      </c>
      <c r="C75" s="77" t="e">
        <f>C11</f>
        <v>#N/A</v>
      </c>
      <c r="D75" s="78" t="e">
        <f>H54</f>
        <v>#DIV/0!</v>
      </c>
      <c r="E75" s="216" t="e">
        <f>B75+(C75/1000)+(D75/1000)</f>
        <v>#N/A</v>
      </c>
      <c r="F75" s="264" t="e">
        <f>E75*1000-B75*1000</f>
        <v>#N/A</v>
      </c>
      <c r="G75" s="61"/>
      <c r="H75" s="1360"/>
      <c r="I75" s="1054" t="e">
        <f>G71</f>
        <v>#DIV/0!</v>
      </c>
      <c r="J75" s="1364"/>
      <c r="K75" s="1365"/>
      <c r="O75" s="48"/>
      <c r="P75" s="48"/>
      <c r="Q75" s="48"/>
      <c r="R75" s="48"/>
      <c r="S75" s="48"/>
      <c r="T75" s="48"/>
      <c r="U75" s="48"/>
    </row>
    <row r="76" spans="1:21" s="106" customFormat="1" ht="35.1" customHeight="1" thickBot="1" x14ac:dyDescent="0.25">
      <c r="B76" s="87" t="e">
        <f>B75</f>
        <v>#N/A</v>
      </c>
      <c r="C76" s="88" t="e">
        <f>C75</f>
        <v>#N/A</v>
      </c>
      <c r="D76" s="88" t="e">
        <f>D75</f>
        <v>#DIV/0!</v>
      </c>
      <c r="E76" s="217" t="e">
        <f>B76+(C76/1000)+(D76/1000)</f>
        <v>#N/A</v>
      </c>
      <c r="F76" s="283" t="e">
        <f>F75/1000</f>
        <v>#N/A</v>
      </c>
      <c r="G76" s="89"/>
      <c r="H76" s="1361"/>
      <c r="I76" s="284" t="e">
        <f>I75/1000</f>
        <v>#DIV/0!</v>
      </c>
      <c r="J76" s="1366"/>
      <c r="K76" s="1367"/>
      <c r="O76" s="48"/>
      <c r="P76" s="48"/>
      <c r="Q76" s="48"/>
      <c r="R76" s="48"/>
      <c r="S76" s="48"/>
      <c r="T76" s="48"/>
      <c r="U76" s="48"/>
    </row>
    <row r="77" spans="1:21" s="106" customFormat="1" ht="35.1" customHeight="1" x14ac:dyDescent="0.2">
      <c r="G77" s="47"/>
      <c r="H77" s="47"/>
      <c r="I77" s="47"/>
      <c r="J77" s="47"/>
      <c r="O77" s="48"/>
      <c r="P77" s="48"/>
      <c r="Q77" s="48"/>
      <c r="R77" s="48"/>
      <c r="S77" s="48"/>
      <c r="T77" s="48"/>
      <c r="U77" s="48"/>
    </row>
    <row r="78" spans="1:21" s="106" customFormat="1" ht="35.1" customHeight="1" x14ac:dyDescent="0.2">
      <c r="G78" s="47"/>
      <c r="H78" s="47"/>
      <c r="I78" s="47"/>
      <c r="J78" s="47"/>
      <c r="O78" s="48"/>
      <c r="P78" s="48"/>
      <c r="Q78" s="48"/>
      <c r="R78" s="48"/>
      <c r="S78" s="48"/>
      <c r="T78" s="48"/>
      <c r="U78" s="48"/>
    </row>
    <row r="79" spans="1:21" s="106" customFormat="1" ht="35.1" customHeight="1" x14ac:dyDescent="0.2">
      <c r="G79" s="47"/>
      <c r="H79" s="47"/>
      <c r="I79" s="47"/>
      <c r="J79" s="47"/>
    </row>
    <row r="80" spans="1:21" s="107" customFormat="1" ht="35.1" customHeight="1" x14ac:dyDescent="0.2">
      <c r="A80" s="109"/>
      <c r="B80" s="106"/>
      <c r="C80" s="106"/>
      <c r="D80" s="106"/>
      <c r="E80" s="106"/>
      <c r="F80" s="106"/>
      <c r="G80" s="47"/>
      <c r="H80" s="47"/>
    </row>
    <row r="81" spans="2:11" s="111" customFormat="1" ht="35.1" customHeight="1" x14ac:dyDescent="0.2">
      <c r="B81" s="106"/>
      <c r="C81" s="106"/>
      <c r="D81" s="106"/>
      <c r="E81" s="106"/>
      <c r="F81" s="106"/>
      <c r="G81" s="47"/>
      <c r="H81" s="47"/>
    </row>
    <row r="82" spans="2:11" s="106" customFormat="1" ht="61.5" customHeight="1" x14ac:dyDescent="0.2">
      <c r="H82" s="111"/>
      <c r="I82" s="111"/>
      <c r="J82" s="111"/>
      <c r="K82" s="108"/>
    </row>
    <row r="83" spans="2:11" s="106" customFormat="1" ht="35.1" customHeight="1" x14ac:dyDescent="0.2">
      <c r="G83" s="111"/>
      <c r="H83" s="111"/>
      <c r="I83" s="111"/>
      <c r="J83" s="111"/>
      <c r="K83" s="108"/>
    </row>
    <row r="84" spans="2:11" s="106" customFormat="1" ht="35.1" customHeight="1" x14ac:dyDescent="0.2">
      <c r="G84" s="111"/>
      <c r="H84" s="111"/>
      <c r="I84" s="111"/>
      <c r="J84" s="111"/>
      <c r="K84" s="108"/>
    </row>
    <row r="85" spans="2:11" s="106" customFormat="1" ht="35.1" customHeight="1" x14ac:dyDescent="0.2">
      <c r="F85" s="107"/>
      <c r="K85" s="108"/>
    </row>
    <row r="86" spans="2:11" s="106" customFormat="1" ht="50.1" customHeight="1" x14ac:dyDescent="0.2"/>
    <row r="87" spans="2:11" s="106" customFormat="1" ht="57.75" customHeight="1" x14ac:dyDescent="0.2">
      <c r="C87" s="112"/>
      <c r="D87" s="112"/>
      <c r="E87" s="112"/>
    </row>
    <row r="88" spans="2:11" s="106" customFormat="1" ht="35.1" customHeight="1" x14ac:dyDescent="0.2"/>
    <row r="89" spans="2:11" s="106" customFormat="1" ht="35.1" customHeight="1" x14ac:dyDescent="0.2">
      <c r="F89" s="108"/>
      <c r="G89" s="108"/>
      <c r="H89" s="108"/>
      <c r="I89" s="108"/>
      <c r="J89" s="108"/>
    </row>
    <row r="90" spans="2:11" s="106" customFormat="1" ht="35.1" customHeight="1" x14ac:dyDescent="0.2"/>
    <row r="91" spans="2:11" s="106" customFormat="1" ht="50.1" customHeight="1" x14ac:dyDescent="0.2">
      <c r="J91" s="47"/>
    </row>
    <row r="92" spans="2:11" s="106" customFormat="1" ht="55.5" customHeight="1" x14ac:dyDescent="0.2">
      <c r="J92" s="111"/>
    </row>
    <row r="93" spans="2:11" s="106" customFormat="1" ht="50.1" customHeight="1" x14ac:dyDescent="0.2">
      <c r="J93" s="111"/>
    </row>
    <row r="94" spans="2:11" s="107" customFormat="1" ht="31.5" customHeight="1" x14ac:dyDescent="0.2">
      <c r="J94" s="111"/>
    </row>
    <row r="95" spans="2:11" s="106" customFormat="1" ht="35.1" customHeight="1" x14ac:dyDescent="0.2">
      <c r="G95" s="111"/>
      <c r="H95" s="111"/>
      <c r="I95" s="111"/>
      <c r="J95" s="111"/>
    </row>
    <row r="96" spans="2:11" s="106" customFormat="1" ht="35.1" customHeight="1" x14ac:dyDescent="0.2">
      <c r="G96" s="111"/>
      <c r="H96" s="111"/>
      <c r="I96" s="111"/>
      <c r="J96" s="111"/>
    </row>
    <row r="97" spans="1:12" s="106" customFormat="1" ht="9.9499999999999993" customHeight="1" x14ac:dyDescent="0.2">
      <c r="G97" s="108"/>
      <c r="H97" s="108"/>
      <c r="I97" s="108"/>
      <c r="J97" s="108"/>
    </row>
    <row r="98" spans="1:12" s="106" customFormat="1" ht="35.1" customHeight="1" x14ac:dyDescent="0.2">
      <c r="J98" s="108"/>
      <c r="K98" s="108"/>
      <c r="L98" s="108"/>
    </row>
    <row r="99" spans="1:12" s="46" customFormat="1" ht="15" customHeight="1" x14ac:dyDescent="0.2">
      <c r="A99" s="47"/>
      <c r="G99" s="47"/>
      <c r="H99" s="47"/>
      <c r="I99" s="47"/>
      <c r="J99" s="47"/>
      <c r="K99" s="48"/>
    </row>
    <row r="100" spans="1:12" s="48" customFormat="1" ht="31.5" customHeight="1" x14ac:dyDescent="0.2">
      <c r="A100" s="47"/>
      <c r="B100" s="47"/>
      <c r="C100" s="47"/>
      <c r="D100" s="47"/>
      <c r="E100" s="47"/>
      <c r="F100" s="47"/>
      <c r="G100" s="47"/>
      <c r="H100" s="47"/>
      <c r="I100" s="47"/>
      <c r="J100" s="47"/>
    </row>
    <row r="101" spans="1:12" s="48" customFormat="1" ht="31.5" customHeight="1" x14ac:dyDescent="0.2"/>
    <row r="102" spans="1:12" s="48" customFormat="1" ht="31.5" customHeight="1" x14ac:dyDescent="0.2"/>
    <row r="103" spans="1:12" s="48" customFormat="1" ht="52.5" customHeight="1" x14ac:dyDescent="0.2"/>
    <row r="104" spans="1:12" s="48" customFormat="1" ht="31.5" customHeight="1" x14ac:dyDescent="0.2">
      <c r="K104" s="8"/>
    </row>
    <row r="105" spans="1:12" s="48" customFormat="1" ht="31.5" customHeight="1" x14ac:dyDescent="0.2">
      <c r="K105" s="8"/>
    </row>
    <row r="106" spans="1:12" ht="31.5" customHeight="1" x14ac:dyDescent="0.2">
      <c r="G106" s="76"/>
    </row>
    <row r="107" spans="1:12" ht="51" customHeight="1" x14ac:dyDescent="0.2"/>
    <row r="109" spans="1:12" ht="31.5" customHeight="1" x14ac:dyDescent="0.2">
      <c r="B109" s="29"/>
      <c r="C109" s="29"/>
      <c r="D109" s="29"/>
      <c r="E109" s="29"/>
      <c r="F109" s="29"/>
      <c r="G109" s="29"/>
      <c r="H109" s="29"/>
      <c r="I109" s="29"/>
      <c r="J109" s="29"/>
    </row>
    <row r="110" spans="1:12" ht="31.5" customHeight="1" x14ac:dyDescent="0.2">
      <c r="B110" s="29"/>
      <c r="C110" s="29"/>
      <c r="D110" s="29"/>
      <c r="E110" s="29"/>
      <c r="F110" s="29"/>
      <c r="G110" s="29"/>
      <c r="H110" s="29"/>
      <c r="I110" s="29"/>
      <c r="J110" s="29"/>
    </row>
    <row r="111" spans="1:12" ht="31.5" customHeight="1" x14ac:dyDescent="0.2">
      <c r="B111" s="29"/>
      <c r="C111" s="29"/>
      <c r="D111" s="29"/>
      <c r="E111" s="29"/>
      <c r="F111" s="29"/>
      <c r="G111" s="29"/>
      <c r="H111" s="29"/>
      <c r="I111" s="29"/>
      <c r="J111" s="29"/>
    </row>
    <row r="112" spans="1:12" ht="31.5" customHeight="1" x14ac:dyDescent="0.2">
      <c r="B112" s="29"/>
      <c r="C112" s="29"/>
      <c r="D112" s="29"/>
      <c r="E112" s="29"/>
      <c r="F112" s="29"/>
      <c r="G112" s="29"/>
      <c r="H112" s="29"/>
      <c r="I112" s="29"/>
      <c r="J112" s="29"/>
    </row>
    <row r="113" spans="2:10" ht="31.5" customHeight="1" x14ac:dyDescent="0.2">
      <c r="B113" s="29"/>
      <c r="C113" s="29"/>
      <c r="D113" s="29"/>
      <c r="E113" s="29"/>
      <c r="F113" s="29"/>
      <c r="G113" s="29"/>
      <c r="H113" s="29"/>
      <c r="I113" s="29"/>
      <c r="J113" s="29"/>
    </row>
    <row r="114" spans="2:10" ht="31.5" customHeight="1" x14ac:dyDescent="0.2">
      <c r="B114" s="29"/>
      <c r="C114" s="29"/>
      <c r="D114" s="29"/>
      <c r="E114" s="29"/>
      <c r="F114" s="29"/>
      <c r="G114" s="29"/>
      <c r="H114" s="29"/>
      <c r="I114" s="29"/>
      <c r="J114" s="29"/>
    </row>
    <row r="115" spans="2:10" ht="31.5" customHeight="1" x14ac:dyDescent="0.2">
      <c r="B115" s="29"/>
      <c r="C115" s="29"/>
      <c r="D115" s="29"/>
      <c r="E115" s="29"/>
      <c r="F115" s="29"/>
      <c r="G115" s="29"/>
      <c r="H115" s="29"/>
      <c r="I115" s="29"/>
      <c r="J115" s="29"/>
    </row>
  </sheetData>
  <sheetProtection password="CF5C" sheet="1" objects="1" scenarios="1"/>
  <mergeCells count="62">
    <mergeCell ref="D70:E70"/>
    <mergeCell ref="D71:E71"/>
    <mergeCell ref="B72:K72"/>
    <mergeCell ref="B73:E73"/>
    <mergeCell ref="H73:K73"/>
    <mergeCell ref="F74:G74"/>
    <mergeCell ref="H74:H76"/>
    <mergeCell ref="I74:K74"/>
    <mergeCell ref="J75:K75"/>
    <mergeCell ref="J76:K76"/>
    <mergeCell ref="A56:J56"/>
    <mergeCell ref="A58:B58"/>
    <mergeCell ref="C58:D58"/>
    <mergeCell ref="E58:F58"/>
    <mergeCell ref="H60:M60"/>
    <mergeCell ref="A50:B50"/>
    <mergeCell ref="G50:H50"/>
    <mergeCell ref="A52:J52"/>
    <mergeCell ref="D53:E53"/>
    <mergeCell ref="H53:I53"/>
    <mergeCell ref="A49:B49"/>
    <mergeCell ref="G49:H49"/>
    <mergeCell ref="A28:A31"/>
    <mergeCell ref="C33:D33"/>
    <mergeCell ref="F33:G33"/>
    <mergeCell ref="A36:J36"/>
    <mergeCell ref="B38:F38"/>
    <mergeCell ref="H38:J38"/>
    <mergeCell ref="H39:J42"/>
    <mergeCell ref="A46:J46"/>
    <mergeCell ref="A47:B48"/>
    <mergeCell ref="C47:E47"/>
    <mergeCell ref="G48:H48"/>
    <mergeCell ref="A27:B27"/>
    <mergeCell ref="G27:H27"/>
    <mergeCell ref="A14:B14"/>
    <mergeCell ref="A15:B15"/>
    <mergeCell ref="A16:B16"/>
    <mergeCell ref="C16:D16"/>
    <mergeCell ref="A18:J18"/>
    <mergeCell ref="F19:G19"/>
    <mergeCell ref="J19:J20"/>
    <mergeCell ref="A20:B20"/>
    <mergeCell ref="E20:F20"/>
    <mergeCell ref="A22:J22"/>
    <mergeCell ref="C24:D24"/>
    <mergeCell ref="F24:G24"/>
    <mergeCell ref="C26:F26"/>
    <mergeCell ref="G26:H26"/>
    <mergeCell ref="A13:B13"/>
    <mergeCell ref="F13:I13"/>
    <mergeCell ref="A1:B1"/>
    <mergeCell ref="C1:M1"/>
    <mergeCell ref="I3:J4"/>
    <mergeCell ref="A6:D6"/>
    <mergeCell ref="F6:I6"/>
    <mergeCell ref="F9:G9"/>
    <mergeCell ref="A10:B10"/>
    <mergeCell ref="F10:G10"/>
    <mergeCell ref="A11:B11"/>
    <mergeCell ref="F11:G11"/>
    <mergeCell ref="A12:B12"/>
  </mergeCells>
  <printOptions horizontalCentered="1"/>
  <pageMargins left="0.70866141732283472" right="0.70866141732283472" top="0.74803149606299213" bottom="0.74803149606299213" header="0.31496062992125984" footer="0.31496062992125984"/>
  <pageSetup scale="13" orientation="portrait" r:id="rId1"/>
  <headerFooter>
    <oddHeader xml:space="preserve">&amp;C
&amp;16   
</oddHeader>
    <oddFooter xml:space="preserve">&amp;RRT03-F13 Vr.14 (2021-05-21)
</oddFooter>
  </headerFooter>
  <rowBreaks count="1" manualBreakCount="1">
    <brk id="34" max="16383" man="1"/>
  </rowBreaks>
  <drawing r:id="rId2"/>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1700-000000000000}">
          <x14:formula1>
            <xm:f>'DATOS %'!$V$161:$V$165</xm:f>
          </x14:formula1>
          <xm:sqref>H25</xm:sqref>
        </x14:dataValidation>
        <x14:dataValidation type="list" allowBlank="1" showInputMessage="1" showErrorMessage="1" xr:uid="{00000000-0002-0000-1700-000001000000}">
          <x14:formula1>
            <xm:f>'DATOS %'!$V$120:$V$126</xm:f>
          </x14:formula1>
          <xm:sqref>J13</xm:sqref>
        </x14:dataValidation>
        <x14:dataValidation type="list" allowBlank="1" showInputMessage="1" showErrorMessage="1" xr:uid="{00000000-0002-0000-1700-000002000000}">
          <x14:formula1>
            <xm:f>'DATOS %'!$N$29:$N$113</xm:f>
          </x14:formula1>
          <xm:sqref>E6</xm:sqref>
        </x14:dataValidation>
        <x14:dataValidation type="list" allowBlank="1" showInputMessage="1" showErrorMessage="1" xr:uid="{00000000-0002-0000-1700-000003000000}">
          <x14:formula1>
            <xm:f>'DATOS %'!$N$121:$N$166</xm:f>
          </x14:formula1>
          <xm:sqref>F48</xm:sqref>
        </x14:dataValidation>
        <x14:dataValidation type="list" allowBlank="1" showInputMessage="1" showErrorMessage="1" xr:uid="{00000000-0002-0000-1700-000004000000}">
          <x14:formula1>
            <xm:f>'DATOS %'!$J$174:$J$179</xm:f>
          </x14:formula1>
          <xm:sqref>J19:J20</xm:sqref>
        </x14:dataValidation>
        <x14:dataValidation type="list" allowBlank="1" showInputMessage="1" showErrorMessage="1" xr:uid="{00000000-0002-0000-1700-000005000000}">
          <x14:formula1>
            <xm:f>'DATOS %'!$B$7:$B$40</xm:f>
          </x14:formula1>
          <xm:sqref>I3:J4</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U115"/>
  <sheetViews>
    <sheetView showGridLines="0" view="pageBreakPreview" zoomScale="80" zoomScaleNormal="60" zoomScaleSheetLayoutView="80" workbookViewId="0">
      <selection activeCell="C65" sqref="C65"/>
    </sheetView>
  </sheetViews>
  <sheetFormatPr baseColWidth="10" defaultColWidth="11.42578125" defaultRowHeight="31.5" customHeight="1" x14ac:dyDescent="0.2"/>
  <cols>
    <col min="1" max="1" width="14.7109375" style="37" customWidth="1"/>
    <col min="2" max="2" width="12" style="37" customWidth="1"/>
    <col min="3" max="3" width="15.7109375" style="37" customWidth="1"/>
    <col min="4" max="4" width="17" style="37" customWidth="1"/>
    <col min="5" max="5" width="15.5703125" style="37" customWidth="1"/>
    <col min="6" max="6" width="18.5703125" style="37" customWidth="1"/>
    <col min="7" max="7" width="15.7109375" style="37" customWidth="1"/>
    <col min="8" max="8" width="24.42578125" style="37" bestFit="1" customWidth="1"/>
    <col min="9" max="9" width="13.85546875" style="37" bestFit="1" customWidth="1"/>
    <col min="10" max="10" width="13.7109375" style="37" customWidth="1"/>
    <col min="11" max="19" width="11.42578125" style="8"/>
    <col min="20" max="20" width="15.85546875" style="8" bestFit="1" customWidth="1"/>
    <col min="21" max="21" width="14.42578125" style="8" bestFit="1" customWidth="1"/>
    <col min="22" max="16384" width="11.42578125" style="8"/>
  </cols>
  <sheetData>
    <row r="1" spans="1:16" ht="60" customHeight="1" thickBot="1" x14ac:dyDescent="0.25">
      <c r="A1" s="1257"/>
      <c r="B1" s="1258"/>
      <c r="C1" s="1259" t="s">
        <v>57</v>
      </c>
      <c r="D1" s="1260"/>
      <c r="E1" s="1260"/>
      <c r="F1" s="1260"/>
      <c r="G1" s="1260"/>
      <c r="H1" s="1260"/>
      <c r="I1" s="1260"/>
      <c r="J1" s="1260"/>
      <c r="K1" s="1260"/>
      <c r="L1" s="1260"/>
      <c r="M1" s="1261"/>
      <c r="N1" s="7"/>
      <c r="O1" s="7"/>
      <c r="P1" s="7"/>
    </row>
    <row r="2" spans="1:16" s="11" customFormat="1" ht="9.75" customHeight="1" thickBot="1" x14ac:dyDescent="0.25">
      <c r="A2" s="9"/>
      <c r="B2" s="9"/>
      <c r="C2" s="10"/>
      <c r="D2" s="10"/>
      <c r="E2" s="10"/>
      <c r="F2" s="10"/>
      <c r="G2" s="10"/>
      <c r="H2" s="10"/>
      <c r="K2" s="12"/>
      <c r="M2" s="7"/>
    </row>
    <row r="3" spans="1:16" s="12" customFormat="1" ht="35.25" customHeight="1" thickBot="1" x14ac:dyDescent="0.25">
      <c r="A3" s="13" t="s">
        <v>17</v>
      </c>
      <c r="B3" s="14" t="s">
        <v>55</v>
      </c>
      <c r="C3" s="15" t="s">
        <v>209</v>
      </c>
      <c r="D3" s="15" t="s">
        <v>56</v>
      </c>
      <c r="E3" s="15" t="s">
        <v>8</v>
      </c>
      <c r="F3" s="16" t="s">
        <v>18</v>
      </c>
      <c r="G3" s="16" t="s">
        <v>297</v>
      </c>
      <c r="H3" s="17" t="s">
        <v>24</v>
      </c>
      <c r="I3" s="1262"/>
      <c r="J3" s="1263"/>
      <c r="K3" s="11"/>
      <c r="M3" s="7"/>
    </row>
    <row r="4" spans="1:16" s="11" customFormat="1" ht="32.25" customHeight="1" thickBot="1" x14ac:dyDescent="0.25">
      <c r="A4" s="18" t="e">
        <f>VLOOKUP($I$3,'DATOS %'!B7:J40,2,FALSE)</f>
        <v>#N/A</v>
      </c>
      <c r="B4" s="212" t="e">
        <f>VLOOKUP($I$3,'DATOS %'!$B$7:$J$40,3,FALSE)</f>
        <v>#N/A</v>
      </c>
      <c r="C4" s="19" t="e">
        <f>VLOOKUP($I$3,'DATOS %'!$B$7:$J$40,8,FALSE)</f>
        <v>#N/A</v>
      </c>
      <c r="D4" s="19" t="e">
        <f>VLOOKUP($I$3,'DATOS %'!$B$7:$J$40,6,FALSE)</f>
        <v>#N/A</v>
      </c>
      <c r="E4" s="212" t="e">
        <f>VLOOKUP($I$3,'DATOS %'!$B$7:$J$40,7,FALSE)</f>
        <v>#N/A</v>
      </c>
      <c r="F4" s="18" t="e">
        <f>VLOOKUP($I$3,'DATOS %'!$B$7:$J$40,4,FALSE)</f>
        <v>#N/A</v>
      </c>
      <c r="G4" s="18" t="e">
        <f>VLOOKUP($I$3,'DATOS %'!$B$7:$J$40,5,FALSE)</f>
        <v>#N/A</v>
      </c>
      <c r="H4" s="19" t="e">
        <f>VLOOKUP($I$3,'DATOS %'!$B$7:$J$40,9,FALSE)</f>
        <v>#N/A</v>
      </c>
      <c r="I4" s="1264"/>
      <c r="J4" s="1265"/>
      <c r="K4" s="8"/>
      <c r="L4" s="20"/>
      <c r="M4" s="20"/>
    </row>
    <row r="5" spans="1:16" s="22" customFormat="1" ht="6.75" customHeight="1" thickBot="1" x14ac:dyDescent="0.25">
      <c r="A5" s="21"/>
      <c r="B5" s="21"/>
      <c r="C5" s="21"/>
      <c r="F5" s="21"/>
      <c r="G5" s="21"/>
      <c r="H5" s="21"/>
      <c r="K5" s="8"/>
    </row>
    <row r="6" spans="1:16" ht="31.5" customHeight="1" thickBot="1" x14ac:dyDescent="0.25">
      <c r="A6" s="1266" t="s">
        <v>19</v>
      </c>
      <c r="B6" s="1267"/>
      <c r="C6" s="1267"/>
      <c r="D6" s="1268"/>
      <c r="E6" s="4"/>
      <c r="F6" s="1266" t="s">
        <v>20</v>
      </c>
      <c r="G6" s="1267"/>
      <c r="H6" s="1267"/>
      <c r="I6" s="1268"/>
      <c r="J6" s="402">
        <f>I3</f>
        <v>0</v>
      </c>
    </row>
    <row r="7" spans="1:16" ht="31.5" customHeight="1" x14ac:dyDescent="0.2">
      <c r="A7" s="23" t="s">
        <v>21</v>
      </c>
      <c r="B7" s="24" t="e">
        <f>VLOOKUP($E$6,'DATOS %'!N11:AA113,2,FALSE)</f>
        <v>#N/A</v>
      </c>
      <c r="C7" s="25" t="s">
        <v>10</v>
      </c>
      <c r="D7" s="26" t="e">
        <f>VLOOKUP($E$6,'DATOS %'!N11:AA113,3,FALSE)</f>
        <v>#N/A</v>
      </c>
      <c r="E7" s="27"/>
      <c r="F7" s="23" t="s">
        <v>21</v>
      </c>
      <c r="G7" s="24" t="e">
        <f>VLOOKUP($J$6,'DATOS %'!B47:I79,2,FALSE)</f>
        <v>#N/A</v>
      </c>
      <c r="H7" s="28" t="s">
        <v>10</v>
      </c>
      <c r="I7" s="26" t="e">
        <f>VLOOKUP($J$6,'DATOS %'!B47:I79,3,FALSE)</f>
        <v>#N/A</v>
      </c>
      <c r="J7" s="29"/>
    </row>
    <row r="8" spans="1:16" ht="31.5" customHeight="1" x14ac:dyDescent="0.2">
      <c r="A8" s="30" t="s">
        <v>22</v>
      </c>
      <c r="B8" s="31" t="e">
        <f>VLOOKUP($E$6,'DATOS %'!N11:AA113,4,FALSE)</f>
        <v>#N/A</v>
      </c>
      <c r="C8" s="32" t="s">
        <v>23</v>
      </c>
      <c r="D8" s="33" t="e">
        <f>VLOOKUP($E$6,'DATOS %'!N11:AA113,5,FALSE)</f>
        <v>#N/A</v>
      </c>
      <c r="E8" s="27"/>
      <c r="F8" s="30" t="s">
        <v>22</v>
      </c>
      <c r="G8" s="31" t="e">
        <f>VLOOKUP($J$6,'DATOS %'!B47:I79,4,FALSE)</f>
        <v>#N/A</v>
      </c>
      <c r="H8" s="32" t="s">
        <v>23</v>
      </c>
      <c r="I8" s="297" t="e">
        <f>VLOOKUP($J$6,'DATOS %'!B47:I79,5,FALSE)</f>
        <v>#N/A</v>
      </c>
      <c r="J8" s="29"/>
    </row>
    <row r="9" spans="1:16" ht="31.5" customHeight="1" x14ac:dyDescent="0.2">
      <c r="A9" s="34" t="s">
        <v>24</v>
      </c>
      <c r="B9" s="31" t="e">
        <f>VLOOKUP($E$6,'DATOS %'!N11:AA113,6,FALSE)</f>
        <v>#N/A</v>
      </c>
      <c r="C9" s="35" t="s">
        <v>15</v>
      </c>
      <c r="D9" s="36" t="e">
        <f>VLOOKUP($E$6,'DATOS %'!N11:AA113,7,FALSE)</f>
        <v>#N/A</v>
      </c>
      <c r="F9" s="1252" t="s">
        <v>62</v>
      </c>
      <c r="G9" s="1253"/>
      <c r="H9" s="31" t="e">
        <f>VLOOKUP($J$6,'DATOS %'!B47:I79,6,FALSE)</f>
        <v>#N/A</v>
      </c>
      <c r="I9" s="33" t="s">
        <v>1</v>
      </c>
      <c r="J9" s="29"/>
      <c r="K9" s="208"/>
    </row>
    <row r="10" spans="1:16" s="38" customFormat="1" ht="31.5" customHeight="1" x14ac:dyDescent="0.25">
      <c r="A10" s="1252" t="s">
        <v>63</v>
      </c>
      <c r="B10" s="1253"/>
      <c r="C10" s="223" t="e">
        <f>VLOOKUP($E$6,'DATOS %'!N11:AA113,8,FALSE)</f>
        <v>#N/A</v>
      </c>
      <c r="D10" s="33" t="s">
        <v>1</v>
      </c>
      <c r="F10" s="1252" t="s">
        <v>64</v>
      </c>
      <c r="G10" s="1253"/>
      <c r="H10" s="213" t="e">
        <f>VLOOKUP($J$6,'DATOS %'!B47:I79,7,FALSE)</f>
        <v>#N/A</v>
      </c>
      <c r="I10" s="33" t="s">
        <v>76</v>
      </c>
      <c r="J10" s="39"/>
    </row>
    <row r="11" spans="1:16" s="38" customFormat="1" ht="31.5" customHeight="1" thickBot="1" x14ac:dyDescent="0.3">
      <c r="A11" s="1252" t="s">
        <v>65</v>
      </c>
      <c r="B11" s="1253"/>
      <c r="C11" s="31" t="e">
        <f>VLOOKUP($E$6,'DATOS %'!N11:AA113,9,FALSE)</f>
        <v>#N/A</v>
      </c>
      <c r="D11" s="33" t="s">
        <v>3</v>
      </c>
      <c r="E11" s="40"/>
      <c r="F11" s="1271" t="s">
        <v>66</v>
      </c>
      <c r="G11" s="1272"/>
      <c r="H11" s="41" t="e">
        <f>VLOOKUP($J$6,'DATOS %'!B47:I79,8,FALSE)</f>
        <v>#N/A</v>
      </c>
      <c r="I11" s="45" t="s">
        <v>76</v>
      </c>
      <c r="J11" s="39"/>
    </row>
    <row r="12" spans="1:16" s="38" customFormat="1" ht="31.5" customHeight="1" thickBot="1" x14ac:dyDescent="0.3">
      <c r="A12" s="1252" t="s">
        <v>67</v>
      </c>
      <c r="B12" s="1253"/>
      <c r="C12" s="31" t="e">
        <f>VLOOKUP($E$6,'DATOS %'!N11:AA113,10,FALSE)</f>
        <v>#N/A</v>
      </c>
      <c r="D12" s="33" t="s">
        <v>3</v>
      </c>
      <c r="E12" s="39"/>
      <c r="F12" s="39"/>
      <c r="G12" s="39"/>
      <c r="H12" s="39"/>
    </row>
    <row r="13" spans="1:16" s="38" customFormat="1" ht="31.5" customHeight="1" thickBot="1" x14ac:dyDescent="0.3">
      <c r="A13" s="1252" t="s">
        <v>68</v>
      </c>
      <c r="B13" s="1253"/>
      <c r="C13" s="213" t="e">
        <f>VLOOKUP($E$6,'DATOS %'!N11:AA113,11,FALSE)</f>
        <v>#N/A</v>
      </c>
      <c r="D13" s="33" t="s">
        <v>76</v>
      </c>
      <c r="E13" s="39"/>
      <c r="F13" s="1254" t="s">
        <v>559</v>
      </c>
      <c r="G13" s="1255"/>
      <c r="H13" s="1255"/>
      <c r="I13" s="1256"/>
      <c r="J13" s="5"/>
    </row>
    <row r="14" spans="1:16" s="38" customFormat="1" ht="31.5" customHeight="1" x14ac:dyDescent="0.2">
      <c r="A14" s="1252" t="s">
        <v>305</v>
      </c>
      <c r="B14" s="1253"/>
      <c r="C14" s="31" t="e">
        <f>VLOOKUP($E$6,'DATOS %'!N11:AA113,12,FALSE)</f>
        <v>#N/A</v>
      </c>
      <c r="D14" s="33" t="s">
        <v>76</v>
      </c>
      <c r="E14" s="39"/>
      <c r="F14" s="23" t="s">
        <v>10</v>
      </c>
      <c r="G14" s="24" t="e">
        <f>VLOOKUP($J$13,'DATOS %'!$V$119:$Y$126,2,FALSE)</f>
        <v>#N/A</v>
      </c>
      <c r="H14" s="28" t="s">
        <v>22</v>
      </c>
      <c r="I14" s="24" t="e">
        <f>VLOOKUP($J$13,'DATOS %'!$V$119:$Z$126,3,FALSE)</f>
        <v>#N/A</v>
      </c>
      <c r="J14" s="42"/>
      <c r="K14" s="8"/>
    </row>
    <row r="15" spans="1:16" ht="31.5" customHeight="1" thickBot="1" x14ac:dyDescent="0.25">
      <c r="A15" s="1277" t="s">
        <v>69</v>
      </c>
      <c r="B15" s="1278"/>
      <c r="C15" s="31" t="e">
        <f>VLOOKUP($E$6,'DATOS %'!N11:AA113,13,FALSE)</f>
        <v>#N/A</v>
      </c>
      <c r="D15" s="33" t="s">
        <v>76</v>
      </c>
      <c r="E15" s="29"/>
      <c r="F15" s="43" t="s">
        <v>61</v>
      </c>
      <c r="G15" s="41" t="e">
        <f>VLOOKUP($J$13,'DATOS %'!$V$119:$Y$126,4,FALSE)</f>
        <v>#N/A</v>
      </c>
      <c r="H15" s="41" t="s">
        <v>1</v>
      </c>
      <c r="I15" s="238" t="s">
        <v>210</v>
      </c>
      <c r="J15" s="45" t="e">
        <f>VLOOKUP($J$13,'DATOS %'!$V$119:$Z$126,5,FALSE)</f>
        <v>#N/A</v>
      </c>
      <c r="K15" s="22"/>
    </row>
    <row r="16" spans="1:16" ht="30.95" customHeight="1" thickBot="1" x14ac:dyDescent="0.25">
      <c r="A16" s="1279" t="s">
        <v>210</v>
      </c>
      <c r="B16" s="1280"/>
      <c r="C16" s="1281" t="e">
        <f>VLOOKUP($E$6,'DATOS %'!N11:AA113,14,FALSE)</f>
        <v>#N/A</v>
      </c>
      <c r="D16" s="1282"/>
      <c r="E16" s="29"/>
      <c r="F16" s="8"/>
      <c r="G16" s="8"/>
      <c r="H16" s="8"/>
      <c r="I16" s="8"/>
      <c r="J16" s="8"/>
    </row>
    <row r="17" spans="1:11" s="22" customFormat="1" ht="30.95" customHeight="1" thickBot="1" x14ac:dyDescent="0.25">
      <c r="A17" s="29"/>
      <c r="B17" s="29"/>
      <c r="C17" s="29"/>
      <c r="D17" s="29"/>
      <c r="E17" s="29"/>
      <c r="F17" s="29"/>
      <c r="G17" s="29"/>
      <c r="H17" s="29"/>
      <c r="I17" s="29"/>
      <c r="J17" s="29"/>
      <c r="K17" s="8"/>
    </row>
    <row r="18" spans="1:11" ht="31.5" customHeight="1" thickBot="1" x14ac:dyDescent="0.25">
      <c r="A18" s="1331" t="s">
        <v>26</v>
      </c>
      <c r="B18" s="1332"/>
      <c r="C18" s="1332"/>
      <c r="D18" s="1332"/>
      <c r="E18" s="1332"/>
      <c r="F18" s="1332"/>
      <c r="G18" s="1332"/>
      <c r="H18" s="1332"/>
      <c r="I18" s="1332"/>
      <c r="J18" s="1333"/>
    </row>
    <row r="19" spans="1:11" ht="46.5" customHeight="1" thickBot="1" x14ac:dyDescent="0.25">
      <c r="A19" s="407" t="s">
        <v>10</v>
      </c>
      <c r="B19" s="101" t="e">
        <f>VLOOKUP(J19,'DATOS %'!J174:W180,2,FALSE)</f>
        <v>#N/A</v>
      </c>
      <c r="C19" s="95" t="s">
        <v>7</v>
      </c>
      <c r="D19" s="408" t="e">
        <f>VLOOKUP(J19,'DATOS %'!J174:W180,3,FALSE)</f>
        <v>#N/A</v>
      </c>
      <c r="E19" s="409" t="s">
        <v>24</v>
      </c>
      <c r="F19" s="1286" t="e">
        <f>VLOOKUP(J19,'DATOS %'!J174:W180,5,FALSE)</f>
        <v>#N/A</v>
      </c>
      <c r="G19" s="1287"/>
      <c r="H19" s="95" t="s">
        <v>25</v>
      </c>
      <c r="I19" s="212" t="e">
        <f>VLOOKUP(J19,'DATOS %'!J174:W180,4,FALSE)</f>
        <v>#N/A</v>
      </c>
      <c r="J19" s="1374"/>
    </row>
    <row r="20" spans="1:11" ht="31.5" customHeight="1" thickBot="1" x14ac:dyDescent="0.25">
      <c r="A20" s="1290" t="s">
        <v>316</v>
      </c>
      <c r="B20" s="1291"/>
      <c r="C20" s="94" t="s">
        <v>27</v>
      </c>
      <c r="D20" s="101" t="e">
        <f>VLOOKUP(J19,'DATOS %'!J174:W180,6,FALSE)</f>
        <v>#N/A</v>
      </c>
      <c r="E20" s="1292" t="s">
        <v>307</v>
      </c>
      <c r="F20" s="1293"/>
      <c r="G20" s="101" t="e">
        <f>VLOOKUP(J19,'DATOS %'!J174:W180,7,FALSE)</f>
        <v>#N/A</v>
      </c>
      <c r="H20" s="95" t="s">
        <v>9</v>
      </c>
      <c r="I20" s="214" t="e">
        <f>VLOOKUP(J19,'DATOS %'!J174:W180,8,FALSE)</f>
        <v>#N/A</v>
      </c>
      <c r="J20" s="1289"/>
    </row>
    <row r="21" spans="1:11" s="46" customFormat="1" ht="15" customHeight="1" thickBot="1" x14ac:dyDescent="0.25">
      <c r="A21" s="47"/>
      <c r="B21" s="47"/>
      <c r="C21" s="47"/>
      <c r="D21" s="47"/>
      <c r="E21" s="47"/>
      <c r="F21" s="47"/>
      <c r="G21" s="47"/>
      <c r="H21" s="47"/>
      <c r="I21" s="47"/>
      <c r="J21" s="47"/>
      <c r="K21" s="8"/>
    </row>
    <row r="22" spans="1:11" s="48" customFormat="1" ht="31.5" customHeight="1" thickBot="1" x14ac:dyDescent="0.25">
      <c r="A22" s="1294" t="s">
        <v>28</v>
      </c>
      <c r="B22" s="1295"/>
      <c r="C22" s="1295"/>
      <c r="D22" s="1295"/>
      <c r="E22" s="1295"/>
      <c r="F22" s="1295"/>
      <c r="G22" s="1295"/>
      <c r="H22" s="1295"/>
      <c r="I22" s="1295"/>
      <c r="J22" s="1296"/>
      <c r="K22" s="47"/>
    </row>
    <row r="23" spans="1:11" s="47" customFormat="1" ht="2.25" customHeight="1" thickBot="1" x14ac:dyDescent="0.25">
      <c r="A23" s="49"/>
      <c r="B23" s="50"/>
      <c r="C23" s="50"/>
      <c r="D23" s="50"/>
      <c r="E23" s="50"/>
      <c r="F23" s="50"/>
      <c r="G23" s="50"/>
      <c r="H23" s="50"/>
      <c r="I23" s="50"/>
      <c r="J23" s="51"/>
      <c r="K23" s="48"/>
    </row>
    <row r="24" spans="1:11" s="48" customFormat="1" ht="31.5" customHeight="1" thickBot="1" x14ac:dyDescent="0.25">
      <c r="A24" s="52" t="s">
        <v>29</v>
      </c>
      <c r="B24" s="916"/>
      <c r="C24" s="1297" t="s">
        <v>27</v>
      </c>
      <c r="D24" s="1298"/>
      <c r="E24" s="1"/>
      <c r="F24" s="1684" t="s">
        <v>307</v>
      </c>
      <c r="G24" s="1685"/>
      <c r="H24" s="2"/>
      <c r="I24" s="972" t="s">
        <v>9</v>
      </c>
      <c r="J24" s="215"/>
      <c r="K24" s="46"/>
    </row>
    <row r="25" spans="1:11" s="46" customFormat="1" ht="15" customHeight="1" thickBot="1" x14ac:dyDescent="0.25">
      <c r="A25" s="47"/>
      <c r="B25" s="47"/>
      <c r="C25" s="47"/>
      <c r="D25" s="47"/>
      <c r="E25" s="47"/>
      <c r="F25" s="47"/>
      <c r="G25" s="47"/>
      <c r="H25" s="6"/>
      <c r="I25" s="47"/>
      <c r="K25" s="48"/>
    </row>
    <row r="26" spans="1:11" s="48" customFormat="1" ht="29.25" customHeight="1" thickBot="1" x14ac:dyDescent="0.25">
      <c r="A26" s="115" t="s">
        <v>129</v>
      </c>
      <c r="B26" s="105">
        <v>4</v>
      </c>
      <c r="C26" s="1301" t="s">
        <v>30</v>
      </c>
      <c r="D26" s="1302"/>
      <c r="E26" s="1302"/>
      <c r="F26" s="1303"/>
      <c r="G26" s="1304" t="s">
        <v>211</v>
      </c>
      <c r="H26" s="1305"/>
    </row>
    <row r="27" spans="1:11" s="48" customFormat="1" ht="31.5" customHeight="1" thickBot="1" x14ac:dyDescent="0.25">
      <c r="A27" s="1273" t="s">
        <v>31</v>
      </c>
      <c r="B27" s="1274"/>
      <c r="C27" s="237">
        <v>1</v>
      </c>
      <c r="D27" s="237">
        <v>2</v>
      </c>
      <c r="E27" s="237">
        <v>3</v>
      </c>
      <c r="F27" s="129">
        <v>4</v>
      </c>
      <c r="G27" s="1275" t="e">
        <f>VLOOKUP($H$25,'DATOS %'!$V$161:$AA$165,2,FALSE)</f>
        <v>#N/A</v>
      </c>
      <c r="H27" s="1276"/>
    </row>
    <row r="28" spans="1:11" s="48" customFormat="1" ht="31.5" customHeight="1" x14ac:dyDescent="0.2">
      <c r="A28" s="1310" t="s">
        <v>32</v>
      </c>
      <c r="B28" s="141" t="s">
        <v>0</v>
      </c>
      <c r="C28" s="142"/>
      <c r="D28" s="142"/>
      <c r="E28" s="142"/>
      <c r="F28" s="143"/>
      <c r="G28" s="47"/>
      <c r="H28" s="47"/>
      <c r="I28" s="47"/>
      <c r="J28" s="47"/>
    </row>
    <row r="29" spans="1:11" s="48" customFormat="1" ht="31.5" customHeight="1" x14ac:dyDescent="0.2">
      <c r="A29" s="1311"/>
      <c r="B29" s="104" t="s">
        <v>2</v>
      </c>
      <c r="C29" s="127"/>
      <c r="D29" s="127"/>
      <c r="E29" s="127"/>
      <c r="F29" s="128"/>
      <c r="G29" s="47"/>
      <c r="H29" s="47"/>
      <c r="I29" s="47"/>
      <c r="J29" s="47"/>
    </row>
    <row r="30" spans="1:11" s="48" customFormat="1" ht="31.5" customHeight="1" x14ac:dyDescent="0.2">
      <c r="A30" s="1311"/>
      <c r="B30" s="104" t="s">
        <v>2</v>
      </c>
      <c r="C30" s="127"/>
      <c r="D30" s="127"/>
      <c r="E30" s="127"/>
      <c r="F30" s="128"/>
      <c r="G30" s="47"/>
      <c r="H30" s="47"/>
      <c r="I30" s="47"/>
      <c r="J30" s="47"/>
    </row>
    <row r="31" spans="1:11" s="48" customFormat="1" ht="31.5" customHeight="1" thickBot="1" x14ac:dyDescent="0.25">
      <c r="A31" s="1312"/>
      <c r="B31" s="53" t="s">
        <v>0</v>
      </c>
      <c r="C31" s="144"/>
      <c r="D31" s="144"/>
      <c r="E31" s="144"/>
      <c r="F31" s="145"/>
      <c r="G31" s="47"/>
      <c r="H31" s="47"/>
      <c r="I31" s="47"/>
      <c r="J31" s="47"/>
      <c r="K31" s="46"/>
    </row>
    <row r="32" spans="1:11" s="46" customFormat="1" ht="15" customHeight="1" thickBot="1" x14ac:dyDescent="0.25">
      <c r="A32" s="47"/>
      <c r="B32" s="47"/>
      <c r="C32" s="47"/>
      <c r="D32" s="47"/>
      <c r="E32" s="47"/>
      <c r="F32" s="47"/>
      <c r="G32" s="47"/>
      <c r="H32" s="47"/>
      <c r="I32" s="47"/>
      <c r="J32" s="47"/>
      <c r="K32" s="48"/>
    </row>
    <row r="33" spans="1:11" s="48" customFormat="1" ht="31.5" customHeight="1" thickBot="1" x14ac:dyDescent="0.25">
      <c r="A33" s="54" t="s">
        <v>33</v>
      </c>
      <c r="B33" s="916"/>
      <c r="C33" s="1297" t="s">
        <v>27</v>
      </c>
      <c r="D33" s="1298"/>
      <c r="E33" s="1"/>
      <c r="F33" s="1684" t="s">
        <v>307</v>
      </c>
      <c r="G33" s="1685"/>
      <c r="H33" s="2"/>
      <c r="I33" s="973" t="s">
        <v>9</v>
      </c>
      <c r="J33" s="3"/>
      <c r="K33" s="46"/>
    </row>
    <row r="34" spans="1:11" s="46" customFormat="1" ht="12" customHeight="1" x14ac:dyDescent="0.2">
      <c r="A34" s="55"/>
      <c r="B34" s="55"/>
      <c r="C34" s="55"/>
      <c r="D34" s="55"/>
      <c r="E34" s="55"/>
      <c r="F34" s="55"/>
      <c r="G34" s="55"/>
      <c r="H34" s="55"/>
      <c r="I34" s="55"/>
      <c r="J34" s="55"/>
      <c r="K34" s="48"/>
    </row>
    <row r="35" spans="1:11" s="48" customFormat="1" ht="15" customHeight="1" thickBot="1" x14ac:dyDescent="0.25">
      <c r="A35" s="56"/>
      <c r="B35" s="56"/>
      <c r="C35" s="56"/>
      <c r="D35" s="56"/>
      <c r="E35" s="56"/>
      <c r="F35" s="56"/>
      <c r="G35" s="56"/>
      <c r="H35" s="56"/>
      <c r="I35" s="56"/>
      <c r="J35" s="56"/>
    </row>
    <row r="36" spans="1:11" s="48" customFormat="1" ht="32.25" customHeight="1" thickBot="1" x14ac:dyDescent="0.25">
      <c r="A36" s="1294" t="s">
        <v>34</v>
      </c>
      <c r="B36" s="1295"/>
      <c r="C36" s="1295"/>
      <c r="D36" s="1295"/>
      <c r="E36" s="1295"/>
      <c r="F36" s="1295"/>
      <c r="G36" s="1295"/>
      <c r="H36" s="1295"/>
      <c r="I36" s="1295"/>
      <c r="J36" s="1296"/>
    </row>
    <row r="37" spans="1:11" s="48" customFormat="1" ht="3.75" customHeight="1" thickBot="1" x14ac:dyDescent="0.25">
      <c r="A37" s="55"/>
      <c r="B37" s="47"/>
      <c r="C37" s="47"/>
      <c r="D37" s="47"/>
      <c r="E37" s="47"/>
      <c r="F37" s="47"/>
      <c r="G37" s="47"/>
      <c r="H37" s="47"/>
      <c r="I37" s="47"/>
      <c r="J37" s="55"/>
    </row>
    <row r="38" spans="1:11" s="48" customFormat="1" ht="31.5" customHeight="1" thickBot="1" x14ac:dyDescent="0.25">
      <c r="A38" s="47"/>
      <c r="B38" s="1316" t="s">
        <v>35</v>
      </c>
      <c r="C38" s="1317"/>
      <c r="D38" s="1317"/>
      <c r="E38" s="1317"/>
      <c r="F38" s="1318"/>
      <c r="G38" s="47"/>
      <c r="H38" s="1319" t="s">
        <v>236</v>
      </c>
      <c r="I38" s="1320"/>
      <c r="J38" s="1321"/>
    </row>
    <row r="39" spans="1:11" s="48" customFormat="1" ht="31.5" customHeight="1" thickBot="1" x14ac:dyDescent="0.25">
      <c r="A39" s="47"/>
      <c r="B39" s="57" t="s">
        <v>31</v>
      </c>
      <c r="C39" s="203">
        <v>1</v>
      </c>
      <c r="D39" s="141">
        <v>2</v>
      </c>
      <c r="E39" s="141">
        <v>3</v>
      </c>
      <c r="F39" s="204">
        <v>4</v>
      </c>
      <c r="G39" s="47"/>
      <c r="H39" s="1322"/>
      <c r="I39" s="1323"/>
      <c r="J39" s="1324"/>
    </row>
    <row r="40" spans="1:11" s="48" customFormat="1" ht="31.5" customHeight="1" x14ac:dyDescent="0.2">
      <c r="A40" s="58"/>
      <c r="B40" s="59"/>
      <c r="C40" s="121" t="e">
        <f>+AVERAGE(C28,C31)</f>
        <v>#DIV/0!</v>
      </c>
      <c r="D40" s="122" t="e">
        <f>+AVERAGE(D28,D31)</f>
        <v>#DIV/0!</v>
      </c>
      <c r="E40" s="122" t="e">
        <f>+AVERAGE(E28,E31)</f>
        <v>#DIV/0!</v>
      </c>
      <c r="F40" s="205" t="e">
        <f>+AVERAGE(F28,F31)</f>
        <v>#DIV/0!</v>
      </c>
      <c r="G40" s="47"/>
      <c r="H40" s="1325"/>
      <c r="I40" s="1326"/>
      <c r="J40" s="1327"/>
    </row>
    <row r="41" spans="1:11" s="48" customFormat="1" ht="31.5" customHeight="1" x14ac:dyDescent="0.2">
      <c r="A41" s="58"/>
      <c r="B41" s="60"/>
      <c r="C41" s="123" t="e">
        <f>+AVERAGE(C29:C30)</f>
        <v>#DIV/0!</v>
      </c>
      <c r="D41" s="61" t="e">
        <f>+AVERAGE(D29:D30)</f>
        <v>#DIV/0!</v>
      </c>
      <c r="E41" s="61" t="e">
        <f>+AVERAGE(E29:E30)</f>
        <v>#DIV/0!</v>
      </c>
      <c r="F41" s="206" t="e">
        <f>+AVERAGE(F29:F30)</f>
        <v>#DIV/0!</v>
      </c>
      <c r="G41" s="47"/>
      <c r="H41" s="1325"/>
      <c r="I41" s="1326"/>
      <c r="J41" s="1327"/>
    </row>
    <row r="42" spans="1:11" s="48" customFormat="1" ht="31.5" customHeight="1" thickBot="1" x14ac:dyDescent="0.25">
      <c r="A42" s="58"/>
      <c r="B42" s="62"/>
      <c r="C42" s="124" t="e">
        <f>+C41-C40</f>
        <v>#DIV/0!</v>
      </c>
      <c r="D42" s="125" t="e">
        <f>+D41-D40</f>
        <v>#DIV/0!</v>
      </c>
      <c r="E42" s="125" t="e">
        <f>+E41-E40</f>
        <v>#DIV/0!</v>
      </c>
      <c r="F42" s="207" t="e">
        <f>+F41-F40</f>
        <v>#DIV/0!</v>
      </c>
      <c r="G42" s="47"/>
      <c r="H42" s="1328"/>
      <c r="I42" s="1329"/>
      <c r="J42" s="1330"/>
    </row>
    <row r="43" spans="1:11" s="48" customFormat="1" ht="31.5" customHeight="1" thickBot="1" x14ac:dyDescent="0.25">
      <c r="A43" s="47"/>
      <c r="B43" s="63" t="s">
        <v>36</v>
      </c>
      <c r="C43" s="286" t="e">
        <f>+AVERAGE(C42:F42)</f>
        <v>#DIV/0!</v>
      </c>
      <c r="D43" s="47"/>
      <c r="E43" s="47"/>
      <c r="F43" s="47"/>
      <c r="G43" s="47"/>
      <c r="H43" s="47"/>
      <c r="I43" s="47"/>
      <c r="J43" s="47"/>
    </row>
    <row r="44" spans="1:11" s="48" customFormat="1" ht="31.5" customHeight="1" thickBot="1" x14ac:dyDescent="0.25">
      <c r="A44" s="47"/>
      <c r="B44" s="64" t="s">
        <v>77</v>
      </c>
      <c r="C44" s="287" t="e">
        <f>+STDEV(C42:F42)</f>
        <v>#DIV/0!</v>
      </c>
      <c r="D44" s="47"/>
      <c r="E44" s="47"/>
      <c r="F44" s="47"/>
      <c r="G44" s="47"/>
      <c r="H44" s="47"/>
      <c r="I44" s="47"/>
      <c r="J44" s="47"/>
      <c r="K44" s="46"/>
    </row>
    <row r="45" spans="1:11" s="46" customFormat="1" ht="15" customHeight="1" thickBot="1" x14ac:dyDescent="0.25">
      <c r="A45" s="47"/>
      <c r="B45" s="47"/>
      <c r="C45" s="47"/>
      <c r="D45" s="47"/>
      <c r="E45" s="47"/>
      <c r="F45" s="47"/>
      <c r="G45" s="65"/>
      <c r="H45" s="47"/>
      <c r="I45" s="47"/>
      <c r="J45" s="47"/>
      <c r="K45" s="48"/>
    </row>
    <row r="46" spans="1:11" s="48" customFormat="1" ht="31.5" customHeight="1" thickBot="1" x14ac:dyDescent="0.25">
      <c r="A46" s="1331" t="s">
        <v>37</v>
      </c>
      <c r="B46" s="1332"/>
      <c r="C46" s="1284"/>
      <c r="D46" s="1284"/>
      <c r="E46" s="1284"/>
      <c r="F46" s="1332"/>
      <c r="G46" s="1332"/>
      <c r="H46" s="1332"/>
      <c r="I46" s="1332"/>
      <c r="J46" s="1333"/>
    </row>
    <row r="47" spans="1:11" s="48" customFormat="1" ht="31.5" customHeight="1" thickBot="1" x14ac:dyDescent="0.25">
      <c r="A47" s="1375" t="s">
        <v>321</v>
      </c>
      <c r="B47" s="1376"/>
      <c r="C47" s="1338" t="s">
        <v>38</v>
      </c>
      <c r="D47" s="1339"/>
      <c r="E47" s="1340"/>
      <c r="F47" s="47"/>
      <c r="G47" s="47"/>
      <c r="H47" s="47"/>
      <c r="I47" s="47"/>
      <c r="J47" s="47"/>
    </row>
    <row r="48" spans="1:11" s="48" customFormat="1" ht="36.75" customHeight="1" thickBot="1" x14ac:dyDescent="0.25">
      <c r="A48" s="1377"/>
      <c r="B48" s="1378"/>
      <c r="C48" s="82" t="s">
        <v>27</v>
      </c>
      <c r="D48" s="93" t="s">
        <v>307</v>
      </c>
      <c r="E48" s="83" t="s">
        <v>9</v>
      </c>
      <c r="G48" s="1341" t="s">
        <v>70</v>
      </c>
      <c r="H48" s="1342"/>
      <c r="I48" s="102" t="e">
        <f>+(0.34848*E50-0.009*D50*EXP(0.061*C50))/(273.15+C50)</f>
        <v>#DIV/0!</v>
      </c>
      <c r="J48" s="103" t="s">
        <v>73</v>
      </c>
    </row>
    <row r="49" spans="1:21" s="48" customFormat="1" ht="33" customHeight="1" thickBot="1" x14ac:dyDescent="0.25">
      <c r="A49" s="1306" t="s">
        <v>39</v>
      </c>
      <c r="B49" s="1307"/>
      <c r="C49" s="90" t="e">
        <f>+AVERAGE(E33,E24)</f>
        <v>#DIV/0!</v>
      </c>
      <c r="D49" s="91" t="e">
        <f>+AVERAGE(H33,H24)</f>
        <v>#DIV/0!</v>
      </c>
      <c r="E49" s="92" t="e">
        <f>+AVERAGE(J33,J24)</f>
        <v>#DIV/0!</v>
      </c>
      <c r="G49" s="1308" t="s">
        <v>71</v>
      </c>
      <c r="H49" s="1309"/>
      <c r="I49" s="422" t="e">
        <f>I48*((0.0001)^2+(0.001*I20/2)^2+(-0.0034*D20/2)^2+(-0.01*G20/2)^2)^0.5</f>
        <v>#DIV/0!</v>
      </c>
      <c r="J49" s="66" t="s">
        <v>73</v>
      </c>
    </row>
    <row r="50" spans="1:21" s="48" customFormat="1" ht="36.75" customHeight="1" thickBot="1" x14ac:dyDescent="0.25">
      <c r="A50" s="1343" t="s">
        <v>322</v>
      </c>
      <c r="B50" s="1344"/>
      <c r="C50" s="84" t="e">
        <f>C49+(VLOOKUP(J19,'DATOS %'!J174:W180,9,FALSE))*C49+(VLOOKUP(J19,'DATOS %'!J174:W180,10,FALSE))</f>
        <v>#DIV/0!</v>
      </c>
      <c r="D50" s="85" t="e">
        <f>D49+(VLOOKUP(J19,'DATOS %'!J174:W180,11,FALSE))*D49+(VLOOKUP(J19,'DATOS %'!J174:W180,12,FALSE))</f>
        <v>#DIV/0!</v>
      </c>
      <c r="E50" s="86" t="e">
        <f>E49+(VLOOKUP(J19,'DATOS %'!J174:W180,13,FALSE))*E49+(VLOOKUP(J19,'DATOS %'!J174:W180,14,FALSE))</f>
        <v>#DIV/0!</v>
      </c>
      <c r="G50" s="1341" t="s">
        <v>72</v>
      </c>
      <c r="H50" s="1342"/>
      <c r="I50" s="67">
        <v>1.2</v>
      </c>
      <c r="J50" s="66" t="s">
        <v>73</v>
      </c>
    </row>
    <row r="51" spans="1:21" s="46" customFormat="1" ht="15" customHeight="1" thickBot="1" x14ac:dyDescent="0.25">
      <c r="A51" s="47"/>
      <c r="B51" s="47"/>
      <c r="C51" s="47"/>
      <c r="D51" s="47"/>
      <c r="E51" s="47"/>
      <c r="F51" s="47"/>
      <c r="G51" s="47"/>
      <c r="H51" s="47"/>
      <c r="I51" s="47"/>
      <c r="J51" s="47"/>
      <c r="K51" s="48"/>
    </row>
    <row r="52" spans="1:21" s="48" customFormat="1" ht="31.5" customHeight="1" thickBot="1" x14ac:dyDescent="0.25">
      <c r="A52" s="1331" t="s">
        <v>40</v>
      </c>
      <c r="B52" s="1332"/>
      <c r="C52" s="1332"/>
      <c r="D52" s="1332"/>
      <c r="E52" s="1332"/>
      <c r="F52" s="1332"/>
      <c r="G52" s="1332"/>
      <c r="H52" s="1332"/>
      <c r="I52" s="1332"/>
      <c r="J52" s="1333"/>
    </row>
    <row r="53" spans="1:21" s="48" customFormat="1" ht="31.5" customHeight="1" x14ac:dyDescent="0.35">
      <c r="A53" s="47"/>
      <c r="B53" s="68" t="s">
        <v>41</v>
      </c>
      <c r="C53" s="69"/>
      <c r="D53" s="1345" t="s">
        <v>74</v>
      </c>
      <c r="E53" s="1345"/>
      <c r="F53" s="70" t="s">
        <v>42</v>
      </c>
      <c r="G53" s="71" t="s">
        <v>43</v>
      </c>
      <c r="H53" s="1346" t="s">
        <v>44</v>
      </c>
      <c r="I53" s="1347"/>
      <c r="J53" s="47"/>
    </row>
    <row r="54" spans="1:21" s="48" customFormat="1" ht="31.5" customHeight="1" thickBot="1" x14ac:dyDescent="0.25">
      <c r="A54" s="47"/>
      <c r="B54" s="72" t="e">
        <f>+C43</f>
        <v>#DIV/0!</v>
      </c>
      <c r="C54" s="73" t="s">
        <v>1</v>
      </c>
      <c r="D54" s="74" t="e">
        <f>+C10+C11/1000</f>
        <v>#N/A</v>
      </c>
      <c r="E54" s="73" t="s">
        <v>1</v>
      </c>
      <c r="F54" s="74" t="e">
        <f>+(I48-I50)*(1/H10-1/C13)</f>
        <v>#DIV/0!</v>
      </c>
      <c r="G54" s="75"/>
      <c r="H54" s="67" t="e">
        <f>+(B54+D54*F54)*1000</f>
        <v>#DIV/0!</v>
      </c>
      <c r="I54" s="66" t="s">
        <v>3</v>
      </c>
      <c r="J54" s="47"/>
      <c r="K54" s="46"/>
    </row>
    <row r="55" spans="1:21" s="46" customFormat="1" ht="15" customHeight="1" x14ac:dyDescent="0.2">
      <c r="A55" s="47"/>
      <c r="B55" s="47"/>
      <c r="C55" s="47"/>
      <c r="D55" s="47"/>
      <c r="E55" s="47"/>
      <c r="F55" s="47"/>
      <c r="G55" s="47"/>
      <c r="H55" s="47"/>
      <c r="I55" s="47"/>
      <c r="J55" s="47"/>
      <c r="K55" s="48"/>
    </row>
    <row r="56" spans="1:21" s="48" customFormat="1" ht="31.5" customHeight="1" x14ac:dyDescent="0.2">
      <c r="A56" s="1348" t="s">
        <v>45</v>
      </c>
      <c r="B56" s="1349"/>
      <c r="C56" s="1349"/>
      <c r="D56" s="1349"/>
      <c r="E56" s="1349"/>
      <c r="F56" s="1349"/>
      <c r="G56" s="1349"/>
      <c r="H56" s="1349"/>
      <c r="I56" s="1349"/>
      <c r="J56" s="1349"/>
      <c r="K56" s="46"/>
    </row>
    <row r="57" spans="1:21" s="46" customFormat="1" ht="15" customHeight="1" thickBot="1" x14ac:dyDescent="0.25">
      <c r="A57" s="47"/>
      <c r="B57" s="47"/>
      <c r="C57" s="47"/>
      <c r="D57" s="47"/>
      <c r="E57" s="47"/>
      <c r="K57" s="48"/>
    </row>
    <row r="58" spans="1:21" s="48" customFormat="1" ht="31.5" customHeight="1" thickBot="1" x14ac:dyDescent="0.25">
      <c r="A58" s="1350" t="s">
        <v>38</v>
      </c>
      <c r="B58" s="1351"/>
      <c r="C58" s="1352" t="s">
        <v>46</v>
      </c>
      <c r="D58" s="1353"/>
      <c r="E58" s="1354" t="s">
        <v>238</v>
      </c>
      <c r="F58" s="1379"/>
      <c r="G58" s="1061" t="s">
        <v>553</v>
      </c>
      <c r="J58" s="114"/>
      <c r="L58" s="46"/>
      <c r="Q58" s="47"/>
      <c r="R58" s="47"/>
      <c r="S58" s="47"/>
      <c r="T58" s="47"/>
      <c r="U58" s="47"/>
    </row>
    <row r="59" spans="1:21" s="48" customFormat="1" ht="57.95" customHeight="1" thickBot="1" x14ac:dyDescent="0.25">
      <c r="A59" s="1024" t="s">
        <v>47</v>
      </c>
      <c r="B59" s="1025"/>
      <c r="C59" s="1026" t="e">
        <f>+C44/B26^0.5*1000</f>
        <v>#DIV/0!</v>
      </c>
      <c r="D59" s="1017" t="s">
        <v>3</v>
      </c>
      <c r="E59" s="1027" t="s">
        <v>240</v>
      </c>
      <c r="F59" s="139">
        <f>$B$26-1</f>
        <v>3</v>
      </c>
      <c r="G59" s="1111" t="e">
        <f>(C59/$G$70)^2</f>
        <v>#DIV/0!</v>
      </c>
      <c r="H59" s="47"/>
      <c r="K59" s="156">
        <v>0.3</v>
      </c>
      <c r="L59" s="157">
        <v>1.65</v>
      </c>
      <c r="M59" s="113"/>
    </row>
    <row r="60" spans="1:21" s="48" customFormat="1" ht="57.95" customHeight="1" thickBot="1" x14ac:dyDescent="0.25">
      <c r="A60" s="1019" t="s">
        <v>343</v>
      </c>
      <c r="B60" s="1020" t="s">
        <v>48</v>
      </c>
      <c r="C60" s="1021" t="e">
        <f>+C12/2</f>
        <v>#N/A</v>
      </c>
      <c r="D60" s="1022" t="s">
        <v>3</v>
      </c>
      <c r="E60" s="1023" t="s">
        <v>239</v>
      </c>
      <c r="F60" s="146" t="s">
        <v>265</v>
      </c>
      <c r="G60" s="1112"/>
      <c r="H60" s="1380" t="s">
        <v>241</v>
      </c>
      <c r="I60" s="1356"/>
      <c r="J60" s="1356"/>
      <c r="K60" s="1356"/>
      <c r="L60" s="1356"/>
      <c r="M60" s="1357"/>
    </row>
    <row r="61" spans="1:21" s="48" customFormat="1" ht="57.95" customHeight="1" thickBot="1" x14ac:dyDescent="0.25">
      <c r="A61" s="1028" t="s">
        <v>344</v>
      </c>
      <c r="B61" s="1029"/>
      <c r="C61" s="1030" t="e">
        <f>+C12/3^0.5</f>
        <v>#N/A</v>
      </c>
      <c r="D61" s="1031" t="s">
        <v>3</v>
      </c>
      <c r="E61" s="1032" t="s">
        <v>239</v>
      </c>
      <c r="F61" s="147" t="s">
        <v>265</v>
      </c>
      <c r="G61" s="1112"/>
      <c r="H61" s="132" t="s">
        <v>243</v>
      </c>
      <c r="I61" s="149" t="e">
        <f>MAX(C59:C62,C66:C67,C68)</f>
        <v>#DIV/0!</v>
      </c>
      <c r="J61" s="151" t="e">
        <f>IF((I62)&lt;=(K59),"1,65","2")</f>
        <v>#DIV/0!</v>
      </c>
      <c r="K61" s="152" t="s">
        <v>242</v>
      </c>
      <c r="L61" s="153" t="s">
        <v>237</v>
      </c>
      <c r="M61" s="360" t="s">
        <v>328</v>
      </c>
    </row>
    <row r="62" spans="1:21" s="48" customFormat="1" ht="57.95" customHeight="1" thickBot="1" x14ac:dyDescent="0.3">
      <c r="A62" s="1024" t="s">
        <v>49</v>
      </c>
      <c r="B62" s="1035"/>
      <c r="C62" s="1036" t="e">
        <f>+SQRT(SUMSQ(C60:C61))</f>
        <v>#N/A</v>
      </c>
      <c r="D62" s="1017" t="s">
        <v>3</v>
      </c>
      <c r="E62" s="1037" t="s">
        <v>240</v>
      </c>
      <c r="F62" s="139">
        <v>200</v>
      </c>
      <c r="G62" s="1112" t="e">
        <f t="shared" ref="G62:G68" si="0">(C62/$G$70)^2</f>
        <v>#N/A</v>
      </c>
      <c r="H62" s="133" t="s">
        <v>244</v>
      </c>
      <c r="I62" s="150" t="e">
        <f>SQRT((C59)^2+(C66)^2+(C67)^2)/I61</f>
        <v>#DIV/0!</v>
      </c>
      <c r="J62" s="126"/>
      <c r="K62" s="154" t="s">
        <v>242</v>
      </c>
      <c r="L62" s="155" t="s">
        <v>252</v>
      </c>
      <c r="M62" s="361" t="s">
        <v>329</v>
      </c>
    </row>
    <row r="63" spans="1:21" s="48" customFormat="1" ht="57.95" customHeight="1" x14ac:dyDescent="0.2">
      <c r="A63" s="1019" t="s">
        <v>345</v>
      </c>
      <c r="B63" s="1020"/>
      <c r="C63" s="1033" t="e">
        <f>+I49</f>
        <v>#DIV/0!</v>
      </c>
      <c r="D63" s="1021" t="s">
        <v>73</v>
      </c>
      <c r="E63" s="1034" t="s">
        <v>239</v>
      </c>
      <c r="F63" s="146" t="s">
        <v>265</v>
      </c>
      <c r="G63" s="1112"/>
      <c r="L63" s="46"/>
      <c r="T63" s="46"/>
      <c r="U63" s="46"/>
    </row>
    <row r="64" spans="1:21" s="48" customFormat="1" ht="57.95" customHeight="1" x14ac:dyDescent="0.2">
      <c r="A64" s="426" t="s">
        <v>50</v>
      </c>
      <c r="B64" s="1018"/>
      <c r="C64" s="425" t="e">
        <f>+H11/2</f>
        <v>#N/A</v>
      </c>
      <c r="D64" s="424" t="s">
        <v>73</v>
      </c>
      <c r="E64" s="423" t="s">
        <v>239</v>
      </c>
      <c r="F64" s="148" t="s">
        <v>265</v>
      </c>
      <c r="G64" s="1112"/>
      <c r="H64" s="130"/>
      <c r="J64" s="130"/>
      <c r="K64" s="130"/>
      <c r="L64" s="130"/>
      <c r="M64" s="130"/>
      <c r="Q64" s="47"/>
      <c r="R64" s="47"/>
      <c r="S64" s="47"/>
      <c r="T64" s="47"/>
      <c r="U64" s="47"/>
    </row>
    <row r="65" spans="1:21" s="48" customFormat="1" ht="57.95" customHeight="1" thickBot="1" x14ac:dyDescent="0.25">
      <c r="A65" s="1028" t="s">
        <v>346</v>
      </c>
      <c r="B65" s="1038"/>
      <c r="C65" s="1039" t="e">
        <f>+C14/2</f>
        <v>#N/A</v>
      </c>
      <c r="D65" s="1031" t="s">
        <v>73</v>
      </c>
      <c r="E65" s="1040" t="s">
        <v>239</v>
      </c>
      <c r="F65" s="147" t="s">
        <v>265</v>
      </c>
      <c r="G65" s="1112"/>
      <c r="H65" s="130"/>
      <c r="I65" s="130"/>
      <c r="J65" s="130"/>
      <c r="K65" s="130"/>
      <c r="L65" s="130"/>
      <c r="M65" s="130"/>
      <c r="Q65" s="46"/>
      <c r="R65" s="46"/>
      <c r="S65" s="46"/>
      <c r="T65" s="46"/>
      <c r="U65" s="46"/>
    </row>
    <row r="66" spans="1:21" s="48" customFormat="1" ht="57.95" customHeight="1" thickBot="1" x14ac:dyDescent="0.3">
      <c r="A66" s="1024" t="s">
        <v>347</v>
      </c>
      <c r="B66" s="1035"/>
      <c r="C66" s="1036" t="e">
        <f>+SQRT(ABS(((C10/1000+C11/1000000)*(C13-H10)/(C13*H10)*C63)^2+((C10/1000+C11/1000000)*(I48-I50))^2*C64^2/H10^4+(C10/1000+C11/1000000)^2*(I48-I50)*((I48-I50)-2*(C15-I50))*C65^2/C13^4))*1000000</f>
        <v>#N/A</v>
      </c>
      <c r="D66" s="1051" t="s">
        <v>3</v>
      </c>
      <c r="E66" s="1037" t="s">
        <v>240</v>
      </c>
      <c r="F66" s="139">
        <v>200</v>
      </c>
      <c r="G66" s="1112" t="e">
        <f t="shared" si="0"/>
        <v>#N/A</v>
      </c>
      <c r="H66" s="130"/>
      <c r="I66" s="1093" t="s">
        <v>554</v>
      </c>
      <c r="J66" s="1095" t="s">
        <v>556</v>
      </c>
      <c r="K66" s="1094" t="s">
        <v>555</v>
      </c>
      <c r="L66" s="130"/>
      <c r="M66" s="130"/>
      <c r="Q66" s="47"/>
      <c r="R66" s="47"/>
      <c r="S66" s="47"/>
      <c r="T66" s="47"/>
      <c r="U66" s="47"/>
    </row>
    <row r="67" spans="1:21" s="48" customFormat="1" ht="57.95" customHeight="1" thickBot="1" x14ac:dyDescent="0.3">
      <c r="A67" s="1047" t="s">
        <v>52</v>
      </c>
      <c r="B67" s="1048"/>
      <c r="C67" s="1049" t="e">
        <f>+(G15/2/3^0.5)*2^0.5*1000</f>
        <v>#N/A</v>
      </c>
      <c r="D67" s="1044" t="s">
        <v>3</v>
      </c>
      <c r="E67" s="1045" t="s">
        <v>239</v>
      </c>
      <c r="F67" s="1050">
        <v>200</v>
      </c>
      <c r="G67" s="1112" t="e">
        <f t="shared" si="0"/>
        <v>#N/A</v>
      </c>
      <c r="H67" s="130"/>
      <c r="I67" s="1096" t="e">
        <f>G70^4/((C59^4/F59)+(C62^4/F62)+(C66^4/F66)+(C67^4/F67)+(C68^4/F68))</f>
        <v>#DIV/0!</v>
      </c>
      <c r="J67" s="1097" t="e">
        <f>TINV(0.05,I67)</f>
        <v>#DIV/0!</v>
      </c>
      <c r="K67" s="1098" t="e">
        <f>1-TDIST(J67,I67,2)</f>
        <v>#DIV/0!</v>
      </c>
      <c r="L67" s="130"/>
      <c r="M67" s="130"/>
    </row>
    <row r="68" spans="1:21" s="46" customFormat="1" ht="65.25" customHeight="1" thickBot="1" x14ac:dyDescent="0.3">
      <c r="A68" s="1041" t="s">
        <v>551</v>
      </c>
      <c r="B68" s="1042"/>
      <c r="C68" s="1043">
        <f>0.01/SQRT(45)</f>
        <v>1.4907119849998597E-3</v>
      </c>
      <c r="D68" s="1044" t="s">
        <v>3</v>
      </c>
      <c r="E68" s="1045" t="s">
        <v>240</v>
      </c>
      <c r="F68" s="1046">
        <v>50</v>
      </c>
      <c r="G68" s="1113" t="e">
        <f t="shared" si="0"/>
        <v>#DIV/0!</v>
      </c>
      <c r="H68" s="130"/>
      <c r="I68" s="130"/>
      <c r="J68" s="130"/>
      <c r="K68" s="130"/>
      <c r="L68" s="130"/>
      <c r="M68" s="130"/>
      <c r="S68" s="48"/>
      <c r="T68" s="48"/>
      <c r="U68" s="48"/>
    </row>
    <row r="69" spans="1:21" s="46" customFormat="1" ht="65.25" customHeight="1" thickBot="1" x14ac:dyDescent="0.25">
      <c r="A69" s="130"/>
      <c r="B69" s="130"/>
      <c r="C69" s="130"/>
      <c r="D69" s="130"/>
      <c r="E69" s="130"/>
      <c r="F69" s="130"/>
      <c r="G69" s="1114" t="e">
        <f>SUM(G59,G62,G66,G67,G68)</f>
        <v>#DIV/0!</v>
      </c>
      <c r="H69" s="130"/>
      <c r="I69" s="130"/>
      <c r="J69" s="130"/>
      <c r="K69" s="130"/>
      <c r="L69" s="130"/>
      <c r="M69" s="130"/>
      <c r="S69" s="48"/>
      <c r="T69" s="48"/>
      <c r="U69" s="48"/>
    </row>
    <row r="70" spans="1:21" s="106" customFormat="1" ht="51.75" customHeight="1" thickBot="1" x14ac:dyDescent="0.3">
      <c r="D70" s="1306" t="s">
        <v>51</v>
      </c>
      <c r="E70" s="1307"/>
      <c r="F70" s="134"/>
      <c r="G70" s="140" t="e">
        <f>+SQRT(SUMSQ(C59,C62,C66,C67,C68))</f>
        <v>#DIV/0!</v>
      </c>
      <c r="H70" s="136" t="s">
        <v>3</v>
      </c>
      <c r="K70" s="130"/>
      <c r="L70" s="130"/>
      <c r="M70" s="130"/>
      <c r="S70" s="48"/>
      <c r="T70" s="48"/>
      <c r="U70" s="48"/>
    </row>
    <row r="71" spans="1:21" s="106" customFormat="1" ht="35.1" customHeight="1" thickBot="1" x14ac:dyDescent="0.25">
      <c r="D71" s="1306" t="s">
        <v>53</v>
      </c>
      <c r="E71" s="1307"/>
      <c r="F71" s="135"/>
      <c r="G71" s="140" t="e">
        <f>+G70*2</f>
        <v>#DIV/0!</v>
      </c>
      <c r="H71" s="137" t="s">
        <v>3</v>
      </c>
      <c r="K71" s="110"/>
      <c r="L71" s="107"/>
      <c r="O71" s="48"/>
      <c r="P71" s="48"/>
      <c r="Q71" s="48"/>
      <c r="R71" s="48"/>
      <c r="S71" s="48"/>
      <c r="T71" s="48"/>
      <c r="U71" s="48"/>
    </row>
    <row r="72" spans="1:21" s="106" customFormat="1" ht="33.75" customHeight="1" thickBot="1" x14ac:dyDescent="4.45">
      <c r="B72" s="1313" t="s">
        <v>54</v>
      </c>
      <c r="C72" s="1314"/>
      <c r="D72" s="1314"/>
      <c r="E72" s="1314"/>
      <c r="F72" s="1314"/>
      <c r="G72" s="1314"/>
      <c r="H72" s="1314"/>
      <c r="I72" s="1314"/>
      <c r="J72" s="1314"/>
      <c r="K72" s="1315"/>
      <c r="L72" s="117"/>
      <c r="O72" s="48"/>
      <c r="P72" s="48"/>
      <c r="Q72" s="48"/>
      <c r="R72" s="48"/>
      <c r="S72" s="48"/>
      <c r="T72" s="48"/>
      <c r="U72" s="48"/>
    </row>
    <row r="73" spans="1:21" s="106" customFormat="1" ht="35.1" customHeight="1" thickBot="1" x14ac:dyDescent="0.25">
      <c r="B73" s="1368" t="s">
        <v>255</v>
      </c>
      <c r="C73" s="1369"/>
      <c r="D73" s="1369"/>
      <c r="E73" s="1370"/>
      <c r="F73" s="79"/>
      <c r="G73" s="80"/>
      <c r="H73" s="1371"/>
      <c r="I73" s="1372"/>
      <c r="J73" s="1372"/>
      <c r="K73" s="1373"/>
      <c r="O73" s="48"/>
      <c r="P73" s="48"/>
      <c r="Q73" s="48"/>
      <c r="R73" s="48"/>
      <c r="S73" s="48"/>
      <c r="T73" s="48"/>
      <c r="U73" s="48"/>
    </row>
    <row r="74" spans="1:21" s="106" customFormat="1" ht="40.5" customHeight="1" x14ac:dyDescent="0.2">
      <c r="B74" s="118"/>
      <c r="C74" s="362" t="s">
        <v>348</v>
      </c>
      <c r="D74" s="119" t="s">
        <v>253</v>
      </c>
      <c r="E74" s="120"/>
      <c r="F74" s="1358"/>
      <c r="G74" s="1358"/>
      <c r="H74" s="1359" t="s">
        <v>266</v>
      </c>
      <c r="I74" s="1381" t="s">
        <v>254</v>
      </c>
      <c r="J74" s="1381"/>
      <c r="K74" s="1382"/>
      <c r="O74" s="48"/>
      <c r="P74" s="48"/>
      <c r="Q74" s="48"/>
      <c r="R74" s="48"/>
      <c r="S74" s="48"/>
      <c r="T74" s="48"/>
      <c r="U74" s="48"/>
    </row>
    <row r="75" spans="1:21" s="106" customFormat="1" ht="35.1" customHeight="1" x14ac:dyDescent="0.2">
      <c r="B75" s="81" t="e">
        <f>C10</f>
        <v>#N/A</v>
      </c>
      <c r="C75" s="77" t="e">
        <f>C11</f>
        <v>#N/A</v>
      </c>
      <c r="D75" s="78" t="e">
        <f>H54</f>
        <v>#DIV/0!</v>
      </c>
      <c r="E75" s="216" t="e">
        <f>B75+(C75/1000)+(D75/1000)</f>
        <v>#N/A</v>
      </c>
      <c r="F75" s="264" t="e">
        <f>E75*1000-B75*1000</f>
        <v>#N/A</v>
      </c>
      <c r="G75" s="61"/>
      <c r="H75" s="1360"/>
      <c r="I75" s="1054" t="e">
        <f>G71</f>
        <v>#DIV/0!</v>
      </c>
      <c r="J75" s="1364"/>
      <c r="K75" s="1365"/>
      <c r="O75" s="48"/>
      <c r="P75" s="48"/>
      <c r="Q75" s="48"/>
      <c r="R75" s="48"/>
      <c r="S75" s="48"/>
      <c r="T75" s="48"/>
      <c r="U75" s="48"/>
    </row>
    <row r="76" spans="1:21" s="106" customFormat="1" ht="35.1" customHeight="1" thickBot="1" x14ac:dyDescent="0.25">
      <c r="B76" s="87" t="e">
        <f>B75</f>
        <v>#N/A</v>
      </c>
      <c r="C76" s="88" t="e">
        <f>C75</f>
        <v>#N/A</v>
      </c>
      <c r="D76" s="88" t="e">
        <f>D75</f>
        <v>#DIV/0!</v>
      </c>
      <c r="E76" s="217" t="e">
        <f>B76+(C76/1000)+(D76/1000)</f>
        <v>#N/A</v>
      </c>
      <c r="F76" s="283" t="e">
        <f>F75/1000</f>
        <v>#N/A</v>
      </c>
      <c r="G76" s="89"/>
      <c r="H76" s="1361"/>
      <c r="I76" s="284" t="e">
        <f>I75/1000</f>
        <v>#DIV/0!</v>
      </c>
      <c r="J76" s="1366"/>
      <c r="K76" s="1367"/>
      <c r="O76" s="48"/>
      <c r="P76" s="48"/>
      <c r="Q76" s="48"/>
      <c r="R76" s="48"/>
      <c r="S76" s="48"/>
      <c r="T76" s="48"/>
      <c r="U76" s="48"/>
    </row>
    <row r="77" spans="1:21" s="106" customFormat="1" ht="35.1" customHeight="1" x14ac:dyDescent="0.2">
      <c r="G77" s="47"/>
      <c r="H77" s="47"/>
      <c r="I77" s="47"/>
      <c r="J77" s="47"/>
      <c r="O77" s="48"/>
      <c r="P77" s="48"/>
      <c r="Q77" s="48"/>
      <c r="R77" s="48"/>
      <c r="S77" s="48"/>
      <c r="T77" s="48"/>
      <c r="U77" s="48"/>
    </row>
    <row r="78" spans="1:21" s="106" customFormat="1" ht="35.1" customHeight="1" x14ac:dyDescent="0.2">
      <c r="G78" s="47"/>
      <c r="H78" s="47"/>
      <c r="I78" s="47"/>
      <c r="J78" s="47"/>
      <c r="O78" s="48"/>
      <c r="P78" s="48"/>
      <c r="Q78" s="48"/>
      <c r="R78" s="48"/>
      <c r="S78" s="48"/>
      <c r="T78" s="48"/>
      <c r="U78" s="48"/>
    </row>
    <row r="79" spans="1:21" s="106" customFormat="1" ht="35.1" customHeight="1" x14ac:dyDescent="0.2">
      <c r="G79" s="47"/>
      <c r="H79" s="47"/>
      <c r="I79" s="47"/>
      <c r="J79" s="47"/>
    </row>
    <row r="80" spans="1:21" s="107" customFormat="1" ht="35.1" customHeight="1" x14ac:dyDescent="0.2">
      <c r="A80" s="109"/>
      <c r="B80" s="106"/>
      <c r="C80" s="106"/>
      <c r="D80" s="106"/>
      <c r="E80" s="106"/>
      <c r="F80" s="106"/>
      <c r="G80" s="47"/>
      <c r="H80" s="47"/>
    </row>
    <row r="81" spans="2:11" s="111" customFormat="1" ht="35.1" customHeight="1" x14ac:dyDescent="0.2">
      <c r="B81" s="106"/>
      <c r="C81" s="106"/>
      <c r="D81" s="106"/>
      <c r="E81" s="106"/>
      <c r="F81" s="106"/>
      <c r="G81" s="47"/>
      <c r="H81" s="47"/>
    </row>
    <row r="82" spans="2:11" s="106" customFormat="1" ht="61.5" customHeight="1" x14ac:dyDescent="0.2">
      <c r="H82" s="111"/>
      <c r="I82" s="111"/>
      <c r="J82" s="111"/>
      <c r="K82" s="108"/>
    </row>
    <row r="83" spans="2:11" s="106" customFormat="1" ht="35.1" customHeight="1" x14ac:dyDescent="0.2">
      <c r="G83" s="111"/>
      <c r="H83" s="111"/>
      <c r="I83" s="111"/>
      <c r="J83" s="111"/>
      <c r="K83" s="108"/>
    </row>
    <row r="84" spans="2:11" s="106" customFormat="1" ht="35.1" customHeight="1" x14ac:dyDescent="0.2">
      <c r="G84" s="111"/>
      <c r="H84" s="111"/>
      <c r="I84" s="111"/>
      <c r="J84" s="111"/>
      <c r="K84" s="108"/>
    </row>
    <row r="85" spans="2:11" s="106" customFormat="1" ht="35.1" customHeight="1" x14ac:dyDescent="0.2">
      <c r="F85" s="107"/>
      <c r="K85" s="108"/>
    </row>
    <row r="86" spans="2:11" s="106" customFormat="1" ht="50.1" customHeight="1" x14ac:dyDescent="0.2"/>
    <row r="87" spans="2:11" s="106" customFormat="1" ht="57.75" customHeight="1" x14ac:dyDescent="0.2">
      <c r="C87" s="112"/>
      <c r="D87" s="112"/>
      <c r="E87" s="112"/>
    </row>
    <row r="88" spans="2:11" s="106" customFormat="1" ht="35.1" customHeight="1" x14ac:dyDescent="0.2"/>
    <row r="89" spans="2:11" s="106" customFormat="1" ht="35.1" customHeight="1" x14ac:dyDescent="0.2">
      <c r="F89" s="108"/>
      <c r="G89" s="108"/>
      <c r="H89" s="108"/>
      <c r="I89" s="108"/>
      <c r="J89" s="108"/>
    </row>
    <row r="90" spans="2:11" s="106" customFormat="1" ht="35.1" customHeight="1" x14ac:dyDescent="0.2"/>
    <row r="91" spans="2:11" s="106" customFormat="1" ht="50.1" customHeight="1" x14ac:dyDescent="0.2">
      <c r="J91" s="47"/>
    </row>
    <row r="92" spans="2:11" s="106" customFormat="1" ht="55.5" customHeight="1" x14ac:dyDescent="0.2">
      <c r="J92" s="111"/>
    </row>
    <row r="93" spans="2:11" s="106" customFormat="1" ht="50.1" customHeight="1" x14ac:dyDescent="0.2">
      <c r="J93" s="111"/>
    </row>
    <row r="94" spans="2:11" s="107" customFormat="1" ht="31.5" customHeight="1" x14ac:dyDescent="0.2">
      <c r="J94" s="111"/>
    </row>
    <row r="95" spans="2:11" s="106" customFormat="1" ht="35.1" customHeight="1" x14ac:dyDescent="0.2">
      <c r="G95" s="111"/>
      <c r="H95" s="111"/>
      <c r="I95" s="111"/>
      <c r="J95" s="111"/>
    </row>
    <row r="96" spans="2:11" s="106" customFormat="1" ht="35.1" customHeight="1" x14ac:dyDescent="0.2">
      <c r="G96" s="111"/>
      <c r="H96" s="111"/>
      <c r="I96" s="111"/>
      <c r="J96" s="111"/>
    </row>
    <row r="97" spans="1:12" s="106" customFormat="1" ht="9.9499999999999993" customHeight="1" x14ac:dyDescent="0.2">
      <c r="G97" s="108"/>
      <c r="H97" s="108"/>
      <c r="I97" s="108"/>
      <c r="J97" s="108"/>
    </row>
    <row r="98" spans="1:12" s="106" customFormat="1" ht="35.1" customHeight="1" x14ac:dyDescent="0.2">
      <c r="J98" s="108"/>
      <c r="K98" s="108"/>
      <c r="L98" s="108"/>
    </row>
    <row r="99" spans="1:12" s="46" customFormat="1" ht="15" customHeight="1" x14ac:dyDescent="0.2">
      <c r="A99" s="47"/>
      <c r="G99" s="47"/>
      <c r="H99" s="47"/>
      <c r="I99" s="47"/>
      <c r="J99" s="47"/>
      <c r="K99" s="48"/>
    </row>
    <row r="100" spans="1:12" s="48" customFormat="1" ht="31.5" customHeight="1" x14ac:dyDescent="0.2">
      <c r="A100" s="47"/>
      <c r="B100" s="47"/>
      <c r="C100" s="47"/>
      <c r="D100" s="47"/>
      <c r="E100" s="47"/>
      <c r="F100" s="47"/>
      <c r="G100" s="47"/>
      <c r="H100" s="47"/>
      <c r="I100" s="47"/>
      <c r="J100" s="47"/>
    </row>
    <row r="101" spans="1:12" s="48" customFormat="1" ht="31.5" customHeight="1" x14ac:dyDescent="0.2"/>
    <row r="102" spans="1:12" s="48" customFormat="1" ht="31.5" customHeight="1" x14ac:dyDescent="0.2"/>
    <row r="103" spans="1:12" s="48" customFormat="1" ht="52.5" customHeight="1" x14ac:dyDescent="0.2"/>
    <row r="104" spans="1:12" s="48" customFormat="1" ht="31.5" customHeight="1" x14ac:dyDescent="0.2">
      <c r="K104" s="8"/>
    </row>
    <row r="105" spans="1:12" s="48" customFormat="1" ht="31.5" customHeight="1" x14ac:dyDescent="0.2">
      <c r="K105" s="8"/>
    </row>
    <row r="106" spans="1:12" ht="31.5" customHeight="1" x14ac:dyDescent="0.2">
      <c r="G106" s="76"/>
    </row>
    <row r="107" spans="1:12" ht="51" customHeight="1" x14ac:dyDescent="0.2"/>
    <row r="109" spans="1:12" ht="31.5" customHeight="1" x14ac:dyDescent="0.2">
      <c r="B109" s="29"/>
      <c r="C109" s="29"/>
      <c r="D109" s="29"/>
      <c r="E109" s="29"/>
      <c r="F109" s="29"/>
      <c r="G109" s="29"/>
      <c r="H109" s="29"/>
      <c r="I109" s="29"/>
      <c r="J109" s="29"/>
    </row>
    <row r="110" spans="1:12" ht="31.5" customHeight="1" x14ac:dyDescent="0.2">
      <c r="B110" s="29"/>
      <c r="C110" s="29"/>
      <c r="D110" s="29"/>
      <c r="E110" s="29"/>
      <c r="F110" s="29"/>
      <c r="G110" s="29"/>
      <c r="H110" s="29"/>
      <c r="I110" s="29"/>
      <c r="J110" s="29"/>
    </row>
    <row r="111" spans="1:12" ht="31.5" customHeight="1" x14ac:dyDescent="0.2">
      <c r="B111" s="29"/>
      <c r="C111" s="29"/>
      <c r="D111" s="29"/>
      <c r="E111" s="29"/>
      <c r="F111" s="29"/>
      <c r="G111" s="29"/>
      <c r="H111" s="29"/>
      <c r="I111" s="29"/>
      <c r="J111" s="29"/>
    </row>
    <row r="112" spans="1:12" ht="31.5" customHeight="1" x14ac:dyDescent="0.2">
      <c r="B112" s="29"/>
      <c r="C112" s="29"/>
      <c r="D112" s="29"/>
      <c r="E112" s="29"/>
      <c r="F112" s="29"/>
      <c r="G112" s="29"/>
      <c r="H112" s="29"/>
      <c r="I112" s="29"/>
      <c r="J112" s="29"/>
    </row>
    <row r="113" spans="2:10" ht="31.5" customHeight="1" x14ac:dyDescent="0.2">
      <c r="B113" s="29"/>
      <c r="C113" s="29"/>
      <c r="D113" s="29"/>
      <c r="E113" s="29"/>
      <c r="F113" s="29"/>
      <c r="G113" s="29"/>
      <c r="H113" s="29"/>
      <c r="I113" s="29"/>
      <c r="J113" s="29"/>
    </row>
    <row r="114" spans="2:10" ht="31.5" customHeight="1" x14ac:dyDescent="0.2">
      <c r="B114" s="29"/>
      <c r="C114" s="29"/>
      <c r="D114" s="29"/>
      <c r="E114" s="29"/>
      <c r="F114" s="29"/>
      <c r="G114" s="29"/>
      <c r="H114" s="29"/>
      <c r="I114" s="29"/>
      <c r="J114" s="29"/>
    </row>
    <row r="115" spans="2:10" ht="31.5" customHeight="1" x14ac:dyDescent="0.2">
      <c r="B115" s="29"/>
      <c r="C115" s="29"/>
      <c r="D115" s="29"/>
      <c r="E115" s="29"/>
      <c r="F115" s="29"/>
      <c r="G115" s="29"/>
      <c r="H115" s="29"/>
      <c r="I115" s="29"/>
      <c r="J115" s="29"/>
    </row>
  </sheetData>
  <sheetProtection password="CF5C" sheet="1" objects="1" scenarios="1"/>
  <mergeCells count="62">
    <mergeCell ref="D70:E70"/>
    <mergeCell ref="D71:E71"/>
    <mergeCell ref="B72:K72"/>
    <mergeCell ref="B73:E73"/>
    <mergeCell ref="H73:K73"/>
    <mergeCell ref="F74:G74"/>
    <mergeCell ref="H74:H76"/>
    <mergeCell ref="I74:K74"/>
    <mergeCell ref="J75:K75"/>
    <mergeCell ref="J76:K76"/>
    <mergeCell ref="A56:J56"/>
    <mergeCell ref="A58:B58"/>
    <mergeCell ref="C58:D58"/>
    <mergeCell ref="E58:F58"/>
    <mergeCell ref="H60:M60"/>
    <mergeCell ref="A50:B50"/>
    <mergeCell ref="G50:H50"/>
    <mergeCell ref="A52:J52"/>
    <mergeCell ref="D53:E53"/>
    <mergeCell ref="H53:I53"/>
    <mergeCell ref="A49:B49"/>
    <mergeCell ref="G49:H49"/>
    <mergeCell ref="A28:A31"/>
    <mergeCell ref="C33:D33"/>
    <mergeCell ref="F33:G33"/>
    <mergeCell ref="A36:J36"/>
    <mergeCell ref="B38:F38"/>
    <mergeCell ref="H38:J38"/>
    <mergeCell ref="H39:J42"/>
    <mergeCell ref="A46:J46"/>
    <mergeCell ref="A47:B48"/>
    <mergeCell ref="C47:E47"/>
    <mergeCell ref="G48:H48"/>
    <mergeCell ref="A27:B27"/>
    <mergeCell ref="G27:H27"/>
    <mergeCell ref="A14:B14"/>
    <mergeCell ref="A15:B15"/>
    <mergeCell ref="A16:B16"/>
    <mergeCell ref="C16:D16"/>
    <mergeCell ref="A18:J18"/>
    <mergeCell ref="F19:G19"/>
    <mergeCell ref="J19:J20"/>
    <mergeCell ref="A20:B20"/>
    <mergeCell ref="E20:F20"/>
    <mergeCell ref="A22:J22"/>
    <mergeCell ref="C24:D24"/>
    <mergeCell ref="F24:G24"/>
    <mergeCell ref="C26:F26"/>
    <mergeCell ref="G26:H26"/>
    <mergeCell ref="A13:B13"/>
    <mergeCell ref="F13:I13"/>
    <mergeCell ref="A1:B1"/>
    <mergeCell ref="C1:M1"/>
    <mergeCell ref="I3:J4"/>
    <mergeCell ref="A6:D6"/>
    <mergeCell ref="F6:I6"/>
    <mergeCell ref="F9:G9"/>
    <mergeCell ref="A10:B10"/>
    <mergeCell ref="F10:G10"/>
    <mergeCell ref="A11:B11"/>
    <mergeCell ref="F11:G11"/>
    <mergeCell ref="A12:B12"/>
  </mergeCells>
  <printOptions horizontalCentered="1"/>
  <pageMargins left="0.70866141732283472" right="0.70866141732283472" top="0.74803149606299213" bottom="0.74803149606299213" header="0.31496062992125984" footer="0.31496062992125984"/>
  <pageSetup scale="13" orientation="portrait" r:id="rId1"/>
  <headerFooter>
    <oddHeader xml:space="preserve">&amp;C
&amp;16   
</oddHeader>
    <oddFooter xml:space="preserve">&amp;RRT03-F13 Vr.14 (2021-05-21)
</oddFooter>
  </headerFooter>
  <rowBreaks count="1" manualBreakCount="1">
    <brk id="34" max="12" man="1"/>
  </rowBreaks>
  <drawing r:id="rId2"/>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1800-000000000000}">
          <x14:formula1>
            <xm:f>'DATOS %'!$V$161:$V$165</xm:f>
          </x14:formula1>
          <xm:sqref>H25</xm:sqref>
        </x14:dataValidation>
        <x14:dataValidation type="list" allowBlank="1" showInputMessage="1" showErrorMessage="1" xr:uid="{00000000-0002-0000-1800-000001000000}">
          <x14:formula1>
            <xm:f>'DATOS %'!$V$120:$V$126</xm:f>
          </x14:formula1>
          <xm:sqref>J13</xm:sqref>
        </x14:dataValidation>
        <x14:dataValidation type="list" allowBlank="1" showInputMessage="1" showErrorMessage="1" xr:uid="{00000000-0002-0000-1800-000002000000}">
          <x14:formula1>
            <xm:f>'DATOS %'!$N$29:$N$113</xm:f>
          </x14:formula1>
          <xm:sqref>E6</xm:sqref>
        </x14:dataValidation>
        <x14:dataValidation type="list" allowBlank="1" showInputMessage="1" showErrorMessage="1" xr:uid="{00000000-0002-0000-1800-000003000000}">
          <x14:formula1>
            <xm:f>'DATOS %'!$N$121:$N$166</xm:f>
          </x14:formula1>
          <xm:sqref>F48</xm:sqref>
        </x14:dataValidation>
        <x14:dataValidation type="list" allowBlank="1" showInputMessage="1" showErrorMessage="1" xr:uid="{00000000-0002-0000-1800-000004000000}">
          <x14:formula1>
            <xm:f>'DATOS %'!$J$174:$J$179</xm:f>
          </x14:formula1>
          <xm:sqref>J19:J20</xm:sqref>
        </x14:dataValidation>
        <x14:dataValidation type="list" allowBlank="1" showInputMessage="1" showErrorMessage="1" xr:uid="{00000000-0002-0000-1800-000005000000}">
          <x14:formula1>
            <xm:f>'DATOS %'!$B$7:$B$40</xm:f>
          </x14:formula1>
          <xm:sqref>I3:J4</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U115"/>
  <sheetViews>
    <sheetView showGridLines="0" view="pageBreakPreview" zoomScale="80" zoomScaleNormal="60" zoomScaleSheetLayoutView="80" workbookViewId="0">
      <selection activeCell="C65" sqref="C65"/>
    </sheetView>
  </sheetViews>
  <sheetFormatPr baseColWidth="10" defaultColWidth="11.42578125" defaultRowHeight="31.5" customHeight="1" x14ac:dyDescent="0.2"/>
  <cols>
    <col min="1" max="1" width="14.7109375" style="37" customWidth="1"/>
    <col min="2" max="2" width="12" style="37" customWidth="1"/>
    <col min="3" max="3" width="15.7109375" style="37" customWidth="1"/>
    <col min="4" max="4" width="17" style="37" customWidth="1"/>
    <col min="5" max="5" width="15.5703125" style="37" customWidth="1"/>
    <col min="6" max="6" width="18.5703125" style="37" customWidth="1"/>
    <col min="7" max="7" width="15.7109375" style="37" customWidth="1"/>
    <col min="8" max="8" width="24.42578125" style="37" bestFit="1" customWidth="1"/>
    <col min="9" max="9" width="13.85546875" style="37" bestFit="1" customWidth="1"/>
    <col min="10" max="10" width="13.7109375" style="37" customWidth="1"/>
    <col min="11" max="19" width="11.42578125" style="8"/>
    <col min="20" max="20" width="15.85546875" style="8" bestFit="1" customWidth="1"/>
    <col min="21" max="21" width="14.42578125" style="8" bestFit="1" customWidth="1"/>
    <col min="22" max="16384" width="11.42578125" style="8"/>
  </cols>
  <sheetData>
    <row r="1" spans="1:16" ht="60" customHeight="1" thickBot="1" x14ac:dyDescent="0.25">
      <c r="A1" s="1257"/>
      <c r="B1" s="1258"/>
      <c r="C1" s="1259" t="s">
        <v>57</v>
      </c>
      <c r="D1" s="1260"/>
      <c r="E1" s="1260"/>
      <c r="F1" s="1260"/>
      <c r="G1" s="1260"/>
      <c r="H1" s="1260"/>
      <c r="I1" s="1260"/>
      <c r="J1" s="1260"/>
      <c r="K1" s="1260"/>
      <c r="L1" s="1260"/>
      <c r="M1" s="1261"/>
      <c r="N1" s="7"/>
      <c r="O1" s="7"/>
      <c r="P1" s="7"/>
    </row>
    <row r="2" spans="1:16" s="11" customFormat="1" ht="9.75" customHeight="1" thickBot="1" x14ac:dyDescent="0.25">
      <c r="A2" s="9"/>
      <c r="B2" s="9"/>
      <c r="C2" s="10"/>
      <c r="D2" s="10"/>
      <c r="E2" s="10"/>
      <c r="F2" s="10"/>
      <c r="G2" s="10"/>
      <c r="H2" s="10"/>
      <c r="K2" s="12"/>
      <c r="M2" s="7"/>
    </row>
    <row r="3" spans="1:16" s="12" customFormat="1" ht="35.25" customHeight="1" thickBot="1" x14ac:dyDescent="0.25">
      <c r="A3" s="13" t="s">
        <v>17</v>
      </c>
      <c r="B3" s="14" t="s">
        <v>55</v>
      </c>
      <c r="C3" s="15" t="s">
        <v>209</v>
      </c>
      <c r="D3" s="15" t="s">
        <v>56</v>
      </c>
      <c r="E3" s="15" t="s">
        <v>8</v>
      </c>
      <c r="F3" s="16" t="s">
        <v>18</v>
      </c>
      <c r="G3" s="16" t="s">
        <v>297</v>
      </c>
      <c r="H3" s="17" t="s">
        <v>24</v>
      </c>
      <c r="I3" s="1262"/>
      <c r="J3" s="1263"/>
      <c r="K3" s="11"/>
      <c r="M3" s="7"/>
    </row>
    <row r="4" spans="1:16" s="11" customFormat="1" ht="32.25" customHeight="1" thickBot="1" x14ac:dyDescent="0.25">
      <c r="A4" s="18" t="e">
        <f>VLOOKUP($I$3,'DATOS %'!B7:J40,2,FALSE)</f>
        <v>#N/A</v>
      </c>
      <c r="B4" s="212" t="e">
        <f>VLOOKUP($I$3,'DATOS %'!$B$7:$J$40,3,FALSE)</f>
        <v>#N/A</v>
      </c>
      <c r="C4" s="19" t="e">
        <f>VLOOKUP($I$3,'DATOS %'!$B$7:$J$40,8,FALSE)</f>
        <v>#N/A</v>
      </c>
      <c r="D4" s="19" t="e">
        <f>VLOOKUP($I$3,'DATOS %'!$B$7:$J$40,6,FALSE)</f>
        <v>#N/A</v>
      </c>
      <c r="E4" s="212" t="e">
        <f>VLOOKUP($I$3,'DATOS %'!$B$7:$J$40,7,FALSE)</f>
        <v>#N/A</v>
      </c>
      <c r="F4" s="18" t="e">
        <f>VLOOKUP($I$3,'DATOS %'!$B$7:$J$40,4,FALSE)</f>
        <v>#N/A</v>
      </c>
      <c r="G4" s="18" t="e">
        <f>VLOOKUP($I$3,'DATOS %'!$B$7:$J$40,5,FALSE)</f>
        <v>#N/A</v>
      </c>
      <c r="H4" s="19" t="e">
        <f>VLOOKUP($I$3,'DATOS %'!$B$7:$J$40,9,FALSE)</f>
        <v>#N/A</v>
      </c>
      <c r="I4" s="1264"/>
      <c r="J4" s="1265"/>
      <c r="K4" s="8"/>
      <c r="L4" s="20"/>
      <c r="M4" s="20"/>
    </row>
    <row r="5" spans="1:16" s="22" customFormat="1" ht="6.75" customHeight="1" thickBot="1" x14ac:dyDescent="0.25">
      <c r="A5" s="21"/>
      <c r="B5" s="21"/>
      <c r="C5" s="21"/>
      <c r="F5" s="21"/>
      <c r="G5" s="21"/>
      <c r="H5" s="21"/>
      <c r="K5" s="8"/>
    </row>
    <row r="6" spans="1:16" ht="31.5" customHeight="1" thickBot="1" x14ac:dyDescent="0.25">
      <c r="A6" s="1266" t="s">
        <v>19</v>
      </c>
      <c r="B6" s="1267"/>
      <c r="C6" s="1267"/>
      <c r="D6" s="1268"/>
      <c r="E6" s="4"/>
      <c r="F6" s="1266" t="s">
        <v>20</v>
      </c>
      <c r="G6" s="1267"/>
      <c r="H6" s="1267"/>
      <c r="I6" s="1268"/>
      <c r="J6" s="402">
        <f>I3</f>
        <v>0</v>
      </c>
    </row>
    <row r="7" spans="1:16" ht="31.5" customHeight="1" x14ac:dyDescent="0.2">
      <c r="A7" s="23" t="s">
        <v>21</v>
      </c>
      <c r="B7" s="24" t="e">
        <f>VLOOKUP($E$6,'DATOS %'!N11:AA113,2,FALSE)</f>
        <v>#N/A</v>
      </c>
      <c r="C7" s="25" t="s">
        <v>10</v>
      </c>
      <c r="D7" s="26" t="e">
        <f>VLOOKUP($E$6,'DATOS %'!N11:AA113,3,FALSE)</f>
        <v>#N/A</v>
      </c>
      <c r="E7" s="27"/>
      <c r="F7" s="23" t="s">
        <v>21</v>
      </c>
      <c r="G7" s="24" t="e">
        <f>VLOOKUP($J$6,'DATOS %'!B47:I79,2,FALSE)</f>
        <v>#N/A</v>
      </c>
      <c r="H7" s="28" t="s">
        <v>10</v>
      </c>
      <c r="I7" s="26" t="e">
        <f>VLOOKUP($J$6,'DATOS %'!B47:I79,3,FALSE)</f>
        <v>#N/A</v>
      </c>
      <c r="J7" s="29"/>
    </row>
    <row r="8" spans="1:16" ht="31.5" customHeight="1" x14ac:dyDescent="0.2">
      <c r="A8" s="30" t="s">
        <v>22</v>
      </c>
      <c r="B8" s="31" t="e">
        <f>VLOOKUP($E$6,'DATOS %'!N11:AA113,4,FALSE)</f>
        <v>#N/A</v>
      </c>
      <c r="C8" s="32" t="s">
        <v>23</v>
      </c>
      <c r="D8" s="33" t="e">
        <f>VLOOKUP($E$6,'DATOS %'!N11:AA113,5,FALSE)</f>
        <v>#N/A</v>
      </c>
      <c r="E8" s="27"/>
      <c r="F8" s="30" t="s">
        <v>22</v>
      </c>
      <c r="G8" s="31" t="e">
        <f>VLOOKUP($J$6,'DATOS %'!B47:I79,4,FALSE)</f>
        <v>#N/A</v>
      </c>
      <c r="H8" s="32" t="s">
        <v>23</v>
      </c>
      <c r="I8" s="297" t="e">
        <f>VLOOKUP($J$6,'DATOS %'!B47:I79,5,FALSE)</f>
        <v>#N/A</v>
      </c>
      <c r="J8" s="29"/>
    </row>
    <row r="9" spans="1:16" ht="31.5" customHeight="1" x14ac:dyDescent="0.2">
      <c r="A9" s="34" t="s">
        <v>24</v>
      </c>
      <c r="B9" s="31" t="e">
        <f>VLOOKUP($E$6,'DATOS %'!N11:AA113,6,FALSE)</f>
        <v>#N/A</v>
      </c>
      <c r="C9" s="35" t="s">
        <v>15</v>
      </c>
      <c r="D9" s="36" t="e">
        <f>VLOOKUP($E$6,'DATOS %'!N11:AA113,7,FALSE)</f>
        <v>#N/A</v>
      </c>
      <c r="F9" s="1252" t="s">
        <v>62</v>
      </c>
      <c r="G9" s="1253"/>
      <c r="H9" s="31" t="e">
        <f>VLOOKUP($J$6,'DATOS %'!B47:I79,6,FALSE)</f>
        <v>#N/A</v>
      </c>
      <c r="I9" s="33" t="s">
        <v>1</v>
      </c>
      <c r="J9" s="29"/>
      <c r="K9" s="208"/>
    </row>
    <row r="10" spans="1:16" s="38" customFormat="1" ht="31.5" customHeight="1" x14ac:dyDescent="0.25">
      <c r="A10" s="1252" t="s">
        <v>63</v>
      </c>
      <c r="B10" s="1253"/>
      <c r="C10" s="223" t="e">
        <f>VLOOKUP($E$6,'DATOS %'!N11:AA113,8,FALSE)</f>
        <v>#N/A</v>
      </c>
      <c r="D10" s="33" t="s">
        <v>1</v>
      </c>
      <c r="F10" s="1252" t="s">
        <v>64</v>
      </c>
      <c r="G10" s="1253"/>
      <c r="H10" s="213" t="e">
        <f>VLOOKUP($J$6,'DATOS %'!B47:I79,7,FALSE)</f>
        <v>#N/A</v>
      </c>
      <c r="I10" s="33" t="s">
        <v>76</v>
      </c>
      <c r="J10" s="39"/>
    </row>
    <row r="11" spans="1:16" s="38" customFormat="1" ht="31.5" customHeight="1" thickBot="1" x14ac:dyDescent="0.3">
      <c r="A11" s="1252" t="s">
        <v>65</v>
      </c>
      <c r="B11" s="1253"/>
      <c r="C11" s="31" t="e">
        <f>VLOOKUP($E$6,'DATOS %'!N11:AA113,9,FALSE)</f>
        <v>#N/A</v>
      </c>
      <c r="D11" s="33" t="s">
        <v>3</v>
      </c>
      <c r="E11" s="40"/>
      <c r="F11" s="1271" t="s">
        <v>66</v>
      </c>
      <c r="G11" s="1272"/>
      <c r="H11" s="41" t="e">
        <f>VLOOKUP($J$6,'DATOS %'!B47:I79,8,FALSE)</f>
        <v>#N/A</v>
      </c>
      <c r="I11" s="45" t="s">
        <v>76</v>
      </c>
      <c r="J11" s="39"/>
    </row>
    <row r="12" spans="1:16" s="38" customFormat="1" ht="31.5" customHeight="1" thickBot="1" x14ac:dyDescent="0.3">
      <c r="A12" s="1252" t="s">
        <v>67</v>
      </c>
      <c r="B12" s="1253"/>
      <c r="C12" s="31" t="e">
        <f>VLOOKUP($E$6,'DATOS %'!N11:AA113,10,FALSE)</f>
        <v>#N/A</v>
      </c>
      <c r="D12" s="33" t="s">
        <v>3</v>
      </c>
      <c r="E12" s="39"/>
      <c r="F12" s="39"/>
      <c r="G12" s="39"/>
      <c r="H12" s="39"/>
    </row>
    <row r="13" spans="1:16" s="38" customFormat="1" ht="31.5" customHeight="1" thickBot="1" x14ac:dyDescent="0.3">
      <c r="A13" s="1252" t="s">
        <v>68</v>
      </c>
      <c r="B13" s="1253"/>
      <c r="C13" s="213" t="e">
        <f>VLOOKUP($E$6,'DATOS %'!N11:AA113,11,FALSE)</f>
        <v>#N/A</v>
      </c>
      <c r="D13" s="33" t="s">
        <v>76</v>
      </c>
      <c r="E13" s="39"/>
      <c r="F13" s="1254" t="s">
        <v>559</v>
      </c>
      <c r="G13" s="1255"/>
      <c r="H13" s="1255"/>
      <c r="I13" s="1256"/>
      <c r="J13" s="5"/>
    </row>
    <row r="14" spans="1:16" s="38" customFormat="1" ht="31.5" customHeight="1" x14ac:dyDescent="0.2">
      <c r="A14" s="1252" t="s">
        <v>305</v>
      </c>
      <c r="B14" s="1253"/>
      <c r="C14" s="31" t="e">
        <f>VLOOKUP($E$6,'DATOS %'!N11:AA113,12,FALSE)</f>
        <v>#N/A</v>
      </c>
      <c r="D14" s="33" t="s">
        <v>76</v>
      </c>
      <c r="E14" s="39"/>
      <c r="F14" s="23" t="s">
        <v>10</v>
      </c>
      <c r="G14" s="24" t="e">
        <f>VLOOKUP($J$13,'DATOS %'!$V$119:$Y$126,2,FALSE)</f>
        <v>#N/A</v>
      </c>
      <c r="H14" s="28" t="s">
        <v>22</v>
      </c>
      <c r="I14" s="24" t="e">
        <f>VLOOKUP($J$13,'DATOS %'!$V$119:$Z$126,3,FALSE)</f>
        <v>#N/A</v>
      </c>
      <c r="J14" s="42"/>
      <c r="K14" s="8"/>
    </row>
    <row r="15" spans="1:16" ht="31.5" customHeight="1" thickBot="1" x14ac:dyDescent="0.25">
      <c r="A15" s="1277" t="s">
        <v>69</v>
      </c>
      <c r="B15" s="1278"/>
      <c r="C15" s="31" t="e">
        <f>VLOOKUP($E$6,'DATOS %'!N11:AA113,13,FALSE)</f>
        <v>#N/A</v>
      </c>
      <c r="D15" s="33" t="s">
        <v>76</v>
      </c>
      <c r="E15" s="29"/>
      <c r="F15" s="43" t="s">
        <v>61</v>
      </c>
      <c r="G15" s="41" t="e">
        <f>VLOOKUP($J$13,'DATOS %'!$V$119:$Y$126,4,FALSE)</f>
        <v>#N/A</v>
      </c>
      <c r="H15" s="41" t="s">
        <v>1</v>
      </c>
      <c r="I15" s="238" t="s">
        <v>210</v>
      </c>
      <c r="J15" s="45" t="e">
        <f>VLOOKUP($J$13,'DATOS %'!$V$119:$Z$126,5,FALSE)</f>
        <v>#N/A</v>
      </c>
      <c r="K15" s="22"/>
    </row>
    <row r="16" spans="1:16" ht="30.95" customHeight="1" thickBot="1" x14ac:dyDescent="0.25">
      <c r="A16" s="1279" t="s">
        <v>210</v>
      </c>
      <c r="B16" s="1280"/>
      <c r="C16" s="1281" t="e">
        <f>VLOOKUP($E$6,'DATOS %'!N11:AA113,14,FALSE)</f>
        <v>#N/A</v>
      </c>
      <c r="D16" s="1282"/>
      <c r="E16" s="29"/>
      <c r="F16" s="8"/>
      <c r="G16" s="8"/>
      <c r="H16" s="8"/>
      <c r="I16" s="8"/>
      <c r="J16" s="8"/>
    </row>
    <row r="17" spans="1:11" s="22" customFormat="1" ht="30.95" customHeight="1" thickBot="1" x14ac:dyDescent="0.25">
      <c r="A17" s="29"/>
      <c r="B17" s="29"/>
      <c r="C17" s="29"/>
      <c r="D17" s="29"/>
      <c r="E17" s="29"/>
      <c r="F17" s="29"/>
      <c r="G17" s="29"/>
      <c r="H17" s="29"/>
      <c r="I17" s="29"/>
      <c r="J17" s="29"/>
      <c r="K17" s="8"/>
    </row>
    <row r="18" spans="1:11" ht="31.5" customHeight="1" thickBot="1" x14ac:dyDescent="0.25">
      <c r="A18" s="1331" t="s">
        <v>26</v>
      </c>
      <c r="B18" s="1332"/>
      <c r="C18" s="1332"/>
      <c r="D18" s="1332"/>
      <c r="E18" s="1332"/>
      <c r="F18" s="1332"/>
      <c r="G18" s="1332"/>
      <c r="H18" s="1332"/>
      <c r="I18" s="1332"/>
      <c r="J18" s="1333"/>
    </row>
    <row r="19" spans="1:11" ht="46.5" customHeight="1" thickBot="1" x14ac:dyDescent="0.25">
      <c r="A19" s="407" t="s">
        <v>10</v>
      </c>
      <c r="B19" s="101" t="e">
        <f>VLOOKUP(J19,'DATOS %'!J174:W180,2,FALSE)</f>
        <v>#N/A</v>
      </c>
      <c r="C19" s="95" t="s">
        <v>7</v>
      </c>
      <c r="D19" s="408" t="e">
        <f>VLOOKUP(J19,'DATOS %'!J174:W180,3,FALSE)</f>
        <v>#N/A</v>
      </c>
      <c r="E19" s="409" t="s">
        <v>24</v>
      </c>
      <c r="F19" s="1286" t="e">
        <f>VLOOKUP(J19,'DATOS %'!J174:W180,5,FALSE)</f>
        <v>#N/A</v>
      </c>
      <c r="G19" s="1287"/>
      <c r="H19" s="95" t="s">
        <v>25</v>
      </c>
      <c r="I19" s="212" t="e">
        <f>VLOOKUP(J19,'DATOS %'!J174:W180,4,FALSE)</f>
        <v>#N/A</v>
      </c>
      <c r="J19" s="1374"/>
    </row>
    <row r="20" spans="1:11" ht="31.5" customHeight="1" thickBot="1" x14ac:dyDescent="0.25">
      <c r="A20" s="1290" t="s">
        <v>316</v>
      </c>
      <c r="B20" s="1291"/>
      <c r="C20" s="94" t="s">
        <v>27</v>
      </c>
      <c r="D20" s="101" t="e">
        <f>VLOOKUP(J19,'DATOS %'!J174:W180,6,FALSE)</f>
        <v>#N/A</v>
      </c>
      <c r="E20" s="1292" t="s">
        <v>307</v>
      </c>
      <c r="F20" s="1293"/>
      <c r="G20" s="101" t="e">
        <f>VLOOKUP(J19,'DATOS %'!J174:W180,7,FALSE)</f>
        <v>#N/A</v>
      </c>
      <c r="H20" s="95" t="s">
        <v>9</v>
      </c>
      <c r="I20" s="214" t="e">
        <f>VLOOKUP(J19,'DATOS %'!J174:W180,8,FALSE)</f>
        <v>#N/A</v>
      </c>
      <c r="J20" s="1289"/>
    </row>
    <row r="21" spans="1:11" s="46" customFormat="1" ht="15" customHeight="1" thickBot="1" x14ac:dyDescent="0.25">
      <c r="A21" s="47"/>
      <c r="B21" s="47"/>
      <c r="C21" s="47"/>
      <c r="D21" s="47"/>
      <c r="E21" s="47"/>
      <c r="F21" s="47"/>
      <c r="G21" s="47"/>
      <c r="H21" s="47"/>
      <c r="I21" s="47"/>
      <c r="J21" s="47"/>
      <c r="K21" s="8"/>
    </row>
    <row r="22" spans="1:11" s="48" customFormat="1" ht="31.5" customHeight="1" thickBot="1" x14ac:dyDescent="0.25">
      <c r="A22" s="1294" t="s">
        <v>28</v>
      </c>
      <c r="B22" s="1295"/>
      <c r="C22" s="1295"/>
      <c r="D22" s="1295"/>
      <c r="E22" s="1295"/>
      <c r="F22" s="1295"/>
      <c r="G22" s="1295"/>
      <c r="H22" s="1295"/>
      <c r="I22" s="1295"/>
      <c r="J22" s="1296"/>
      <c r="K22" s="47"/>
    </row>
    <row r="23" spans="1:11" s="47" customFormat="1" ht="2.25" customHeight="1" thickBot="1" x14ac:dyDescent="0.25">
      <c r="A23" s="49"/>
      <c r="B23" s="50"/>
      <c r="C23" s="50"/>
      <c r="D23" s="50"/>
      <c r="E23" s="50"/>
      <c r="F23" s="50"/>
      <c r="G23" s="50"/>
      <c r="H23" s="50"/>
      <c r="I23" s="50"/>
      <c r="J23" s="51"/>
      <c r="K23" s="48"/>
    </row>
    <row r="24" spans="1:11" s="48" customFormat="1" ht="31.5" customHeight="1" thickBot="1" x14ac:dyDescent="0.25">
      <c r="A24" s="52" t="s">
        <v>29</v>
      </c>
      <c r="B24" s="916"/>
      <c r="C24" s="1297" t="s">
        <v>27</v>
      </c>
      <c r="D24" s="1298"/>
      <c r="E24" s="1"/>
      <c r="F24" s="1684" t="s">
        <v>307</v>
      </c>
      <c r="G24" s="1685"/>
      <c r="H24" s="2"/>
      <c r="I24" s="972" t="s">
        <v>9</v>
      </c>
      <c r="J24" s="215"/>
      <c r="K24" s="46"/>
    </row>
    <row r="25" spans="1:11" s="46" customFormat="1" ht="15" customHeight="1" thickBot="1" x14ac:dyDescent="0.25">
      <c r="A25" s="47"/>
      <c r="B25" s="47"/>
      <c r="C25" s="47"/>
      <c r="D25" s="47"/>
      <c r="E25" s="47"/>
      <c r="F25" s="47"/>
      <c r="G25" s="47"/>
      <c r="H25" s="6"/>
      <c r="I25" s="47"/>
      <c r="K25" s="48"/>
    </row>
    <row r="26" spans="1:11" s="48" customFormat="1" ht="29.25" customHeight="1" thickBot="1" x14ac:dyDescent="0.25">
      <c r="A26" s="115" t="s">
        <v>129</v>
      </c>
      <c r="B26" s="105">
        <v>4</v>
      </c>
      <c r="C26" s="1301" t="s">
        <v>30</v>
      </c>
      <c r="D26" s="1302"/>
      <c r="E26" s="1302"/>
      <c r="F26" s="1303"/>
      <c r="G26" s="1304" t="s">
        <v>211</v>
      </c>
      <c r="H26" s="1305"/>
    </row>
    <row r="27" spans="1:11" s="48" customFormat="1" ht="31.5" customHeight="1" thickBot="1" x14ac:dyDescent="0.25">
      <c r="A27" s="1273" t="s">
        <v>31</v>
      </c>
      <c r="B27" s="1274"/>
      <c r="C27" s="237">
        <v>1</v>
      </c>
      <c r="D27" s="237">
        <v>2</v>
      </c>
      <c r="E27" s="237">
        <v>3</v>
      </c>
      <c r="F27" s="129">
        <v>4</v>
      </c>
      <c r="G27" s="1275" t="e">
        <f>VLOOKUP($H$25,'DATOS %'!$V$161:$AA$165,2,FALSE)</f>
        <v>#N/A</v>
      </c>
      <c r="H27" s="1276"/>
    </row>
    <row r="28" spans="1:11" s="48" customFormat="1" ht="31.5" customHeight="1" x14ac:dyDescent="0.2">
      <c r="A28" s="1310" t="s">
        <v>32</v>
      </c>
      <c r="B28" s="141" t="s">
        <v>0</v>
      </c>
      <c r="C28" s="142"/>
      <c r="D28" s="142"/>
      <c r="E28" s="142"/>
      <c r="F28" s="143"/>
      <c r="G28" s="47"/>
      <c r="H28" s="47"/>
      <c r="I28" s="47"/>
      <c r="J28" s="47"/>
    </row>
    <row r="29" spans="1:11" s="48" customFormat="1" ht="31.5" customHeight="1" x14ac:dyDescent="0.2">
      <c r="A29" s="1311"/>
      <c r="B29" s="104" t="s">
        <v>2</v>
      </c>
      <c r="C29" s="291"/>
      <c r="D29" s="291"/>
      <c r="E29" s="291"/>
      <c r="F29" s="292"/>
      <c r="G29" s="47"/>
      <c r="H29" s="47"/>
      <c r="I29" s="47"/>
      <c r="J29" s="47"/>
    </row>
    <row r="30" spans="1:11" s="48" customFormat="1" ht="31.5" customHeight="1" x14ac:dyDescent="0.2">
      <c r="A30" s="1311"/>
      <c r="B30" s="104" t="s">
        <v>2</v>
      </c>
      <c r="C30" s="291"/>
      <c r="D30" s="291"/>
      <c r="E30" s="291"/>
      <c r="F30" s="292"/>
      <c r="G30" s="47"/>
      <c r="H30" s="47"/>
      <c r="I30" s="47"/>
      <c r="J30" s="47"/>
    </row>
    <row r="31" spans="1:11" s="48" customFormat="1" ht="31.5" customHeight="1" thickBot="1" x14ac:dyDescent="0.25">
      <c r="A31" s="1312"/>
      <c r="B31" s="53" t="s">
        <v>0</v>
      </c>
      <c r="C31" s="293"/>
      <c r="D31" s="293"/>
      <c r="E31" s="293"/>
      <c r="F31" s="294"/>
      <c r="G31" s="47"/>
      <c r="H31" s="47"/>
      <c r="I31" s="47"/>
      <c r="J31" s="47"/>
      <c r="K31" s="46"/>
    </row>
    <row r="32" spans="1:11" s="46" customFormat="1" ht="15" customHeight="1" thickBot="1" x14ac:dyDescent="0.25">
      <c r="A32" s="47"/>
      <c r="B32" s="47"/>
      <c r="C32" s="47"/>
      <c r="D32" s="47"/>
      <c r="E32" s="47"/>
      <c r="F32" s="47"/>
      <c r="G32" s="47"/>
      <c r="H32" s="47"/>
      <c r="I32" s="47"/>
      <c r="J32" s="47"/>
      <c r="K32" s="48"/>
    </row>
    <row r="33" spans="1:11" s="48" customFormat="1" ht="31.5" customHeight="1" thickBot="1" x14ac:dyDescent="0.25">
      <c r="A33" s="54" t="s">
        <v>33</v>
      </c>
      <c r="B33" s="916"/>
      <c r="C33" s="1297" t="s">
        <v>27</v>
      </c>
      <c r="D33" s="1298"/>
      <c r="E33" s="1"/>
      <c r="F33" s="1684" t="s">
        <v>307</v>
      </c>
      <c r="G33" s="1685"/>
      <c r="H33" s="2"/>
      <c r="I33" s="973" t="s">
        <v>9</v>
      </c>
      <c r="J33" s="3"/>
      <c r="K33" s="46"/>
    </row>
    <row r="34" spans="1:11" s="46" customFormat="1" ht="12" customHeight="1" x14ac:dyDescent="0.2">
      <c r="A34" s="55"/>
      <c r="B34" s="55"/>
      <c r="C34" s="55"/>
      <c r="D34" s="55"/>
      <c r="E34" s="55"/>
      <c r="F34" s="55"/>
      <c r="G34" s="55"/>
      <c r="H34" s="55"/>
      <c r="I34" s="55"/>
      <c r="J34" s="55"/>
      <c r="K34" s="48"/>
    </row>
    <row r="35" spans="1:11" s="48" customFormat="1" ht="15" customHeight="1" thickBot="1" x14ac:dyDescent="0.25">
      <c r="A35" s="56"/>
      <c r="B35" s="56"/>
      <c r="C35" s="56"/>
      <c r="D35" s="56"/>
      <c r="E35" s="56"/>
      <c r="F35" s="56"/>
      <c r="G35" s="56"/>
      <c r="H35" s="56"/>
      <c r="I35" s="56"/>
      <c r="J35" s="56"/>
    </row>
    <row r="36" spans="1:11" s="48" customFormat="1" ht="32.25" customHeight="1" thickBot="1" x14ac:dyDescent="0.25">
      <c r="A36" s="1294" t="s">
        <v>34</v>
      </c>
      <c r="B36" s="1295"/>
      <c r="C36" s="1295"/>
      <c r="D36" s="1295"/>
      <c r="E36" s="1295"/>
      <c r="F36" s="1295"/>
      <c r="G36" s="1295"/>
      <c r="H36" s="1295"/>
      <c r="I36" s="1295"/>
      <c r="J36" s="1296"/>
    </row>
    <row r="37" spans="1:11" s="48" customFormat="1" ht="3.75" customHeight="1" thickBot="1" x14ac:dyDescent="0.25">
      <c r="A37" s="55"/>
      <c r="B37" s="47"/>
      <c r="C37" s="47"/>
      <c r="D37" s="47"/>
      <c r="E37" s="47"/>
      <c r="F37" s="47"/>
      <c r="G37" s="47"/>
      <c r="H37" s="47"/>
      <c r="I37" s="47"/>
      <c r="J37" s="55"/>
    </row>
    <row r="38" spans="1:11" s="48" customFormat="1" ht="31.5" customHeight="1" thickBot="1" x14ac:dyDescent="0.25">
      <c r="A38" s="47"/>
      <c r="B38" s="1316" t="s">
        <v>35</v>
      </c>
      <c r="C38" s="1317"/>
      <c r="D38" s="1317"/>
      <c r="E38" s="1317"/>
      <c r="F38" s="1318"/>
      <c r="G38" s="47"/>
      <c r="H38" s="1319" t="s">
        <v>236</v>
      </c>
      <c r="I38" s="1320"/>
      <c r="J38" s="1321"/>
    </row>
    <row r="39" spans="1:11" s="48" customFormat="1" ht="31.5" customHeight="1" thickBot="1" x14ac:dyDescent="0.25">
      <c r="A39" s="47"/>
      <c r="B39" s="57" t="s">
        <v>31</v>
      </c>
      <c r="C39" s="203">
        <v>1</v>
      </c>
      <c r="D39" s="141">
        <v>2</v>
      </c>
      <c r="E39" s="141">
        <v>3</v>
      </c>
      <c r="F39" s="204">
        <v>4</v>
      </c>
      <c r="G39" s="47"/>
      <c r="H39" s="1322"/>
      <c r="I39" s="1323"/>
      <c r="J39" s="1324"/>
    </row>
    <row r="40" spans="1:11" s="48" customFormat="1" ht="31.5" customHeight="1" x14ac:dyDescent="0.2">
      <c r="A40" s="58"/>
      <c r="B40" s="59"/>
      <c r="C40" s="121" t="e">
        <f>+AVERAGE(C28,C31)</f>
        <v>#DIV/0!</v>
      </c>
      <c r="D40" s="122" t="e">
        <f>+AVERAGE(D28,D31)</f>
        <v>#DIV/0!</v>
      </c>
      <c r="E40" s="122" t="e">
        <f>+AVERAGE(E28,E31)</f>
        <v>#DIV/0!</v>
      </c>
      <c r="F40" s="205" t="e">
        <f>+AVERAGE(F28,F31)</f>
        <v>#DIV/0!</v>
      </c>
      <c r="G40" s="47"/>
      <c r="H40" s="1325"/>
      <c r="I40" s="1326"/>
      <c r="J40" s="1327"/>
    </row>
    <row r="41" spans="1:11" s="48" customFormat="1" ht="31.5" customHeight="1" x14ac:dyDescent="0.2">
      <c r="A41" s="58"/>
      <c r="B41" s="60"/>
      <c r="C41" s="123" t="e">
        <f>+AVERAGE(C29:C30)</f>
        <v>#DIV/0!</v>
      </c>
      <c r="D41" s="61" t="e">
        <f>+AVERAGE(D29:D30)</f>
        <v>#DIV/0!</v>
      </c>
      <c r="E41" s="61" t="e">
        <f>+AVERAGE(E29:E30)</f>
        <v>#DIV/0!</v>
      </c>
      <c r="F41" s="206" t="e">
        <f>+AVERAGE(F29:F30)</f>
        <v>#DIV/0!</v>
      </c>
      <c r="G41" s="47"/>
      <c r="H41" s="1325"/>
      <c r="I41" s="1326"/>
      <c r="J41" s="1327"/>
    </row>
    <row r="42" spans="1:11" s="48" customFormat="1" ht="31.5" customHeight="1" thickBot="1" x14ac:dyDescent="0.25">
      <c r="A42" s="58"/>
      <c r="B42" s="62"/>
      <c r="C42" s="124" t="e">
        <f>+C41-C40</f>
        <v>#DIV/0!</v>
      </c>
      <c r="D42" s="125" t="e">
        <f>+D41-D40</f>
        <v>#DIV/0!</v>
      </c>
      <c r="E42" s="125" t="e">
        <f>+E41-E40</f>
        <v>#DIV/0!</v>
      </c>
      <c r="F42" s="207" t="e">
        <f>+F41-F40</f>
        <v>#DIV/0!</v>
      </c>
      <c r="G42" s="47"/>
      <c r="H42" s="1328"/>
      <c r="I42" s="1329"/>
      <c r="J42" s="1330"/>
    </row>
    <row r="43" spans="1:11" s="48" customFormat="1" ht="31.5" customHeight="1" thickBot="1" x14ac:dyDescent="0.25">
      <c r="A43" s="47"/>
      <c r="B43" s="63" t="s">
        <v>36</v>
      </c>
      <c r="C43" s="286" t="e">
        <f>+AVERAGE(C42:F42)</f>
        <v>#DIV/0!</v>
      </c>
      <c r="D43" s="47"/>
      <c r="E43" s="47"/>
      <c r="F43" s="47"/>
      <c r="G43" s="47"/>
      <c r="H43" s="47"/>
      <c r="I43" s="47"/>
      <c r="J43" s="47"/>
    </row>
    <row r="44" spans="1:11" s="48" customFormat="1" ht="31.5" customHeight="1" thickBot="1" x14ac:dyDescent="0.25">
      <c r="A44" s="47"/>
      <c r="B44" s="64" t="s">
        <v>77</v>
      </c>
      <c r="C44" s="415" t="e">
        <f>+STDEV(C42:F42)</f>
        <v>#DIV/0!</v>
      </c>
      <c r="D44" s="47"/>
      <c r="E44" s="47"/>
      <c r="F44" s="47"/>
      <c r="G44" s="47"/>
      <c r="H44" s="47"/>
      <c r="I44" s="47"/>
      <c r="J44" s="47"/>
      <c r="K44" s="46"/>
    </row>
    <row r="45" spans="1:11" s="46" customFormat="1" ht="15" customHeight="1" thickBot="1" x14ac:dyDescent="0.25">
      <c r="A45" s="47"/>
      <c r="B45" s="47"/>
      <c r="C45" s="47"/>
      <c r="D45" s="47"/>
      <c r="E45" s="47"/>
      <c r="F45" s="47"/>
      <c r="G45" s="65"/>
      <c r="H45" s="47"/>
      <c r="I45" s="47"/>
      <c r="J45" s="47"/>
      <c r="K45" s="48"/>
    </row>
    <row r="46" spans="1:11" s="48" customFormat="1" ht="31.5" customHeight="1" thickBot="1" x14ac:dyDescent="0.25">
      <c r="A46" s="1331" t="s">
        <v>37</v>
      </c>
      <c r="B46" s="1332"/>
      <c r="C46" s="1284"/>
      <c r="D46" s="1284"/>
      <c r="E46" s="1284"/>
      <c r="F46" s="1332"/>
      <c r="G46" s="1332"/>
      <c r="H46" s="1332"/>
      <c r="I46" s="1332"/>
      <c r="J46" s="1333"/>
    </row>
    <row r="47" spans="1:11" s="48" customFormat="1" ht="31.5" customHeight="1" thickBot="1" x14ac:dyDescent="0.25">
      <c r="A47" s="1375" t="s">
        <v>321</v>
      </c>
      <c r="B47" s="1376"/>
      <c r="C47" s="1338" t="s">
        <v>38</v>
      </c>
      <c r="D47" s="1339"/>
      <c r="E47" s="1340"/>
      <c r="F47" s="47"/>
      <c r="G47" s="47"/>
      <c r="H47" s="47"/>
      <c r="I47" s="47"/>
      <c r="J47" s="47"/>
    </row>
    <row r="48" spans="1:11" s="48" customFormat="1" ht="36.75" customHeight="1" thickBot="1" x14ac:dyDescent="0.25">
      <c r="A48" s="1377"/>
      <c r="B48" s="1378"/>
      <c r="C48" s="82" t="s">
        <v>27</v>
      </c>
      <c r="D48" s="93" t="s">
        <v>307</v>
      </c>
      <c r="E48" s="83" t="s">
        <v>9</v>
      </c>
      <c r="G48" s="1341" t="s">
        <v>70</v>
      </c>
      <c r="H48" s="1342"/>
      <c r="I48" s="102" t="e">
        <f>+(0.34848*E50-0.009*D50*EXP(0.061*C50))/(273.15+C50)</f>
        <v>#DIV/0!</v>
      </c>
      <c r="J48" s="103" t="s">
        <v>73</v>
      </c>
    </row>
    <row r="49" spans="1:21" s="48" customFormat="1" ht="33" customHeight="1" thickBot="1" x14ac:dyDescent="0.25">
      <c r="A49" s="1306" t="s">
        <v>39</v>
      </c>
      <c r="B49" s="1307"/>
      <c r="C49" s="90" t="e">
        <f>+AVERAGE(E33,E24)</f>
        <v>#DIV/0!</v>
      </c>
      <c r="D49" s="91" t="e">
        <f>+AVERAGE(H33,H24)</f>
        <v>#DIV/0!</v>
      </c>
      <c r="E49" s="92" t="e">
        <f>+AVERAGE(J33,J24)</f>
        <v>#DIV/0!</v>
      </c>
      <c r="G49" s="1308" t="s">
        <v>71</v>
      </c>
      <c r="H49" s="1309"/>
      <c r="I49" s="422" t="e">
        <f>I48*((0.0001)^2+(0.001*I20/2)^2+(-0.0034*D20/2)^2+(-0.01*G20/2)^2)^0.5</f>
        <v>#DIV/0!</v>
      </c>
      <c r="J49" s="66" t="s">
        <v>73</v>
      </c>
    </row>
    <row r="50" spans="1:21" s="48" customFormat="1" ht="36.75" customHeight="1" thickBot="1" x14ac:dyDescent="0.25">
      <c r="A50" s="1343" t="s">
        <v>322</v>
      </c>
      <c r="B50" s="1344"/>
      <c r="C50" s="84" t="e">
        <f>C49+(VLOOKUP(J19,'DATOS %'!J174:W180,9,FALSE))*C49+(VLOOKUP(J19,'DATOS %'!J174:W180,10,FALSE))</f>
        <v>#DIV/0!</v>
      </c>
      <c r="D50" s="85" t="e">
        <f>D49+(VLOOKUP(J19,'DATOS %'!J174:W180,11,FALSE))*D49+(VLOOKUP(J19,'DATOS %'!J174:W180,12,FALSE))</f>
        <v>#DIV/0!</v>
      </c>
      <c r="E50" s="86" t="e">
        <f>E49+(VLOOKUP(J19,'DATOS %'!J174:W180,13,FALSE))*E49+(VLOOKUP(J19,'DATOS %'!J174:W180,14,FALSE))</f>
        <v>#DIV/0!</v>
      </c>
      <c r="G50" s="1341" t="s">
        <v>72</v>
      </c>
      <c r="H50" s="1342"/>
      <c r="I50" s="67">
        <v>1.2</v>
      </c>
      <c r="J50" s="66" t="s">
        <v>73</v>
      </c>
    </row>
    <row r="51" spans="1:21" s="46" customFormat="1" ht="15" customHeight="1" thickBot="1" x14ac:dyDescent="0.25">
      <c r="A51" s="47"/>
      <c r="B51" s="47"/>
      <c r="C51" s="47"/>
      <c r="D51" s="47"/>
      <c r="E51" s="47"/>
      <c r="F51" s="47"/>
      <c r="G51" s="47"/>
      <c r="H51" s="47"/>
      <c r="I51" s="47"/>
      <c r="J51" s="47"/>
      <c r="K51" s="48"/>
    </row>
    <row r="52" spans="1:21" s="48" customFormat="1" ht="31.5" customHeight="1" thickBot="1" x14ac:dyDescent="0.25">
      <c r="A52" s="1331" t="s">
        <v>40</v>
      </c>
      <c r="B52" s="1332"/>
      <c r="C52" s="1332"/>
      <c r="D52" s="1332"/>
      <c r="E52" s="1332"/>
      <c r="F52" s="1332"/>
      <c r="G52" s="1332"/>
      <c r="H52" s="1332"/>
      <c r="I52" s="1332"/>
      <c r="J52" s="1333"/>
    </row>
    <row r="53" spans="1:21" s="48" customFormat="1" ht="31.5" customHeight="1" x14ac:dyDescent="0.35">
      <c r="A53" s="47"/>
      <c r="B53" s="68" t="s">
        <v>41</v>
      </c>
      <c r="C53" s="69"/>
      <c r="D53" s="1345" t="s">
        <v>74</v>
      </c>
      <c r="E53" s="1345"/>
      <c r="F53" s="70" t="s">
        <v>42</v>
      </c>
      <c r="G53" s="71" t="s">
        <v>43</v>
      </c>
      <c r="H53" s="1346" t="s">
        <v>44</v>
      </c>
      <c r="I53" s="1347"/>
      <c r="J53" s="47"/>
    </row>
    <row r="54" spans="1:21" s="48" customFormat="1" ht="31.5" customHeight="1" thickBot="1" x14ac:dyDescent="0.25">
      <c r="A54" s="47"/>
      <c r="B54" s="72" t="e">
        <f>+C43</f>
        <v>#DIV/0!</v>
      </c>
      <c r="C54" s="73" t="s">
        <v>1</v>
      </c>
      <c r="D54" s="74" t="e">
        <f>+C10+C11/1000</f>
        <v>#N/A</v>
      </c>
      <c r="E54" s="73" t="s">
        <v>1</v>
      </c>
      <c r="F54" s="74" t="e">
        <f>+(I48-I50)*(1/H10-1/C13)</f>
        <v>#DIV/0!</v>
      </c>
      <c r="G54" s="75"/>
      <c r="H54" s="67" t="e">
        <f>+(B54+D54*F54)*1000</f>
        <v>#DIV/0!</v>
      </c>
      <c r="I54" s="66" t="s">
        <v>3</v>
      </c>
      <c r="J54" s="47"/>
      <c r="K54" s="46"/>
    </row>
    <row r="55" spans="1:21" s="46" customFormat="1" ht="15" customHeight="1" x14ac:dyDescent="0.2">
      <c r="A55" s="47"/>
      <c r="B55" s="47"/>
      <c r="C55" s="47"/>
      <c r="D55" s="47"/>
      <c r="E55" s="47"/>
      <c r="F55" s="47"/>
      <c r="G55" s="47"/>
      <c r="H55" s="47"/>
      <c r="I55" s="47"/>
      <c r="J55" s="47"/>
      <c r="K55" s="48"/>
    </row>
    <row r="56" spans="1:21" s="48" customFormat="1" ht="31.5" customHeight="1" x14ac:dyDescent="0.2">
      <c r="A56" s="1348" t="s">
        <v>45</v>
      </c>
      <c r="B56" s="1349"/>
      <c r="C56" s="1349"/>
      <c r="D56" s="1349"/>
      <c r="E56" s="1349"/>
      <c r="F56" s="1349"/>
      <c r="G56" s="1349"/>
      <c r="H56" s="1349"/>
      <c r="I56" s="1349"/>
      <c r="J56" s="1349"/>
      <c r="K56" s="46"/>
    </row>
    <row r="57" spans="1:21" s="46" customFormat="1" ht="15" customHeight="1" thickBot="1" x14ac:dyDescent="0.25">
      <c r="A57" s="47"/>
      <c r="B57" s="47"/>
      <c r="C57" s="47"/>
      <c r="D57" s="47"/>
      <c r="E57" s="47"/>
      <c r="K57" s="48"/>
    </row>
    <row r="58" spans="1:21" s="48" customFormat="1" ht="31.5" customHeight="1" thickBot="1" x14ac:dyDescent="0.25">
      <c r="A58" s="1350" t="s">
        <v>38</v>
      </c>
      <c r="B58" s="1351"/>
      <c r="C58" s="1352" t="s">
        <v>46</v>
      </c>
      <c r="D58" s="1353"/>
      <c r="E58" s="1354" t="s">
        <v>238</v>
      </c>
      <c r="F58" s="1379"/>
      <c r="G58" s="1061" t="s">
        <v>553</v>
      </c>
      <c r="J58" s="114"/>
      <c r="L58" s="46"/>
      <c r="Q58" s="47"/>
      <c r="R58" s="47"/>
      <c r="S58" s="47"/>
      <c r="T58" s="47"/>
      <c r="U58" s="47"/>
    </row>
    <row r="59" spans="1:21" s="48" customFormat="1" ht="57.95" customHeight="1" thickBot="1" x14ac:dyDescent="0.25">
      <c r="A59" s="1024" t="s">
        <v>47</v>
      </c>
      <c r="B59" s="1025"/>
      <c r="C59" s="1026" t="e">
        <f>+C44/B26^0.5*1000</f>
        <v>#DIV/0!</v>
      </c>
      <c r="D59" s="1017" t="s">
        <v>3</v>
      </c>
      <c r="E59" s="1027" t="s">
        <v>240</v>
      </c>
      <c r="F59" s="139">
        <f>$B$26-1</f>
        <v>3</v>
      </c>
      <c r="G59" s="1111" t="e">
        <f>(C59/$G$70)^2</f>
        <v>#DIV/0!</v>
      </c>
      <c r="H59" s="47"/>
      <c r="K59" s="156">
        <v>0.3</v>
      </c>
      <c r="L59" s="157">
        <v>1.65</v>
      </c>
      <c r="M59" s="113"/>
    </row>
    <row r="60" spans="1:21" s="48" customFormat="1" ht="57.95" customHeight="1" thickBot="1" x14ac:dyDescent="0.25">
      <c r="A60" s="1019" t="s">
        <v>343</v>
      </c>
      <c r="B60" s="1020" t="s">
        <v>48</v>
      </c>
      <c r="C60" s="1021" t="e">
        <f>+C12/2</f>
        <v>#N/A</v>
      </c>
      <c r="D60" s="1022" t="s">
        <v>3</v>
      </c>
      <c r="E60" s="1023" t="s">
        <v>239</v>
      </c>
      <c r="F60" s="146" t="s">
        <v>265</v>
      </c>
      <c r="G60" s="1112"/>
      <c r="H60" s="1380" t="s">
        <v>241</v>
      </c>
      <c r="I60" s="1356"/>
      <c r="J60" s="1356"/>
      <c r="K60" s="1356"/>
      <c r="L60" s="1356"/>
      <c r="M60" s="1357"/>
    </row>
    <row r="61" spans="1:21" s="48" customFormat="1" ht="57.95" customHeight="1" thickBot="1" x14ac:dyDescent="0.25">
      <c r="A61" s="1028" t="s">
        <v>344</v>
      </c>
      <c r="B61" s="1029"/>
      <c r="C61" s="1030" t="e">
        <f>+C12/3^0.5</f>
        <v>#N/A</v>
      </c>
      <c r="D61" s="1031" t="s">
        <v>3</v>
      </c>
      <c r="E61" s="1032" t="s">
        <v>239</v>
      </c>
      <c r="F61" s="147" t="s">
        <v>265</v>
      </c>
      <c r="G61" s="1112"/>
      <c r="H61" s="132" t="s">
        <v>243</v>
      </c>
      <c r="I61" s="149" t="e">
        <f>MAX(C59:C62,C66:C67,C68)</f>
        <v>#DIV/0!</v>
      </c>
      <c r="J61" s="151" t="e">
        <f>IF((I62)&lt;=(K59),"1,65","2")</f>
        <v>#DIV/0!</v>
      </c>
      <c r="K61" s="152" t="s">
        <v>242</v>
      </c>
      <c r="L61" s="153" t="s">
        <v>237</v>
      </c>
      <c r="M61" s="360" t="s">
        <v>328</v>
      </c>
    </row>
    <row r="62" spans="1:21" s="48" customFormat="1" ht="57.95" customHeight="1" thickBot="1" x14ac:dyDescent="0.3">
      <c r="A62" s="1024" t="s">
        <v>49</v>
      </c>
      <c r="B62" s="1035"/>
      <c r="C62" s="1036" t="e">
        <f>+SQRT(SUMSQ(C60:C61))</f>
        <v>#N/A</v>
      </c>
      <c r="D62" s="1017" t="s">
        <v>3</v>
      </c>
      <c r="E62" s="1037" t="s">
        <v>240</v>
      </c>
      <c r="F62" s="139">
        <v>200</v>
      </c>
      <c r="G62" s="1112" t="e">
        <f t="shared" ref="G62:G68" si="0">(C62/$G$70)^2</f>
        <v>#N/A</v>
      </c>
      <c r="H62" s="133" t="s">
        <v>244</v>
      </c>
      <c r="I62" s="150" t="e">
        <f>SQRT((C59)^2+(C66)^2+(C67)^2)/I61</f>
        <v>#DIV/0!</v>
      </c>
      <c r="J62" s="126"/>
      <c r="K62" s="154" t="s">
        <v>242</v>
      </c>
      <c r="L62" s="155" t="s">
        <v>252</v>
      </c>
      <c r="M62" s="361" t="s">
        <v>329</v>
      </c>
    </row>
    <row r="63" spans="1:21" s="48" customFormat="1" ht="57.95" customHeight="1" x14ac:dyDescent="0.2">
      <c r="A63" s="1019" t="s">
        <v>345</v>
      </c>
      <c r="B63" s="1020"/>
      <c r="C63" s="1033" t="e">
        <f>+I49</f>
        <v>#DIV/0!</v>
      </c>
      <c r="D63" s="1021" t="s">
        <v>73</v>
      </c>
      <c r="E63" s="1034" t="s">
        <v>239</v>
      </c>
      <c r="F63" s="146" t="s">
        <v>265</v>
      </c>
      <c r="G63" s="1112"/>
      <c r="L63" s="46"/>
      <c r="T63" s="46"/>
      <c r="U63" s="46"/>
    </row>
    <row r="64" spans="1:21" s="48" customFormat="1" ht="57.95" customHeight="1" x14ac:dyDescent="0.2">
      <c r="A64" s="426" t="s">
        <v>50</v>
      </c>
      <c r="B64" s="1018"/>
      <c r="C64" s="425" t="e">
        <f>+H11/2</f>
        <v>#N/A</v>
      </c>
      <c r="D64" s="424" t="s">
        <v>73</v>
      </c>
      <c r="E64" s="423" t="s">
        <v>239</v>
      </c>
      <c r="F64" s="148" t="s">
        <v>265</v>
      </c>
      <c r="G64" s="1112"/>
      <c r="H64" s="130"/>
      <c r="J64" s="130"/>
      <c r="K64" s="130"/>
      <c r="L64" s="130"/>
      <c r="M64" s="130"/>
      <c r="Q64" s="47"/>
      <c r="R64" s="47"/>
      <c r="S64" s="47"/>
      <c r="T64" s="47"/>
      <c r="U64" s="47"/>
    </row>
    <row r="65" spans="1:21" s="48" customFormat="1" ht="57.95" customHeight="1" thickBot="1" x14ac:dyDescent="0.25">
      <c r="A65" s="1028" t="s">
        <v>346</v>
      </c>
      <c r="B65" s="1038"/>
      <c r="C65" s="1039" t="e">
        <f>+C14/2</f>
        <v>#N/A</v>
      </c>
      <c r="D65" s="1031" t="s">
        <v>73</v>
      </c>
      <c r="E65" s="1040" t="s">
        <v>239</v>
      </c>
      <c r="F65" s="147" t="s">
        <v>265</v>
      </c>
      <c r="G65" s="1112"/>
      <c r="H65" s="130"/>
      <c r="I65" s="130"/>
      <c r="J65" s="130"/>
      <c r="K65" s="130"/>
      <c r="L65" s="130"/>
      <c r="M65" s="130"/>
      <c r="Q65" s="46"/>
      <c r="R65" s="46"/>
      <c r="S65" s="46"/>
      <c r="T65" s="46"/>
      <c r="U65" s="46"/>
    </row>
    <row r="66" spans="1:21" s="48" customFormat="1" ht="57.95" customHeight="1" thickBot="1" x14ac:dyDescent="0.3">
      <c r="A66" s="1024" t="s">
        <v>347</v>
      </c>
      <c r="B66" s="1035"/>
      <c r="C66" s="1036" t="e">
        <f>+SQRT(ABS(((C10/1000+C11/1000000)*(C13-H10)/(C13*H10)*C63)^2+((C10/1000+C11/1000000)*(I48-I50))^2*C64^2/H10^4+(C10/1000+C11/1000000)^2*(I48-I50)*((I48-I50)-2*(C15-I50))*C65^2/C13^4))*1000000</f>
        <v>#N/A</v>
      </c>
      <c r="D66" s="1051" t="s">
        <v>3</v>
      </c>
      <c r="E66" s="1037" t="s">
        <v>240</v>
      </c>
      <c r="F66" s="139">
        <v>200</v>
      </c>
      <c r="G66" s="1112" t="e">
        <f t="shared" si="0"/>
        <v>#N/A</v>
      </c>
      <c r="H66" s="130"/>
      <c r="I66" s="1093" t="s">
        <v>554</v>
      </c>
      <c r="J66" s="1095" t="s">
        <v>556</v>
      </c>
      <c r="K66" s="1094" t="s">
        <v>555</v>
      </c>
      <c r="L66" s="130"/>
      <c r="M66" s="130"/>
      <c r="Q66" s="47"/>
      <c r="R66" s="47"/>
      <c r="S66" s="47"/>
      <c r="T66" s="47"/>
      <c r="U66" s="47"/>
    </row>
    <row r="67" spans="1:21" s="48" customFormat="1" ht="57.95" customHeight="1" thickBot="1" x14ac:dyDescent="0.3">
      <c r="A67" s="1047" t="s">
        <v>52</v>
      </c>
      <c r="B67" s="1048"/>
      <c r="C67" s="1049" t="e">
        <f>+(G15/2/3^0.5)*2^0.5*1000</f>
        <v>#N/A</v>
      </c>
      <c r="D67" s="1044" t="s">
        <v>3</v>
      </c>
      <c r="E67" s="1045" t="s">
        <v>239</v>
      </c>
      <c r="F67" s="1050">
        <v>200</v>
      </c>
      <c r="G67" s="1112" t="e">
        <f t="shared" si="0"/>
        <v>#N/A</v>
      </c>
      <c r="H67" s="130"/>
      <c r="I67" s="1096" t="e">
        <f>G70^4/((C59^4/F59)+(C62^4/F62)+(C66^4/F66)+(C67^4/F67)+(C68^4/F68))</f>
        <v>#DIV/0!</v>
      </c>
      <c r="J67" s="1097" t="e">
        <f>TINV(0.05,I67)</f>
        <v>#DIV/0!</v>
      </c>
      <c r="K67" s="1098" t="e">
        <f>1-TDIST(J67,I67,2)</f>
        <v>#DIV/0!</v>
      </c>
      <c r="L67" s="130"/>
      <c r="M67" s="130"/>
    </row>
    <row r="68" spans="1:21" s="46" customFormat="1" ht="65.25" customHeight="1" thickBot="1" x14ac:dyDescent="0.3">
      <c r="A68" s="1041" t="s">
        <v>551</v>
      </c>
      <c r="B68" s="1042"/>
      <c r="C68" s="1043">
        <f>0.01/SQRT(45)</f>
        <v>1.4907119849998597E-3</v>
      </c>
      <c r="D68" s="1044" t="s">
        <v>3</v>
      </c>
      <c r="E68" s="1045" t="s">
        <v>240</v>
      </c>
      <c r="F68" s="1046">
        <v>50</v>
      </c>
      <c r="G68" s="1113" t="e">
        <f t="shared" si="0"/>
        <v>#DIV/0!</v>
      </c>
      <c r="H68" s="130"/>
      <c r="I68" s="130"/>
      <c r="J68" s="130"/>
      <c r="K68" s="130"/>
      <c r="L68" s="130"/>
      <c r="M68" s="130"/>
      <c r="S68" s="48"/>
      <c r="T68" s="48"/>
      <c r="U68" s="48"/>
    </row>
    <row r="69" spans="1:21" s="46" customFormat="1" ht="65.25" customHeight="1" thickBot="1" x14ac:dyDescent="0.25">
      <c r="A69" s="130"/>
      <c r="B69" s="130"/>
      <c r="C69" s="130"/>
      <c r="D69" s="130"/>
      <c r="E69" s="130"/>
      <c r="F69" s="130"/>
      <c r="G69" s="1114" t="e">
        <f>SUM(G59,G62,G66,G67,G68)</f>
        <v>#DIV/0!</v>
      </c>
      <c r="H69" s="130"/>
      <c r="I69" s="130"/>
      <c r="J69" s="130"/>
      <c r="K69" s="130"/>
      <c r="L69" s="130"/>
      <c r="M69" s="130"/>
      <c r="S69" s="48"/>
      <c r="T69" s="48"/>
      <c r="U69" s="48"/>
    </row>
    <row r="70" spans="1:21" s="106" customFormat="1" ht="51.75" customHeight="1" thickBot="1" x14ac:dyDescent="0.3">
      <c r="D70" s="1306" t="s">
        <v>51</v>
      </c>
      <c r="E70" s="1307"/>
      <c r="F70" s="134"/>
      <c r="G70" s="140" t="e">
        <f>+SQRT(SUMSQ(C59,C62,C66,C67,C68))</f>
        <v>#DIV/0!</v>
      </c>
      <c r="H70" s="136" t="s">
        <v>3</v>
      </c>
      <c r="K70" s="130"/>
      <c r="L70" s="130"/>
      <c r="M70" s="130"/>
      <c r="S70" s="48"/>
      <c r="T70" s="48"/>
      <c r="U70" s="48"/>
    </row>
    <row r="71" spans="1:21" s="106" customFormat="1" ht="35.1" customHeight="1" thickBot="1" x14ac:dyDescent="0.25">
      <c r="D71" s="1306" t="s">
        <v>53</v>
      </c>
      <c r="E71" s="1307"/>
      <c r="F71" s="135"/>
      <c r="G71" s="140" t="e">
        <f>+G70*2</f>
        <v>#DIV/0!</v>
      </c>
      <c r="H71" s="137" t="s">
        <v>3</v>
      </c>
      <c r="K71" s="110"/>
      <c r="L71" s="107"/>
      <c r="O71" s="48"/>
      <c r="P71" s="48"/>
      <c r="Q71" s="48"/>
      <c r="R71" s="48"/>
      <c r="S71" s="48"/>
      <c r="T71" s="48"/>
      <c r="U71" s="48"/>
    </row>
    <row r="72" spans="1:21" s="106" customFormat="1" ht="33.75" customHeight="1" thickBot="1" x14ac:dyDescent="4.45">
      <c r="B72" s="1313" t="s">
        <v>54</v>
      </c>
      <c r="C72" s="1314"/>
      <c r="D72" s="1314"/>
      <c r="E72" s="1314"/>
      <c r="F72" s="1314"/>
      <c r="G72" s="1314"/>
      <c r="H72" s="1314"/>
      <c r="I72" s="1314"/>
      <c r="J72" s="1314"/>
      <c r="K72" s="1315"/>
      <c r="L72" s="117"/>
      <c r="O72" s="48"/>
      <c r="P72" s="48"/>
      <c r="Q72" s="48"/>
      <c r="R72" s="48"/>
      <c r="S72" s="48"/>
      <c r="T72" s="48"/>
      <c r="U72" s="48"/>
    </row>
    <row r="73" spans="1:21" s="106" customFormat="1" ht="35.1" customHeight="1" thickBot="1" x14ac:dyDescent="0.25">
      <c r="B73" s="1368" t="s">
        <v>255</v>
      </c>
      <c r="C73" s="1369"/>
      <c r="D73" s="1369"/>
      <c r="E73" s="1370"/>
      <c r="F73" s="79"/>
      <c r="G73" s="80"/>
      <c r="H73" s="1371"/>
      <c r="I73" s="1372"/>
      <c r="J73" s="1372"/>
      <c r="K73" s="1373"/>
      <c r="O73" s="48"/>
      <c r="P73" s="48"/>
      <c r="Q73" s="48"/>
      <c r="R73" s="48"/>
      <c r="S73" s="48"/>
      <c r="T73" s="48"/>
      <c r="U73" s="48"/>
    </row>
    <row r="74" spans="1:21" s="106" customFormat="1" ht="40.5" customHeight="1" x14ac:dyDescent="0.2">
      <c r="B74" s="118"/>
      <c r="C74" s="362" t="s">
        <v>348</v>
      </c>
      <c r="D74" s="119" t="s">
        <v>253</v>
      </c>
      <c r="E74" s="120"/>
      <c r="F74" s="1358"/>
      <c r="G74" s="1358"/>
      <c r="H74" s="1359" t="s">
        <v>266</v>
      </c>
      <c r="I74" s="1381" t="s">
        <v>254</v>
      </c>
      <c r="J74" s="1381"/>
      <c r="K74" s="1382"/>
      <c r="O74" s="48"/>
      <c r="P74" s="48"/>
      <c r="Q74" s="48"/>
      <c r="R74" s="48"/>
      <c r="S74" s="48"/>
      <c r="T74" s="48"/>
      <c r="U74" s="48"/>
    </row>
    <row r="75" spans="1:21" s="106" customFormat="1" ht="35.1" customHeight="1" x14ac:dyDescent="0.2">
      <c r="B75" s="81" t="e">
        <f>C10</f>
        <v>#N/A</v>
      </c>
      <c r="C75" s="77" t="e">
        <f>C11</f>
        <v>#N/A</v>
      </c>
      <c r="D75" s="78" t="e">
        <f>H54</f>
        <v>#DIV/0!</v>
      </c>
      <c r="E75" s="216" t="e">
        <f>B75+(C75/1000)+(D75/1000)</f>
        <v>#N/A</v>
      </c>
      <c r="F75" s="264" t="e">
        <f>E75*1000-B75*1000</f>
        <v>#N/A</v>
      </c>
      <c r="G75" s="61"/>
      <c r="H75" s="1360"/>
      <c r="I75" s="1054" t="e">
        <f>G71</f>
        <v>#DIV/0!</v>
      </c>
      <c r="J75" s="1364"/>
      <c r="K75" s="1365"/>
      <c r="O75" s="48"/>
      <c r="P75" s="48"/>
      <c r="Q75" s="48"/>
      <c r="R75" s="48"/>
      <c r="S75" s="48"/>
      <c r="T75" s="48"/>
      <c r="U75" s="48"/>
    </row>
    <row r="76" spans="1:21" s="106" customFormat="1" ht="35.1" customHeight="1" thickBot="1" x14ac:dyDescent="0.25">
      <c r="B76" s="87" t="e">
        <f>B75</f>
        <v>#N/A</v>
      </c>
      <c r="C76" s="88" t="e">
        <f>C75</f>
        <v>#N/A</v>
      </c>
      <c r="D76" s="88" t="e">
        <f>D75</f>
        <v>#DIV/0!</v>
      </c>
      <c r="E76" s="217" t="e">
        <f>B76+(C76/1000)+(D76/1000)</f>
        <v>#N/A</v>
      </c>
      <c r="F76" s="281" t="e">
        <f>F75/1000</f>
        <v>#N/A</v>
      </c>
      <c r="G76" s="89"/>
      <c r="H76" s="1361"/>
      <c r="I76" s="284" t="e">
        <f>I75/1000</f>
        <v>#DIV/0!</v>
      </c>
      <c r="J76" s="1366"/>
      <c r="K76" s="1367"/>
      <c r="O76" s="48"/>
      <c r="P76" s="48"/>
      <c r="Q76" s="48"/>
      <c r="R76" s="48"/>
      <c r="S76" s="48"/>
      <c r="T76" s="48"/>
      <c r="U76" s="48"/>
    </row>
    <row r="77" spans="1:21" s="106" customFormat="1" ht="35.1" customHeight="1" x14ac:dyDescent="0.2">
      <c r="G77" s="47"/>
      <c r="H77" s="47"/>
      <c r="I77" s="47"/>
      <c r="J77" s="47"/>
      <c r="O77" s="48"/>
      <c r="P77" s="48"/>
      <c r="Q77" s="48"/>
      <c r="R77" s="48"/>
      <c r="S77" s="48"/>
      <c r="T77" s="48"/>
      <c r="U77" s="48"/>
    </row>
    <row r="78" spans="1:21" s="106" customFormat="1" ht="35.1" customHeight="1" x14ac:dyDescent="0.2">
      <c r="G78" s="47"/>
      <c r="H78" s="47"/>
      <c r="I78" s="47"/>
      <c r="J78" s="47"/>
      <c r="O78" s="48"/>
      <c r="P78" s="48"/>
      <c r="Q78" s="48"/>
      <c r="R78" s="48"/>
      <c r="S78" s="48"/>
      <c r="T78" s="48"/>
      <c r="U78" s="48"/>
    </row>
    <row r="79" spans="1:21" s="106" customFormat="1" ht="35.1" customHeight="1" x14ac:dyDescent="0.2">
      <c r="G79" s="47"/>
      <c r="H79" s="47"/>
      <c r="I79" s="47"/>
      <c r="J79" s="47"/>
    </row>
    <row r="80" spans="1:21" s="107" customFormat="1" ht="35.1" customHeight="1" x14ac:dyDescent="0.2">
      <c r="A80" s="109"/>
      <c r="B80" s="106"/>
      <c r="C80" s="106"/>
      <c r="D80" s="106"/>
      <c r="E80" s="106"/>
      <c r="F80" s="106"/>
      <c r="G80" s="47"/>
      <c r="H80" s="47"/>
    </row>
    <row r="81" spans="2:11" s="111" customFormat="1" ht="35.1" customHeight="1" x14ac:dyDescent="0.2">
      <c r="B81" s="106"/>
      <c r="C81" s="106"/>
      <c r="D81" s="106"/>
      <c r="E81" s="106"/>
      <c r="F81" s="106"/>
      <c r="G81" s="47"/>
      <c r="H81" s="47"/>
    </row>
    <row r="82" spans="2:11" s="106" customFormat="1" ht="61.5" customHeight="1" x14ac:dyDescent="0.2">
      <c r="H82" s="111"/>
      <c r="I82" s="111"/>
      <c r="J82" s="111"/>
      <c r="K82" s="108"/>
    </row>
    <row r="83" spans="2:11" s="106" customFormat="1" ht="35.1" customHeight="1" x14ac:dyDescent="0.2">
      <c r="G83" s="111"/>
      <c r="H83" s="111"/>
      <c r="I83" s="111"/>
      <c r="J83" s="111"/>
      <c r="K83" s="108"/>
    </row>
    <row r="84" spans="2:11" s="106" customFormat="1" ht="35.1" customHeight="1" x14ac:dyDescent="0.2">
      <c r="G84" s="111"/>
      <c r="H84" s="111"/>
      <c r="I84" s="111"/>
      <c r="J84" s="111"/>
      <c r="K84" s="108"/>
    </row>
    <row r="85" spans="2:11" s="106" customFormat="1" ht="35.1" customHeight="1" x14ac:dyDescent="0.2">
      <c r="F85" s="107"/>
      <c r="K85" s="108"/>
    </row>
    <row r="86" spans="2:11" s="106" customFormat="1" ht="50.1" customHeight="1" x14ac:dyDescent="0.2"/>
    <row r="87" spans="2:11" s="106" customFormat="1" ht="57.75" customHeight="1" x14ac:dyDescent="0.2">
      <c r="C87" s="112"/>
      <c r="D87" s="112"/>
      <c r="E87" s="112"/>
    </row>
    <row r="88" spans="2:11" s="106" customFormat="1" ht="35.1" customHeight="1" x14ac:dyDescent="0.2"/>
    <row r="89" spans="2:11" s="106" customFormat="1" ht="35.1" customHeight="1" x14ac:dyDescent="0.2">
      <c r="F89" s="108"/>
      <c r="G89" s="108"/>
      <c r="H89" s="108"/>
      <c r="I89" s="108"/>
      <c r="J89" s="108"/>
    </row>
    <row r="90" spans="2:11" s="106" customFormat="1" ht="35.1" customHeight="1" x14ac:dyDescent="0.2"/>
    <row r="91" spans="2:11" s="106" customFormat="1" ht="50.1" customHeight="1" x14ac:dyDescent="0.2">
      <c r="J91" s="47"/>
    </row>
    <row r="92" spans="2:11" s="106" customFormat="1" ht="55.5" customHeight="1" x14ac:dyDescent="0.2">
      <c r="J92" s="111"/>
    </row>
    <row r="93" spans="2:11" s="106" customFormat="1" ht="50.1" customHeight="1" x14ac:dyDescent="0.2">
      <c r="J93" s="111"/>
    </row>
    <row r="94" spans="2:11" s="107" customFormat="1" ht="31.5" customHeight="1" x14ac:dyDescent="0.2">
      <c r="J94" s="111"/>
    </row>
    <row r="95" spans="2:11" s="106" customFormat="1" ht="35.1" customHeight="1" x14ac:dyDescent="0.2">
      <c r="G95" s="111"/>
      <c r="H95" s="111"/>
      <c r="I95" s="111"/>
      <c r="J95" s="111"/>
    </row>
    <row r="96" spans="2:11" s="106" customFormat="1" ht="35.1" customHeight="1" x14ac:dyDescent="0.2">
      <c r="G96" s="111"/>
      <c r="H96" s="111"/>
      <c r="I96" s="111"/>
      <c r="J96" s="111"/>
    </row>
    <row r="97" spans="1:12" s="106" customFormat="1" ht="9.9499999999999993" customHeight="1" x14ac:dyDescent="0.2">
      <c r="G97" s="108"/>
      <c r="H97" s="108"/>
      <c r="I97" s="108"/>
      <c r="J97" s="108"/>
    </row>
    <row r="98" spans="1:12" s="106" customFormat="1" ht="35.1" customHeight="1" x14ac:dyDescent="0.2">
      <c r="J98" s="108"/>
      <c r="K98" s="108"/>
      <c r="L98" s="108"/>
    </row>
    <row r="99" spans="1:12" s="46" customFormat="1" ht="15" customHeight="1" x14ac:dyDescent="0.2">
      <c r="A99" s="47"/>
      <c r="G99" s="47"/>
      <c r="H99" s="47"/>
      <c r="I99" s="47"/>
      <c r="J99" s="47"/>
      <c r="K99" s="48"/>
    </row>
    <row r="100" spans="1:12" s="48" customFormat="1" ht="31.5" customHeight="1" x14ac:dyDescent="0.2">
      <c r="A100" s="47"/>
      <c r="B100" s="47"/>
      <c r="C100" s="47"/>
      <c r="D100" s="47"/>
      <c r="E100" s="47"/>
      <c r="F100" s="47"/>
      <c r="G100" s="47"/>
      <c r="H100" s="47"/>
      <c r="I100" s="47"/>
      <c r="J100" s="47"/>
    </row>
    <row r="101" spans="1:12" s="48" customFormat="1" ht="31.5" customHeight="1" x14ac:dyDescent="0.2"/>
    <row r="102" spans="1:12" s="48" customFormat="1" ht="31.5" customHeight="1" x14ac:dyDescent="0.2"/>
    <row r="103" spans="1:12" s="48" customFormat="1" ht="52.5" customHeight="1" x14ac:dyDescent="0.2"/>
    <row r="104" spans="1:12" s="48" customFormat="1" ht="31.5" customHeight="1" x14ac:dyDescent="0.2">
      <c r="K104" s="8"/>
    </row>
    <row r="105" spans="1:12" s="48" customFormat="1" ht="31.5" customHeight="1" x14ac:dyDescent="0.2">
      <c r="K105" s="8"/>
    </row>
    <row r="106" spans="1:12" ht="31.5" customHeight="1" x14ac:dyDescent="0.2">
      <c r="G106" s="76"/>
    </row>
    <row r="107" spans="1:12" ht="51" customHeight="1" x14ac:dyDescent="0.2"/>
    <row r="109" spans="1:12" ht="31.5" customHeight="1" x14ac:dyDescent="0.2">
      <c r="B109" s="29"/>
      <c r="C109" s="29"/>
      <c r="D109" s="29"/>
      <c r="E109" s="29"/>
      <c r="F109" s="29"/>
      <c r="G109" s="29"/>
      <c r="H109" s="29"/>
      <c r="I109" s="29"/>
      <c r="J109" s="29"/>
    </row>
    <row r="110" spans="1:12" ht="31.5" customHeight="1" x14ac:dyDescent="0.2">
      <c r="B110" s="29"/>
      <c r="C110" s="29"/>
      <c r="D110" s="29"/>
      <c r="E110" s="29"/>
      <c r="F110" s="29"/>
      <c r="G110" s="29"/>
      <c r="H110" s="29"/>
      <c r="I110" s="29"/>
      <c r="J110" s="29"/>
    </row>
    <row r="111" spans="1:12" ht="31.5" customHeight="1" x14ac:dyDescent="0.2">
      <c r="B111" s="29"/>
      <c r="C111" s="29"/>
      <c r="D111" s="29"/>
      <c r="E111" s="29"/>
      <c r="F111" s="29"/>
      <c r="G111" s="29"/>
      <c r="H111" s="29"/>
      <c r="I111" s="29"/>
      <c r="J111" s="29"/>
    </row>
    <row r="112" spans="1:12" ht="31.5" customHeight="1" x14ac:dyDescent="0.2">
      <c r="B112" s="29"/>
      <c r="C112" s="29"/>
      <c r="D112" s="29"/>
      <c r="E112" s="29"/>
      <c r="F112" s="29"/>
      <c r="G112" s="29"/>
      <c r="H112" s="29"/>
      <c r="I112" s="29"/>
      <c r="J112" s="29"/>
    </row>
    <row r="113" spans="2:10" ht="31.5" customHeight="1" x14ac:dyDescent="0.2">
      <c r="B113" s="29"/>
      <c r="C113" s="29"/>
      <c r="D113" s="29"/>
      <c r="E113" s="29"/>
      <c r="F113" s="29"/>
      <c r="G113" s="29"/>
      <c r="H113" s="29"/>
      <c r="I113" s="29"/>
      <c r="J113" s="29"/>
    </row>
    <row r="114" spans="2:10" ht="31.5" customHeight="1" x14ac:dyDescent="0.2">
      <c r="B114" s="29"/>
      <c r="C114" s="29"/>
      <c r="D114" s="29"/>
      <c r="E114" s="29"/>
      <c r="F114" s="29"/>
      <c r="G114" s="29"/>
      <c r="H114" s="29"/>
      <c r="I114" s="29"/>
      <c r="J114" s="29"/>
    </row>
    <row r="115" spans="2:10" ht="31.5" customHeight="1" x14ac:dyDescent="0.2">
      <c r="B115" s="29"/>
      <c r="C115" s="29"/>
      <c r="D115" s="29"/>
      <c r="E115" s="29"/>
      <c r="F115" s="29"/>
      <c r="G115" s="29"/>
      <c r="H115" s="29"/>
      <c r="I115" s="29"/>
      <c r="J115" s="29"/>
    </row>
  </sheetData>
  <sheetProtection password="CF5C" sheet="1" objects="1" scenarios="1"/>
  <mergeCells count="62">
    <mergeCell ref="D70:E70"/>
    <mergeCell ref="D71:E71"/>
    <mergeCell ref="B72:K72"/>
    <mergeCell ref="B73:E73"/>
    <mergeCell ref="H73:K73"/>
    <mergeCell ref="F74:G74"/>
    <mergeCell ref="H74:H76"/>
    <mergeCell ref="I74:K74"/>
    <mergeCell ref="J75:K75"/>
    <mergeCell ref="J76:K76"/>
    <mergeCell ref="A56:J56"/>
    <mergeCell ref="A58:B58"/>
    <mergeCell ref="C58:D58"/>
    <mergeCell ref="E58:F58"/>
    <mergeCell ref="H60:M60"/>
    <mergeCell ref="A50:B50"/>
    <mergeCell ref="G50:H50"/>
    <mergeCell ref="A52:J52"/>
    <mergeCell ref="D53:E53"/>
    <mergeCell ref="H53:I53"/>
    <mergeCell ref="A49:B49"/>
    <mergeCell ref="G49:H49"/>
    <mergeCell ref="A28:A31"/>
    <mergeCell ref="C33:D33"/>
    <mergeCell ref="F33:G33"/>
    <mergeCell ref="A36:J36"/>
    <mergeCell ref="B38:F38"/>
    <mergeCell ref="H38:J38"/>
    <mergeCell ref="H39:J42"/>
    <mergeCell ref="A46:J46"/>
    <mergeCell ref="A47:B48"/>
    <mergeCell ref="C47:E47"/>
    <mergeCell ref="G48:H48"/>
    <mergeCell ref="A27:B27"/>
    <mergeCell ref="G27:H27"/>
    <mergeCell ref="A14:B14"/>
    <mergeCell ref="A15:B15"/>
    <mergeCell ref="A16:B16"/>
    <mergeCell ref="C16:D16"/>
    <mergeCell ref="A18:J18"/>
    <mergeCell ref="F19:G19"/>
    <mergeCell ref="J19:J20"/>
    <mergeCell ref="A20:B20"/>
    <mergeCell ref="E20:F20"/>
    <mergeCell ref="A22:J22"/>
    <mergeCell ref="C24:D24"/>
    <mergeCell ref="F24:G24"/>
    <mergeCell ref="C26:F26"/>
    <mergeCell ref="G26:H26"/>
    <mergeCell ref="A13:B13"/>
    <mergeCell ref="F13:I13"/>
    <mergeCell ref="A1:B1"/>
    <mergeCell ref="C1:M1"/>
    <mergeCell ref="I3:J4"/>
    <mergeCell ref="A6:D6"/>
    <mergeCell ref="F6:I6"/>
    <mergeCell ref="F9:G9"/>
    <mergeCell ref="A10:B10"/>
    <mergeCell ref="F10:G10"/>
    <mergeCell ref="A11:B11"/>
    <mergeCell ref="F11:G11"/>
    <mergeCell ref="A12:B12"/>
  </mergeCells>
  <printOptions horizontalCentered="1"/>
  <pageMargins left="0.70866141732283472" right="0.70866141732283472" top="0.74803149606299213" bottom="0.74803149606299213" header="0.31496062992125984" footer="0.31496062992125984"/>
  <pageSetup scale="13" orientation="portrait" r:id="rId1"/>
  <headerFooter>
    <oddHeader xml:space="preserve">&amp;C
&amp;16   
</oddHeader>
    <oddFooter xml:space="preserve">&amp;RRT03-F13 Vr.14 (2021-05-21)
</oddFooter>
  </headerFooter>
  <rowBreaks count="1" manualBreakCount="1">
    <brk id="34" max="12" man="1"/>
  </rowBreaks>
  <drawing r:id="rId2"/>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1900-000000000000}">
          <x14:formula1>
            <xm:f>'DATOS %'!$J$174:$J$179</xm:f>
          </x14:formula1>
          <xm:sqref>J19:J20</xm:sqref>
        </x14:dataValidation>
        <x14:dataValidation type="list" allowBlank="1" showInputMessage="1" showErrorMessage="1" xr:uid="{00000000-0002-0000-1900-000001000000}">
          <x14:formula1>
            <xm:f>'DATOS %'!$N$121:$N$166</xm:f>
          </x14:formula1>
          <xm:sqref>F48</xm:sqref>
        </x14:dataValidation>
        <x14:dataValidation type="list" allowBlank="1" showInputMessage="1" showErrorMessage="1" xr:uid="{00000000-0002-0000-1900-000002000000}">
          <x14:formula1>
            <xm:f>'DATOS %'!$N$29:$N$113</xm:f>
          </x14:formula1>
          <xm:sqref>E6</xm:sqref>
        </x14:dataValidation>
        <x14:dataValidation type="list" allowBlank="1" showInputMessage="1" showErrorMessage="1" xr:uid="{00000000-0002-0000-1900-000003000000}">
          <x14:formula1>
            <xm:f>'DATOS %'!$V$120:$V$126</xm:f>
          </x14:formula1>
          <xm:sqref>J13</xm:sqref>
        </x14:dataValidation>
        <x14:dataValidation type="list" allowBlank="1" showInputMessage="1" showErrorMessage="1" xr:uid="{00000000-0002-0000-1900-000004000000}">
          <x14:formula1>
            <xm:f>'DATOS %'!$V$161:$V$165</xm:f>
          </x14:formula1>
          <xm:sqref>H25</xm:sqref>
        </x14:dataValidation>
        <x14:dataValidation type="list" allowBlank="1" showInputMessage="1" showErrorMessage="1" xr:uid="{00000000-0002-0000-1900-000005000000}">
          <x14:formula1>
            <xm:f>'DATOS %'!$B$7:$B$40</xm:f>
          </x14:formula1>
          <xm:sqref>I3:J4</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U115"/>
  <sheetViews>
    <sheetView showGridLines="0" view="pageBreakPreview" topLeftCell="A25" zoomScale="80" zoomScaleNormal="60" zoomScaleSheetLayoutView="80" workbookViewId="0">
      <selection activeCell="C65" sqref="C65"/>
    </sheetView>
  </sheetViews>
  <sheetFormatPr baseColWidth="10" defaultColWidth="11.42578125" defaultRowHeight="31.5" customHeight="1" x14ac:dyDescent="0.2"/>
  <cols>
    <col min="1" max="1" width="14.7109375" style="37" customWidth="1"/>
    <col min="2" max="2" width="12" style="37" customWidth="1"/>
    <col min="3" max="3" width="15.7109375" style="37" customWidth="1"/>
    <col min="4" max="4" width="17" style="37" customWidth="1"/>
    <col min="5" max="5" width="15.5703125" style="37" customWidth="1"/>
    <col min="6" max="6" width="18.5703125" style="37" customWidth="1"/>
    <col min="7" max="7" width="15.7109375" style="37" customWidth="1"/>
    <col min="8" max="8" width="24.42578125" style="37" bestFit="1" customWidth="1"/>
    <col min="9" max="9" width="13.85546875" style="37" bestFit="1" customWidth="1"/>
    <col min="10" max="10" width="13.7109375" style="37" customWidth="1"/>
    <col min="11" max="19" width="11.42578125" style="8"/>
    <col min="20" max="20" width="15.85546875" style="8" bestFit="1" customWidth="1"/>
    <col min="21" max="21" width="14.42578125" style="8" bestFit="1" customWidth="1"/>
    <col min="22" max="16384" width="11.42578125" style="8"/>
  </cols>
  <sheetData>
    <row r="1" spans="1:16" ht="60" customHeight="1" thickBot="1" x14ac:dyDescent="0.25">
      <c r="A1" s="1257"/>
      <c r="B1" s="1258"/>
      <c r="C1" s="1259" t="s">
        <v>57</v>
      </c>
      <c r="D1" s="1260"/>
      <c r="E1" s="1260"/>
      <c r="F1" s="1260"/>
      <c r="G1" s="1260"/>
      <c r="H1" s="1260"/>
      <c r="I1" s="1260"/>
      <c r="J1" s="1260"/>
      <c r="K1" s="1260"/>
      <c r="L1" s="1260"/>
      <c r="M1" s="1261"/>
      <c r="N1" s="7"/>
      <c r="O1" s="7"/>
      <c r="P1" s="7"/>
    </row>
    <row r="2" spans="1:16" s="11" customFormat="1" ht="9.75" customHeight="1" thickBot="1" x14ac:dyDescent="0.25">
      <c r="A2" s="9"/>
      <c r="B2" s="9"/>
      <c r="C2" s="10"/>
      <c r="D2" s="10"/>
      <c r="E2" s="10"/>
      <c r="F2" s="10"/>
      <c r="G2" s="10"/>
      <c r="H2" s="10"/>
      <c r="K2" s="12"/>
      <c r="M2" s="7"/>
    </row>
    <row r="3" spans="1:16" s="12" customFormat="1" ht="35.25" customHeight="1" thickBot="1" x14ac:dyDescent="0.25">
      <c r="A3" s="13" t="s">
        <v>17</v>
      </c>
      <c r="B3" s="14" t="s">
        <v>55</v>
      </c>
      <c r="C3" s="15" t="s">
        <v>209</v>
      </c>
      <c r="D3" s="15" t="s">
        <v>56</v>
      </c>
      <c r="E3" s="15" t="s">
        <v>8</v>
      </c>
      <c r="F3" s="16" t="s">
        <v>18</v>
      </c>
      <c r="G3" s="16" t="s">
        <v>297</v>
      </c>
      <c r="H3" s="17" t="s">
        <v>24</v>
      </c>
      <c r="I3" s="1262"/>
      <c r="J3" s="1263"/>
      <c r="K3" s="11"/>
      <c r="M3" s="7"/>
    </row>
    <row r="4" spans="1:16" s="11" customFormat="1" ht="32.25" customHeight="1" thickBot="1" x14ac:dyDescent="0.25">
      <c r="A4" s="18" t="e">
        <f>VLOOKUP($I$3,'DATOS %'!B7:J40,2,FALSE)</f>
        <v>#N/A</v>
      </c>
      <c r="B4" s="212" t="e">
        <f>VLOOKUP($I$3,'DATOS %'!$B$7:$J$40,3,FALSE)</f>
        <v>#N/A</v>
      </c>
      <c r="C4" s="19" t="e">
        <f>VLOOKUP($I$3,'DATOS %'!$B$7:$J$40,8,FALSE)</f>
        <v>#N/A</v>
      </c>
      <c r="D4" s="19" t="e">
        <f>VLOOKUP($I$3,'DATOS %'!$B$7:$J$40,6,FALSE)</f>
        <v>#N/A</v>
      </c>
      <c r="E4" s="212" t="e">
        <f>VLOOKUP($I$3,'DATOS %'!$B$7:$J$40,7,FALSE)</f>
        <v>#N/A</v>
      </c>
      <c r="F4" s="18" t="e">
        <f>VLOOKUP($I$3,'DATOS %'!$B$7:$J$40,4,FALSE)</f>
        <v>#N/A</v>
      </c>
      <c r="G4" s="18" t="e">
        <f>VLOOKUP($I$3,'DATOS %'!$B$7:$J$40,5,FALSE)</f>
        <v>#N/A</v>
      </c>
      <c r="H4" s="19" t="e">
        <f>VLOOKUP($I$3,'DATOS %'!$B$7:$J$40,9,FALSE)</f>
        <v>#N/A</v>
      </c>
      <c r="I4" s="1264"/>
      <c r="J4" s="1265"/>
      <c r="K4" s="8"/>
      <c r="L4" s="20"/>
      <c r="M4" s="20"/>
    </row>
    <row r="5" spans="1:16" s="22" customFormat="1" ht="6.75" customHeight="1" thickBot="1" x14ac:dyDescent="0.25">
      <c r="A5" s="21"/>
      <c r="B5" s="21"/>
      <c r="C5" s="21"/>
      <c r="F5" s="21"/>
      <c r="G5" s="21"/>
      <c r="H5" s="21"/>
      <c r="K5" s="8"/>
    </row>
    <row r="6" spans="1:16" ht="31.5" customHeight="1" thickBot="1" x14ac:dyDescent="0.25">
      <c r="A6" s="1266" t="s">
        <v>19</v>
      </c>
      <c r="B6" s="1267"/>
      <c r="C6" s="1267"/>
      <c r="D6" s="1268"/>
      <c r="E6" s="4"/>
      <c r="F6" s="1266" t="s">
        <v>20</v>
      </c>
      <c r="G6" s="1267"/>
      <c r="H6" s="1267"/>
      <c r="I6" s="1268"/>
      <c r="J6" s="402">
        <f>I3</f>
        <v>0</v>
      </c>
    </row>
    <row r="7" spans="1:16" ht="31.5" customHeight="1" x14ac:dyDescent="0.2">
      <c r="A7" s="23" t="s">
        <v>21</v>
      </c>
      <c r="B7" s="24" t="e">
        <f>VLOOKUP($E$6,'DATOS %'!N11:AA113,2,FALSE)</f>
        <v>#N/A</v>
      </c>
      <c r="C7" s="25" t="s">
        <v>10</v>
      </c>
      <c r="D7" s="26" t="e">
        <f>VLOOKUP($E$6,'DATOS %'!N11:AA113,3,FALSE)</f>
        <v>#N/A</v>
      </c>
      <c r="E7" s="27"/>
      <c r="F7" s="23" t="s">
        <v>21</v>
      </c>
      <c r="G7" s="24" t="e">
        <f>VLOOKUP($J$6,'DATOS %'!B47:I79,2,FALSE)</f>
        <v>#N/A</v>
      </c>
      <c r="H7" s="28" t="s">
        <v>10</v>
      </c>
      <c r="I7" s="26" t="e">
        <f>VLOOKUP($J$6,'DATOS %'!B47:I79,3,FALSE)</f>
        <v>#N/A</v>
      </c>
      <c r="J7" s="29"/>
    </row>
    <row r="8" spans="1:16" ht="31.5" customHeight="1" x14ac:dyDescent="0.2">
      <c r="A8" s="30" t="s">
        <v>22</v>
      </c>
      <c r="B8" s="31" t="e">
        <f>VLOOKUP($E$6,'DATOS %'!N11:AA113,4,FALSE)</f>
        <v>#N/A</v>
      </c>
      <c r="C8" s="32" t="s">
        <v>23</v>
      </c>
      <c r="D8" s="33" t="e">
        <f>VLOOKUP($E$6,'DATOS %'!N11:AA113,5,FALSE)</f>
        <v>#N/A</v>
      </c>
      <c r="E8" s="27"/>
      <c r="F8" s="30" t="s">
        <v>22</v>
      </c>
      <c r="G8" s="31" t="e">
        <f>VLOOKUP($J$6,'DATOS %'!B47:I79,4,FALSE)</f>
        <v>#N/A</v>
      </c>
      <c r="H8" s="32" t="s">
        <v>23</v>
      </c>
      <c r="I8" s="297" t="e">
        <f>VLOOKUP($J$6,'DATOS %'!B47:I79,5,FALSE)</f>
        <v>#N/A</v>
      </c>
      <c r="J8" s="29"/>
    </row>
    <row r="9" spans="1:16" ht="31.5" customHeight="1" x14ac:dyDescent="0.2">
      <c r="A9" s="34" t="s">
        <v>24</v>
      </c>
      <c r="B9" s="31" t="e">
        <f>VLOOKUP($E$6,'DATOS %'!N11:AA113,6,FALSE)</f>
        <v>#N/A</v>
      </c>
      <c r="C9" s="35" t="s">
        <v>15</v>
      </c>
      <c r="D9" s="36" t="e">
        <f>VLOOKUP($E$6,'DATOS %'!N11:AA113,7,FALSE)</f>
        <v>#N/A</v>
      </c>
      <c r="F9" s="1252" t="s">
        <v>62</v>
      </c>
      <c r="G9" s="1253"/>
      <c r="H9" s="31" t="e">
        <f>VLOOKUP($J$6,'DATOS %'!B47:I79,6,FALSE)</f>
        <v>#N/A</v>
      </c>
      <c r="I9" s="33" t="s">
        <v>1</v>
      </c>
      <c r="J9" s="29"/>
      <c r="K9" s="208"/>
    </row>
    <row r="10" spans="1:16" s="38" customFormat="1" ht="31.5" customHeight="1" x14ac:dyDescent="0.25">
      <c r="A10" s="1252" t="s">
        <v>63</v>
      </c>
      <c r="B10" s="1253"/>
      <c r="C10" s="223" t="e">
        <f>VLOOKUP($E$6,'DATOS %'!N11:AA113,8,FALSE)</f>
        <v>#N/A</v>
      </c>
      <c r="D10" s="33" t="s">
        <v>1</v>
      </c>
      <c r="F10" s="1252" t="s">
        <v>64</v>
      </c>
      <c r="G10" s="1253"/>
      <c r="H10" s="213" t="e">
        <f>VLOOKUP($J$6,'DATOS %'!B47:I79,7,FALSE)</f>
        <v>#N/A</v>
      </c>
      <c r="I10" s="33" t="s">
        <v>76</v>
      </c>
      <c r="J10" s="39"/>
    </row>
    <row r="11" spans="1:16" s="38" customFormat="1" ht="31.5" customHeight="1" thickBot="1" x14ac:dyDescent="0.3">
      <c r="A11" s="1252" t="s">
        <v>65</v>
      </c>
      <c r="B11" s="1253"/>
      <c r="C11" s="31" t="e">
        <f>VLOOKUP($E$6,'DATOS %'!N11:AA113,9,FALSE)</f>
        <v>#N/A</v>
      </c>
      <c r="D11" s="33" t="s">
        <v>3</v>
      </c>
      <c r="E11" s="40"/>
      <c r="F11" s="1271" t="s">
        <v>66</v>
      </c>
      <c r="G11" s="1272"/>
      <c r="H11" s="41" t="e">
        <f>VLOOKUP($J$6,'DATOS %'!B47:I79,8,FALSE)</f>
        <v>#N/A</v>
      </c>
      <c r="I11" s="45" t="s">
        <v>76</v>
      </c>
      <c r="J11" s="39"/>
    </row>
    <row r="12" spans="1:16" s="38" customFormat="1" ht="31.5" customHeight="1" thickBot="1" x14ac:dyDescent="0.3">
      <c r="A12" s="1252" t="s">
        <v>67</v>
      </c>
      <c r="B12" s="1253"/>
      <c r="C12" s="31" t="e">
        <f>VLOOKUP($E$6,'DATOS %'!N11:AA113,10,FALSE)</f>
        <v>#N/A</v>
      </c>
      <c r="D12" s="33" t="s">
        <v>3</v>
      </c>
      <c r="E12" s="39"/>
      <c r="F12" s="39"/>
      <c r="G12" s="39"/>
      <c r="H12" s="39"/>
    </row>
    <row r="13" spans="1:16" s="38" customFormat="1" ht="31.5" customHeight="1" thickBot="1" x14ac:dyDescent="0.3">
      <c r="A13" s="1252" t="s">
        <v>68</v>
      </c>
      <c r="B13" s="1253"/>
      <c r="C13" s="213" t="e">
        <f>VLOOKUP($E$6,'DATOS %'!N11:AA113,11,FALSE)</f>
        <v>#N/A</v>
      </c>
      <c r="D13" s="33" t="s">
        <v>76</v>
      </c>
      <c r="E13" s="39"/>
      <c r="F13" s="1254" t="s">
        <v>559</v>
      </c>
      <c r="G13" s="1255"/>
      <c r="H13" s="1255"/>
      <c r="I13" s="1256"/>
      <c r="J13" s="5"/>
    </row>
    <row r="14" spans="1:16" s="38" customFormat="1" ht="31.5" customHeight="1" x14ac:dyDescent="0.2">
      <c r="A14" s="1252" t="s">
        <v>305</v>
      </c>
      <c r="B14" s="1253"/>
      <c r="C14" s="31" t="e">
        <f>VLOOKUP($E$6,'DATOS %'!N11:AA113,12,FALSE)</f>
        <v>#N/A</v>
      </c>
      <c r="D14" s="33" t="s">
        <v>76</v>
      </c>
      <c r="E14" s="39"/>
      <c r="F14" s="23" t="s">
        <v>10</v>
      </c>
      <c r="G14" s="24" t="e">
        <f>VLOOKUP($J$13,'DATOS %'!$V$119:$Y$126,2,FALSE)</f>
        <v>#N/A</v>
      </c>
      <c r="H14" s="28" t="s">
        <v>22</v>
      </c>
      <c r="I14" s="24" t="e">
        <f>VLOOKUP($J$13,'DATOS %'!$V$119:$Z$126,3,FALSE)</f>
        <v>#N/A</v>
      </c>
      <c r="J14" s="42"/>
      <c r="K14" s="8"/>
    </row>
    <row r="15" spans="1:16" ht="31.5" customHeight="1" thickBot="1" x14ac:dyDescent="0.25">
      <c r="A15" s="1277" t="s">
        <v>69</v>
      </c>
      <c r="B15" s="1278"/>
      <c r="C15" s="31" t="e">
        <f>VLOOKUP($E$6,'DATOS %'!N11:AA113,13,FALSE)</f>
        <v>#N/A</v>
      </c>
      <c r="D15" s="33" t="s">
        <v>76</v>
      </c>
      <c r="E15" s="29"/>
      <c r="F15" s="43" t="s">
        <v>61</v>
      </c>
      <c r="G15" s="41" t="e">
        <f>VLOOKUP($J$13,'DATOS %'!$V$119:$Y$126,4,FALSE)</f>
        <v>#N/A</v>
      </c>
      <c r="H15" s="41" t="s">
        <v>1</v>
      </c>
      <c r="I15" s="238" t="s">
        <v>210</v>
      </c>
      <c r="J15" s="45" t="e">
        <f>VLOOKUP($J$13,'DATOS %'!$V$119:$Z$126,5,FALSE)</f>
        <v>#N/A</v>
      </c>
      <c r="K15" s="22"/>
    </row>
    <row r="16" spans="1:16" ht="30.95" customHeight="1" thickBot="1" x14ac:dyDescent="0.25">
      <c r="A16" s="1279" t="s">
        <v>210</v>
      </c>
      <c r="B16" s="1280"/>
      <c r="C16" s="1281" t="e">
        <f>VLOOKUP($E$6,'DATOS %'!N11:AA113,14,FALSE)</f>
        <v>#N/A</v>
      </c>
      <c r="D16" s="1282"/>
      <c r="E16" s="29"/>
      <c r="F16" s="8"/>
      <c r="G16" s="8"/>
      <c r="H16" s="8"/>
      <c r="I16" s="8"/>
      <c r="J16" s="8"/>
    </row>
    <row r="17" spans="1:11" s="22" customFormat="1" ht="30.95" customHeight="1" thickBot="1" x14ac:dyDescent="0.25">
      <c r="A17" s="29"/>
      <c r="B17" s="29"/>
      <c r="C17" s="29"/>
      <c r="D17" s="29"/>
      <c r="E17" s="29"/>
      <c r="F17" s="29"/>
      <c r="G17" s="29"/>
      <c r="H17" s="29"/>
      <c r="I17" s="29"/>
      <c r="J17" s="29"/>
      <c r="K17" s="8"/>
    </row>
    <row r="18" spans="1:11" ht="31.5" customHeight="1" thickBot="1" x14ac:dyDescent="0.25">
      <c r="A18" s="1331" t="s">
        <v>26</v>
      </c>
      <c r="B18" s="1332"/>
      <c r="C18" s="1332"/>
      <c r="D18" s="1332"/>
      <c r="E18" s="1332"/>
      <c r="F18" s="1332"/>
      <c r="G18" s="1332"/>
      <c r="H18" s="1332"/>
      <c r="I18" s="1332"/>
      <c r="J18" s="1333"/>
    </row>
    <row r="19" spans="1:11" ht="46.5" customHeight="1" thickBot="1" x14ac:dyDescent="0.25">
      <c r="A19" s="407" t="s">
        <v>10</v>
      </c>
      <c r="B19" s="101" t="e">
        <f>VLOOKUP(J19,'DATOS %'!J174:W180,2,FALSE)</f>
        <v>#N/A</v>
      </c>
      <c r="C19" s="95" t="s">
        <v>7</v>
      </c>
      <c r="D19" s="408" t="e">
        <f>VLOOKUP(J19,'DATOS %'!J174:W180,3,FALSE)</f>
        <v>#N/A</v>
      </c>
      <c r="E19" s="409" t="s">
        <v>24</v>
      </c>
      <c r="F19" s="1286" t="e">
        <f>VLOOKUP(J19,'DATOS %'!J174:W180,5,FALSE)</f>
        <v>#N/A</v>
      </c>
      <c r="G19" s="1287"/>
      <c r="H19" s="95" t="s">
        <v>25</v>
      </c>
      <c r="I19" s="212" t="e">
        <f>VLOOKUP(J19,'DATOS %'!J174:W180,4,FALSE)</f>
        <v>#N/A</v>
      </c>
      <c r="J19" s="1374"/>
    </row>
    <row r="20" spans="1:11" ht="31.5" customHeight="1" thickBot="1" x14ac:dyDescent="0.25">
      <c r="A20" s="1290" t="s">
        <v>316</v>
      </c>
      <c r="B20" s="1291"/>
      <c r="C20" s="94" t="s">
        <v>27</v>
      </c>
      <c r="D20" s="101" t="e">
        <f>VLOOKUP(J19,'DATOS %'!J174:W180,6,FALSE)</f>
        <v>#N/A</v>
      </c>
      <c r="E20" s="1292" t="s">
        <v>307</v>
      </c>
      <c r="F20" s="1293"/>
      <c r="G20" s="101" t="e">
        <f>VLOOKUP(J19,'DATOS %'!J174:W180,7,FALSE)</f>
        <v>#N/A</v>
      </c>
      <c r="H20" s="95" t="s">
        <v>9</v>
      </c>
      <c r="I20" s="214" t="e">
        <f>VLOOKUP(J19,'DATOS %'!J174:W180,8,FALSE)</f>
        <v>#N/A</v>
      </c>
      <c r="J20" s="1289"/>
    </row>
    <row r="21" spans="1:11" s="46" customFormat="1" ht="15" customHeight="1" thickBot="1" x14ac:dyDescent="0.25">
      <c r="A21" s="47"/>
      <c r="B21" s="47"/>
      <c r="C21" s="47"/>
      <c r="D21" s="47"/>
      <c r="E21" s="47"/>
      <c r="F21" s="47"/>
      <c r="G21" s="47"/>
      <c r="H21" s="47"/>
      <c r="I21" s="47"/>
      <c r="J21" s="47"/>
      <c r="K21" s="8"/>
    </row>
    <row r="22" spans="1:11" s="48" customFormat="1" ht="31.5" customHeight="1" thickBot="1" x14ac:dyDescent="0.25">
      <c r="A22" s="1294" t="s">
        <v>28</v>
      </c>
      <c r="B22" s="1295"/>
      <c r="C22" s="1295"/>
      <c r="D22" s="1295"/>
      <c r="E22" s="1295"/>
      <c r="F22" s="1295"/>
      <c r="G22" s="1295"/>
      <c r="H22" s="1295"/>
      <c r="I22" s="1295"/>
      <c r="J22" s="1296"/>
      <c r="K22" s="47"/>
    </row>
    <row r="23" spans="1:11" s="47" customFormat="1" ht="2.25" customHeight="1" thickBot="1" x14ac:dyDescent="0.25">
      <c r="A23" s="49"/>
      <c r="B23" s="50"/>
      <c r="C23" s="50"/>
      <c r="D23" s="50"/>
      <c r="E23" s="50"/>
      <c r="F23" s="50"/>
      <c r="G23" s="50"/>
      <c r="H23" s="50"/>
      <c r="I23" s="50"/>
      <c r="J23" s="51"/>
      <c r="K23" s="48"/>
    </row>
    <row r="24" spans="1:11" s="48" customFormat="1" ht="31.5" customHeight="1" thickBot="1" x14ac:dyDescent="0.25">
      <c r="A24" s="52" t="s">
        <v>29</v>
      </c>
      <c r="B24" s="916"/>
      <c r="C24" s="1297" t="s">
        <v>27</v>
      </c>
      <c r="D24" s="1298"/>
      <c r="E24" s="2"/>
      <c r="F24" s="1684" t="s">
        <v>307</v>
      </c>
      <c r="G24" s="1685"/>
      <c r="H24" s="2"/>
      <c r="I24" s="972" t="s">
        <v>9</v>
      </c>
      <c r="J24" s="364"/>
      <c r="K24" s="46"/>
    </row>
    <row r="25" spans="1:11" s="46" customFormat="1" ht="15" customHeight="1" thickBot="1" x14ac:dyDescent="0.25">
      <c r="A25" s="47"/>
      <c r="B25" s="47"/>
      <c r="C25" s="47"/>
      <c r="D25" s="47"/>
      <c r="E25" s="47"/>
      <c r="F25" s="47"/>
      <c r="G25" s="47"/>
      <c r="H25" s="6"/>
      <c r="I25" s="47"/>
      <c r="K25" s="48"/>
    </row>
    <row r="26" spans="1:11" s="48" customFormat="1" ht="29.25" customHeight="1" thickBot="1" x14ac:dyDescent="0.25">
      <c r="A26" s="115" t="s">
        <v>129</v>
      </c>
      <c r="B26" s="105">
        <v>4</v>
      </c>
      <c r="C26" s="1301" t="s">
        <v>30</v>
      </c>
      <c r="D26" s="1302"/>
      <c r="E26" s="1302"/>
      <c r="F26" s="1303"/>
      <c r="G26" s="1304" t="s">
        <v>211</v>
      </c>
      <c r="H26" s="1305"/>
    </row>
    <row r="27" spans="1:11" s="48" customFormat="1" ht="31.5" customHeight="1" thickBot="1" x14ac:dyDescent="0.25">
      <c r="A27" s="1273" t="s">
        <v>31</v>
      </c>
      <c r="B27" s="1274"/>
      <c r="C27" s="237">
        <v>1</v>
      </c>
      <c r="D27" s="237">
        <v>2</v>
      </c>
      <c r="E27" s="237">
        <v>3</v>
      </c>
      <c r="F27" s="129">
        <v>4</v>
      </c>
      <c r="G27" s="1275" t="e">
        <f>VLOOKUP($H$25,'DATOS %'!$V$161:$AA$165,2,FALSE)</f>
        <v>#N/A</v>
      </c>
      <c r="H27" s="1276"/>
    </row>
    <row r="28" spans="1:11" s="48" customFormat="1" ht="31.5" customHeight="1" x14ac:dyDescent="0.2">
      <c r="A28" s="1310" t="s">
        <v>32</v>
      </c>
      <c r="B28" s="141" t="s">
        <v>0</v>
      </c>
      <c r="C28" s="244"/>
      <c r="D28" s="244"/>
      <c r="E28" s="244"/>
      <c r="F28" s="245"/>
      <c r="G28" s="47"/>
      <c r="H28" s="47"/>
      <c r="I28" s="47"/>
      <c r="J28" s="47"/>
    </row>
    <row r="29" spans="1:11" s="48" customFormat="1" ht="31.5" customHeight="1" x14ac:dyDescent="0.2">
      <c r="A29" s="1311"/>
      <c r="B29" s="104" t="s">
        <v>2</v>
      </c>
      <c r="C29" s="246"/>
      <c r="D29" s="246"/>
      <c r="E29" s="246"/>
      <c r="F29" s="247"/>
      <c r="G29" s="47"/>
      <c r="H29" s="47"/>
      <c r="I29" s="47"/>
      <c r="J29" s="47"/>
    </row>
    <row r="30" spans="1:11" s="48" customFormat="1" ht="31.5" customHeight="1" x14ac:dyDescent="0.2">
      <c r="A30" s="1311"/>
      <c r="B30" s="104" t="s">
        <v>2</v>
      </c>
      <c r="C30" s="246"/>
      <c r="D30" s="246"/>
      <c r="E30" s="246"/>
      <c r="F30" s="247"/>
      <c r="G30" s="47"/>
      <c r="H30" s="47"/>
      <c r="I30" s="47"/>
      <c r="J30" s="47"/>
    </row>
    <row r="31" spans="1:11" s="48" customFormat="1" ht="31.5" customHeight="1" thickBot="1" x14ac:dyDescent="0.25">
      <c r="A31" s="1312"/>
      <c r="B31" s="53" t="s">
        <v>0</v>
      </c>
      <c r="C31" s="248"/>
      <c r="D31" s="248"/>
      <c r="E31" s="248"/>
      <c r="F31" s="249"/>
      <c r="G31" s="47"/>
      <c r="H31" s="47"/>
      <c r="I31" s="47"/>
      <c r="J31" s="47"/>
      <c r="K31" s="46"/>
    </row>
    <row r="32" spans="1:11" s="46" customFormat="1" ht="15" customHeight="1" thickBot="1" x14ac:dyDescent="0.25">
      <c r="A32" s="47"/>
      <c r="B32" s="47"/>
      <c r="C32" s="47"/>
      <c r="D32" s="47"/>
      <c r="E32" s="47"/>
      <c r="F32" s="47"/>
      <c r="G32" s="47"/>
      <c r="H32" s="47"/>
      <c r="I32" s="47"/>
      <c r="J32" s="47"/>
      <c r="K32" s="48"/>
    </row>
    <row r="33" spans="1:11" s="48" customFormat="1" ht="31.5" customHeight="1" thickBot="1" x14ac:dyDescent="0.25">
      <c r="A33" s="54" t="s">
        <v>33</v>
      </c>
      <c r="B33" s="916"/>
      <c r="C33" s="1297" t="s">
        <v>27</v>
      </c>
      <c r="D33" s="1298"/>
      <c r="E33" s="1"/>
      <c r="F33" s="1684" t="s">
        <v>307</v>
      </c>
      <c r="G33" s="1685"/>
      <c r="H33" s="2"/>
      <c r="I33" s="973" t="s">
        <v>9</v>
      </c>
      <c r="J33" s="3"/>
      <c r="K33" s="46"/>
    </row>
    <row r="34" spans="1:11" s="46" customFormat="1" ht="12" customHeight="1" x14ac:dyDescent="0.2">
      <c r="A34" s="55"/>
      <c r="B34" s="55"/>
      <c r="C34" s="55"/>
      <c r="D34" s="55"/>
      <c r="E34" s="55"/>
      <c r="F34" s="55"/>
      <c r="G34" s="55"/>
      <c r="H34" s="55"/>
      <c r="I34" s="55"/>
      <c r="J34" s="55"/>
      <c r="K34" s="48"/>
    </row>
    <row r="35" spans="1:11" s="48" customFormat="1" ht="15" customHeight="1" thickBot="1" x14ac:dyDescent="0.25">
      <c r="A35" s="56"/>
      <c r="B35" s="56"/>
      <c r="C35" s="56"/>
      <c r="D35" s="56"/>
      <c r="E35" s="56"/>
      <c r="F35" s="56"/>
      <c r="G35" s="56"/>
      <c r="H35" s="56"/>
      <c r="I35" s="56"/>
      <c r="J35" s="56"/>
    </row>
    <row r="36" spans="1:11" s="48" customFormat="1" ht="32.25" customHeight="1" thickBot="1" x14ac:dyDescent="0.25">
      <c r="A36" s="1294" t="s">
        <v>34</v>
      </c>
      <c r="B36" s="1295"/>
      <c r="C36" s="1295"/>
      <c r="D36" s="1295"/>
      <c r="E36" s="1295"/>
      <c r="F36" s="1295"/>
      <c r="G36" s="1295"/>
      <c r="H36" s="1295"/>
      <c r="I36" s="1295"/>
      <c r="J36" s="1296"/>
    </row>
    <row r="37" spans="1:11" s="48" customFormat="1" ht="3.75" customHeight="1" thickBot="1" x14ac:dyDescent="0.25">
      <c r="A37" s="55"/>
      <c r="B37" s="47"/>
      <c r="C37" s="47"/>
      <c r="D37" s="47"/>
      <c r="E37" s="47"/>
      <c r="F37" s="47"/>
      <c r="G37" s="47"/>
      <c r="H37" s="47"/>
      <c r="I37" s="47"/>
      <c r="J37" s="55"/>
    </row>
    <row r="38" spans="1:11" s="48" customFormat="1" ht="31.5" customHeight="1" thickBot="1" x14ac:dyDescent="0.25">
      <c r="A38" s="47"/>
      <c r="B38" s="1316" t="s">
        <v>35</v>
      </c>
      <c r="C38" s="1317"/>
      <c r="D38" s="1317"/>
      <c r="E38" s="1317"/>
      <c r="F38" s="1318"/>
      <c r="G38" s="47"/>
      <c r="H38" s="1319" t="s">
        <v>236</v>
      </c>
      <c r="I38" s="1320"/>
      <c r="J38" s="1321"/>
    </row>
    <row r="39" spans="1:11" s="48" customFormat="1" ht="31.5" customHeight="1" thickBot="1" x14ac:dyDescent="0.25">
      <c r="A39" s="47"/>
      <c r="B39" s="57" t="s">
        <v>31</v>
      </c>
      <c r="C39" s="203">
        <v>1</v>
      </c>
      <c r="D39" s="141">
        <v>2</v>
      </c>
      <c r="E39" s="141">
        <v>3</v>
      </c>
      <c r="F39" s="204">
        <v>4</v>
      </c>
      <c r="G39" s="47"/>
      <c r="H39" s="1322"/>
      <c r="I39" s="1323"/>
      <c r="J39" s="1324"/>
    </row>
    <row r="40" spans="1:11" s="48" customFormat="1" ht="31.5" customHeight="1" x14ac:dyDescent="0.2">
      <c r="A40" s="58"/>
      <c r="B40" s="59"/>
      <c r="C40" s="121" t="e">
        <f>+AVERAGE(C28,C31)</f>
        <v>#DIV/0!</v>
      </c>
      <c r="D40" s="122" t="e">
        <f>+AVERAGE(D28,D31)</f>
        <v>#DIV/0!</v>
      </c>
      <c r="E40" s="122" t="e">
        <f>+AVERAGE(E28,E31)</f>
        <v>#DIV/0!</v>
      </c>
      <c r="F40" s="205" t="e">
        <f>+AVERAGE(F28,F31)</f>
        <v>#DIV/0!</v>
      </c>
      <c r="G40" s="47"/>
      <c r="H40" s="1325"/>
      <c r="I40" s="1326"/>
      <c r="J40" s="1327"/>
    </row>
    <row r="41" spans="1:11" s="48" customFormat="1" ht="31.5" customHeight="1" x14ac:dyDescent="0.2">
      <c r="A41" s="58"/>
      <c r="B41" s="60"/>
      <c r="C41" s="123" t="e">
        <f>+AVERAGE(C29:C30)</f>
        <v>#DIV/0!</v>
      </c>
      <c r="D41" s="61" t="e">
        <f>+AVERAGE(D29:D30)</f>
        <v>#DIV/0!</v>
      </c>
      <c r="E41" s="61" t="e">
        <f>+AVERAGE(E29:E30)</f>
        <v>#DIV/0!</v>
      </c>
      <c r="F41" s="206" t="e">
        <f>+AVERAGE(F29:F30)</f>
        <v>#DIV/0!</v>
      </c>
      <c r="G41" s="47"/>
      <c r="H41" s="1325"/>
      <c r="I41" s="1326"/>
      <c r="J41" s="1327"/>
    </row>
    <row r="42" spans="1:11" s="48" customFormat="1" ht="31.5" customHeight="1" thickBot="1" x14ac:dyDescent="0.25">
      <c r="A42" s="58"/>
      <c r="B42" s="62"/>
      <c r="C42" s="124" t="e">
        <f>+C41-C40</f>
        <v>#DIV/0!</v>
      </c>
      <c r="D42" s="125" t="e">
        <f>+D41-D40</f>
        <v>#DIV/0!</v>
      </c>
      <c r="E42" s="125" t="e">
        <f>+E41-E40</f>
        <v>#DIV/0!</v>
      </c>
      <c r="F42" s="207" t="e">
        <f>+F41-F40</f>
        <v>#DIV/0!</v>
      </c>
      <c r="G42" s="47"/>
      <c r="H42" s="1328"/>
      <c r="I42" s="1329"/>
      <c r="J42" s="1330"/>
    </row>
    <row r="43" spans="1:11" s="48" customFormat="1" ht="31.5" customHeight="1" thickBot="1" x14ac:dyDescent="0.25">
      <c r="A43" s="47"/>
      <c r="B43" s="63" t="s">
        <v>36</v>
      </c>
      <c r="C43" s="286" t="e">
        <f>+AVERAGE(C42:F42)</f>
        <v>#DIV/0!</v>
      </c>
      <c r="D43" s="47"/>
      <c r="E43" s="47"/>
      <c r="F43" s="47"/>
      <c r="G43" s="47"/>
      <c r="H43" s="47"/>
      <c r="I43" s="47"/>
      <c r="J43" s="47"/>
    </row>
    <row r="44" spans="1:11" s="48" customFormat="1" ht="31.5" customHeight="1" thickBot="1" x14ac:dyDescent="0.25">
      <c r="A44" s="47"/>
      <c r="B44" s="64" t="s">
        <v>77</v>
      </c>
      <c r="C44" s="287" t="e">
        <f>+STDEV(C42:F42)</f>
        <v>#DIV/0!</v>
      </c>
      <c r="D44" s="47"/>
      <c r="E44" s="47"/>
      <c r="F44" s="47"/>
      <c r="G44" s="47"/>
      <c r="H44" s="47"/>
      <c r="I44" s="47"/>
      <c r="J44" s="47"/>
      <c r="K44" s="46"/>
    </row>
    <row r="45" spans="1:11" s="46" customFormat="1" ht="15" customHeight="1" thickBot="1" x14ac:dyDescent="0.25">
      <c r="A45" s="47"/>
      <c r="B45" s="47"/>
      <c r="C45" s="47"/>
      <c r="D45" s="47"/>
      <c r="E45" s="47"/>
      <c r="F45" s="47"/>
      <c r="G45" s="65"/>
      <c r="H45" s="47"/>
      <c r="I45" s="47"/>
      <c r="J45" s="47"/>
      <c r="K45" s="48"/>
    </row>
    <row r="46" spans="1:11" s="48" customFormat="1" ht="31.5" customHeight="1" thickBot="1" x14ac:dyDescent="0.25">
      <c r="A46" s="1331" t="s">
        <v>37</v>
      </c>
      <c r="B46" s="1332"/>
      <c r="C46" s="1284"/>
      <c r="D46" s="1284"/>
      <c r="E46" s="1284"/>
      <c r="F46" s="1332"/>
      <c r="G46" s="1332"/>
      <c r="H46" s="1332"/>
      <c r="I46" s="1332"/>
      <c r="J46" s="1333"/>
    </row>
    <row r="47" spans="1:11" s="48" customFormat="1" ht="31.5" customHeight="1" thickBot="1" x14ac:dyDescent="0.25">
      <c r="A47" s="1375" t="s">
        <v>321</v>
      </c>
      <c r="B47" s="1376"/>
      <c r="C47" s="1338" t="s">
        <v>38</v>
      </c>
      <c r="D47" s="1339"/>
      <c r="E47" s="1340"/>
      <c r="F47" s="47"/>
      <c r="G47" s="47"/>
      <c r="H47" s="47"/>
      <c r="I47" s="47"/>
      <c r="J47" s="47"/>
    </row>
    <row r="48" spans="1:11" s="48" customFormat="1" ht="36.75" customHeight="1" thickBot="1" x14ac:dyDescent="0.25">
      <c r="A48" s="1377"/>
      <c r="B48" s="1378"/>
      <c r="C48" s="82" t="s">
        <v>27</v>
      </c>
      <c r="D48" s="93" t="s">
        <v>307</v>
      </c>
      <c r="E48" s="83" t="s">
        <v>9</v>
      </c>
      <c r="G48" s="1341" t="s">
        <v>70</v>
      </c>
      <c r="H48" s="1342"/>
      <c r="I48" s="102" t="e">
        <f>+(0.34848*E50-0.009*D50*EXP(0.061*C50))/(273.15+C50)</f>
        <v>#DIV/0!</v>
      </c>
      <c r="J48" s="103" t="s">
        <v>73</v>
      </c>
    </row>
    <row r="49" spans="1:21" s="48" customFormat="1" ht="33" customHeight="1" thickBot="1" x14ac:dyDescent="0.25">
      <c r="A49" s="1306" t="s">
        <v>39</v>
      </c>
      <c r="B49" s="1307"/>
      <c r="C49" s="90" t="e">
        <f>+AVERAGE(E33,E24)</f>
        <v>#DIV/0!</v>
      </c>
      <c r="D49" s="91" t="e">
        <f>+AVERAGE(H33,H24)</f>
        <v>#DIV/0!</v>
      </c>
      <c r="E49" s="92" t="e">
        <f>+AVERAGE(J33,J24)</f>
        <v>#DIV/0!</v>
      </c>
      <c r="G49" s="1308" t="s">
        <v>71</v>
      </c>
      <c r="H49" s="1309"/>
      <c r="I49" s="422" t="e">
        <f>I48*((0.0001)^2+(0.001*I20/2)^2+(-0.0034*D20/2)^2+(-0.01*G20/2)^2)^0.5</f>
        <v>#DIV/0!</v>
      </c>
      <c r="J49" s="66" t="s">
        <v>73</v>
      </c>
    </row>
    <row r="50" spans="1:21" s="48" customFormat="1" ht="36.75" customHeight="1" thickBot="1" x14ac:dyDescent="0.25">
      <c r="A50" s="1343" t="s">
        <v>322</v>
      </c>
      <c r="B50" s="1344"/>
      <c r="C50" s="84" t="e">
        <f>C49+(VLOOKUP(J19,'DATOS %'!J174:W180,9,FALSE))*C49+(VLOOKUP(J19,'DATOS %'!J174:W180,10,FALSE))</f>
        <v>#DIV/0!</v>
      </c>
      <c r="D50" s="85" t="e">
        <f>D49+(VLOOKUP(J19,'DATOS %'!J174:W180,11,FALSE))*D49+(VLOOKUP(J19,'DATOS %'!J174:W180,12,FALSE))</f>
        <v>#DIV/0!</v>
      </c>
      <c r="E50" s="86" t="e">
        <f>E49+(VLOOKUP(J19,'DATOS %'!J174:W180,13,FALSE))*E49+(VLOOKUP(J19,'DATOS %'!J174:W180,14,FALSE))</f>
        <v>#DIV/0!</v>
      </c>
      <c r="G50" s="1341" t="s">
        <v>72</v>
      </c>
      <c r="H50" s="1342"/>
      <c r="I50" s="67">
        <v>1.2</v>
      </c>
      <c r="J50" s="66" t="s">
        <v>73</v>
      </c>
    </row>
    <row r="51" spans="1:21" s="46" customFormat="1" ht="15" customHeight="1" thickBot="1" x14ac:dyDescent="0.25">
      <c r="A51" s="47"/>
      <c r="B51" s="47"/>
      <c r="C51" s="47"/>
      <c r="D51" s="47"/>
      <c r="E51" s="47"/>
      <c r="F51" s="47"/>
      <c r="G51" s="47"/>
      <c r="H51" s="47"/>
      <c r="I51" s="47"/>
      <c r="J51" s="47"/>
      <c r="K51" s="48"/>
    </row>
    <row r="52" spans="1:21" s="48" customFormat="1" ht="31.5" customHeight="1" thickBot="1" x14ac:dyDescent="0.25">
      <c r="A52" s="1331" t="s">
        <v>40</v>
      </c>
      <c r="B52" s="1332"/>
      <c r="C52" s="1332"/>
      <c r="D52" s="1332"/>
      <c r="E52" s="1332"/>
      <c r="F52" s="1332"/>
      <c r="G52" s="1332"/>
      <c r="H52" s="1332"/>
      <c r="I52" s="1332"/>
      <c r="J52" s="1333"/>
    </row>
    <row r="53" spans="1:21" s="48" customFormat="1" ht="31.5" customHeight="1" x14ac:dyDescent="0.35">
      <c r="A53" s="47"/>
      <c r="B53" s="68" t="s">
        <v>41</v>
      </c>
      <c r="C53" s="69"/>
      <c r="D53" s="1345" t="s">
        <v>74</v>
      </c>
      <c r="E53" s="1345"/>
      <c r="F53" s="70" t="s">
        <v>42</v>
      </c>
      <c r="G53" s="71" t="s">
        <v>43</v>
      </c>
      <c r="H53" s="1346" t="s">
        <v>44</v>
      </c>
      <c r="I53" s="1347"/>
      <c r="J53" s="47"/>
    </row>
    <row r="54" spans="1:21" s="48" customFormat="1" ht="31.5" customHeight="1" thickBot="1" x14ac:dyDescent="0.25">
      <c r="A54" s="47"/>
      <c r="B54" s="72" t="e">
        <f>+C43</f>
        <v>#DIV/0!</v>
      </c>
      <c r="C54" s="73" t="s">
        <v>1</v>
      </c>
      <c r="D54" s="74" t="e">
        <f>+C10+C11/1000</f>
        <v>#N/A</v>
      </c>
      <c r="E54" s="73" t="s">
        <v>1</v>
      </c>
      <c r="F54" s="74" t="e">
        <f>+(I48-I50)*(1/H10-1/C13)</f>
        <v>#DIV/0!</v>
      </c>
      <c r="G54" s="75"/>
      <c r="H54" s="67" t="e">
        <f>+(B54+D54*F54)*1000</f>
        <v>#DIV/0!</v>
      </c>
      <c r="I54" s="66" t="s">
        <v>3</v>
      </c>
      <c r="J54" s="47"/>
      <c r="K54" s="46"/>
    </row>
    <row r="55" spans="1:21" s="46" customFormat="1" ht="15" customHeight="1" x14ac:dyDescent="0.2">
      <c r="A55" s="47"/>
      <c r="B55" s="47"/>
      <c r="C55" s="47"/>
      <c r="D55" s="47"/>
      <c r="E55" s="47"/>
      <c r="F55" s="47"/>
      <c r="G55" s="47"/>
      <c r="H55" s="47"/>
      <c r="I55" s="47"/>
      <c r="J55" s="47"/>
      <c r="K55" s="48"/>
    </row>
    <row r="56" spans="1:21" s="48" customFormat="1" ht="31.5" customHeight="1" x14ac:dyDescent="0.2">
      <c r="A56" s="1348" t="s">
        <v>45</v>
      </c>
      <c r="B56" s="1349"/>
      <c r="C56" s="1349"/>
      <c r="D56" s="1349"/>
      <c r="E56" s="1349"/>
      <c r="F56" s="1349"/>
      <c r="G56" s="1349"/>
      <c r="H56" s="1349"/>
      <c r="I56" s="1349"/>
      <c r="J56" s="1349"/>
      <c r="K56" s="46"/>
    </row>
    <row r="57" spans="1:21" s="46" customFormat="1" ht="15" customHeight="1" thickBot="1" x14ac:dyDescent="0.25">
      <c r="A57" s="47"/>
      <c r="B57" s="47"/>
      <c r="C57" s="47"/>
      <c r="D57" s="47"/>
      <c r="E57" s="47"/>
      <c r="K57" s="48"/>
    </row>
    <row r="58" spans="1:21" s="48" customFormat="1" ht="31.5" customHeight="1" thickBot="1" x14ac:dyDescent="0.25">
      <c r="A58" s="1350" t="s">
        <v>38</v>
      </c>
      <c r="B58" s="1351"/>
      <c r="C58" s="1352" t="s">
        <v>46</v>
      </c>
      <c r="D58" s="1353"/>
      <c r="E58" s="1354" t="s">
        <v>238</v>
      </c>
      <c r="F58" s="1379"/>
      <c r="G58" s="1061" t="s">
        <v>553</v>
      </c>
      <c r="J58" s="114"/>
      <c r="L58" s="46"/>
      <c r="Q58" s="47"/>
      <c r="R58" s="47"/>
      <c r="S58" s="47"/>
      <c r="T58" s="47"/>
      <c r="U58" s="47"/>
    </row>
    <row r="59" spans="1:21" s="48" customFormat="1" ht="57.95" customHeight="1" thickBot="1" x14ac:dyDescent="0.25">
      <c r="A59" s="1024" t="s">
        <v>47</v>
      </c>
      <c r="B59" s="1025"/>
      <c r="C59" s="1026" t="e">
        <f>+C44/B26^0.5*1000</f>
        <v>#DIV/0!</v>
      </c>
      <c r="D59" s="1017" t="s">
        <v>3</v>
      </c>
      <c r="E59" s="1027" t="s">
        <v>240</v>
      </c>
      <c r="F59" s="139">
        <f>$B$26-1</f>
        <v>3</v>
      </c>
      <c r="G59" s="1111" t="e">
        <f>(C59/$G$70)^2</f>
        <v>#DIV/0!</v>
      </c>
      <c r="H59" s="47"/>
      <c r="K59" s="156">
        <v>0.3</v>
      </c>
      <c r="L59" s="157">
        <v>1.65</v>
      </c>
      <c r="M59" s="113"/>
    </row>
    <row r="60" spans="1:21" s="48" customFormat="1" ht="57.95" customHeight="1" thickBot="1" x14ac:dyDescent="0.25">
      <c r="A60" s="1019" t="s">
        <v>343</v>
      </c>
      <c r="B60" s="1020" t="s">
        <v>48</v>
      </c>
      <c r="C60" s="1021" t="e">
        <f>+C12/2</f>
        <v>#N/A</v>
      </c>
      <c r="D60" s="1022" t="s">
        <v>3</v>
      </c>
      <c r="E60" s="1023" t="s">
        <v>239</v>
      </c>
      <c r="F60" s="146" t="s">
        <v>265</v>
      </c>
      <c r="G60" s="1112"/>
      <c r="H60" s="1380" t="s">
        <v>241</v>
      </c>
      <c r="I60" s="1356"/>
      <c r="J60" s="1356"/>
      <c r="K60" s="1356"/>
      <c r="L60" s="1356"/>
      <c r="M60" s="1357"/>
    </row>
    <row r="61" spans="1:21" s="48" customFormat="1" ht="57.95" customHeight="1" thickBot="1" x14ac:dyDescent="0.25">
      <c r="A61" s="1028" t="s">
        <v>344</v>
      </c>
      <c r="B61" s="1029"/>
      <c r="C61" s="1030" t="e">
        <f>+C12/3^0.5</f>
        <v>#N/A</v>
      </c>
      <c r="D61" s="1031" t="s">
        <v>3</v>
      </c>
      <c r="E61" s="1032" t="s">
        <v>239</v>
      </c>
      <c r="F61" s="147" t="s">
        <v>265</v>
      </c>
      <c r="G61" s="1112"/>
      <c r="H61" s="132" t="s">
        <v>243</v>
      </c>
      <c r="I61" s="149" t="e">
        <f>MAX(C59:C62,C66:C67,C68)</f>
        <v>#DIV/0!</v>
      </c>
      <c r="J61" s="151" t="e">
        <f>IF((I62)&lt;=(K59),"1,65","2")</f>
        <v>#DIV/0!</v>
      </c>
      <c r="K61" s="152" t="s">
        <v>242</v>
      </c>
      <c r="L61" s="153" t="s">
        <v>237</v>
      </c>
      <c r="M61" s="360" t="s">
        <v>328</v>
      </c>
    </row>
    <row r="62" spans="1:21" s="48" customFormat="1" ht="57.95" customHeight="1" thickBot="1" x14ac:dyDescent="0.3">
      <c r="A62" s="1024" t="s">
        <v>49</v>
      </c>
      <c r="B62" s="1035"/>
      <c r="C62" s="1036" t="e">
        <f>+SQRT(SUMSQ(C60:C61))</f>
        <v>#N/A</v>
      </c>
      <c r="D62" s="1017" t="s">
        <v>3</v>
      </c>
      <c r="E62" s="1037" t="s">
        <v>240</v>
      </c>
      <c r="F62" s="139">
        <v>200</v>
      </c>
      <c r="G62" s="1112" t="e">
        <f t="shared" ref="G62:G68" si="0">(C62/$G$70)^2</f>
        <v>#N/A</v>
      </c>
      <c r="H62" s="133" t="s">
        <v>244</v>
      </c>
      <c r="I62" s="150" t="e">
        <f>SQRT((C59)^2+(C66)^2+(C67)^2)/I61</f>
        <v>#DIV/0!</v>
      </c>
      <c r="J62" s="126"/>
      <c r="K62" s="154" t="s">
        <v>242</v>
      </c>
      <c r="L62" s="155" t="s">
        <v>252</v>
      </c>
      <c r="M62" s="361" t="s">
        <v>329</v>
      </c>
    </row>
    <row r="63" spans="1:21" s="48" customFormat="1" ht="57.95" customHeight="1" x14ac:dyDescent="0.2">
      <c r="A63" s="1019" t="s">
        <v>345</v>
      </c>
      <c r="B63" s="1020"/>
      <c r="C63" s="1033" t="e">
        <f>+I49</f>
        <v>#DIV/0!</v>
      </c>
      <c r="D63" s="1021" t="s">
        <v>73</v>
      </c>
      <c r="E63" s="1034" t="s">
        <v>239</v>
      </c>
      <c r="F63" s="146" t="s">
        <v>265</v>
      </c>
      <c r="G63" s="1112"/>
      <c r="L63" s="46"/>
      <c r="T63" s="46"/>
      <c r="U63" s="46"/>
    </row>
    <row r="64" spans="1:21" s="48" customFormat="1" ht="57.95" customHeight="1" x14ac:dyDescent="0.2">
      <c r="A64" s="426" t="s">
        <v>50</v>
      </c>
      <c r="B64" s="1018"/>
      <c r="C64" s="425" t="e">
        <f>+H11/2</f>
        <v>#N/A</v>
      </c>
      <c r="D64" s="424" t="s">
        <v>73</v>
      </c>
      <c r="E64" s="423" t="s">
        <v>239</v>
      </c>
      <c r="F64" s="148" t="s">
        <v>265</v>
      </c>
      <c r="G64" s="1112"/>
      <c r="H64" s="130"/>
      <c r="J64" s="130"/>
      <c r="K64" s="130"/>
      <c r="L64" s="130"/>
      <c r="M64" s="130"/>
      <c r="Q64" s="47"/>
      <c r="R64" s="47"/>
      <c r="S64" s="47"/>
      <c r="T64" s="47"/>
      <c r="U64" s="47"/>
    </row>
    <row r="65" spans="1:21" s="48" customFormat="1" ht="57.95" customHeight="1" thickBot="1" x14ac:dyDescent="0.25">
      <c r="A65" s="1028" t="s">
        <v>346</v>
      </c>
      <c r="B65" s="1038"/>
      <c r="C65" s="1039" t="e">
        <f>+C14/2</f>
        <v>#N/A</v>
      </c>
      <c r="D65" s="1031" t="s">
        <v>73</v>
      </c>
      <c r="E65" s="1040" t="s">
        <v>239</v>
      </c>
      <c r="F65" s="147" t="s">
        <v>265</v>
      </c>
      <c r="G65" s="1112"/>
      <c r="H65" s="130"/>
      <c r="I65" s="130"/>
      <c r="J65" s="130"/>
      <c r="K65" s="130"/>
      <c r="L65" s="130"/>
      <c r="M65" s="130"/>
      <c r="Q65" s="46"/>
      <c r="R65" s="46"/>
      <c r="S65" s="46"/>
      <c r="T65" s="46"/>
      <c r="U65" s="46"/>
    </row>
    <row r="66" spans="1:21" s="48" customFormat="1" ht="57.95" customHeight="1" thickBot="1" x14ac:dyDescent="0.3">
      <c r="A66" s="1024" t="s">
        <v>347</v>
      </c>
      <c r="B66" s="1035"/>
      <c r="C66" s="1036" t="e">
        <f>+SQRT(ABS(((C10/1000+C11/1000000)*(C13-H10)/(C13*H10)*C63)^2+((C10/1000+C11/1000000)*(I48-I50))^2*C64^2/H10^4+(C10/1000+C11/1000000)^2*(I48-I50)*((I48-I50)-2*(C15-I50))*C65^2/C13^4))*1000000</f>
        <v>#N/A</v>
      </c>
      <c r="D66" s="1051" t="s">
        <v>3</v>
      </c>
      <c r="E66" s="1037" t="s">
        <v>240</v>
      </c>
      <c r="F66" s="139">
        <v>200</v>
      </c>
      <c r="G66" s="1112" t="e">
        <f t="shared" si="0"/>
        <v>#N/A</v>
      </c>
      <c r="H66" s="130"/>
      <c r="I66" s="1093" t="s">
        <v>554</v>
      </c>
      <c r="J66" s="1095" t="s">
        <v>556</v>
      </c>
      <c r="K66" s="1094" t="s">
        <v>555</v>
      </c>
      <c r="L66" s="130"/>
      <c r="M66" s="130"/>
      <c r="Q66" s="47"/>
      <c r="R66" s="47"/>
      <c r="S66" s="47"/>
      <c r="T66" s="47"/>
      <c r="U66" s="47"/>
    </row>
    <row r="67" spans="1:21" s="48" customFormat="1" ht="57.95" customHeight="1" thickBot="1" x14ac:dyDescent="0.3">
      <c r="A67" s="1047" t="s">
        <v>52</v>
      </c>
      <c r="B67" s="1048"/>
      <c r="C67" s="1049" t="e">
        <f>+(G15/2/3^0.5)*2^0.5*1000</f>
        <v>#N/A</v>
      </c>
      <c r="D67" s="1044" t="s">
        <v>3</v>
      </c>
      <c r="E67" s="1045" t="s">
        <v>239</v>
      </c>
      <c r="F67" s="1050">
        <v>200</v>
      </c>
      <c r="G67" s="1112" t="e">
        <f t="shared" si="0"/>
        <v>#N/A</v>
      </c>
      <c r="H67" s="130"/>
      <c r="I67" s="1096" t="e">
        <f>G70^4/((C59^4/F59)+(C62^4/F62)+(C66^4/F66)+(C67^4/F67)+(C68^4/F68))</f>
        <v>#DIV/0!</v>
      </c>
      <c r="J67" s="1097" t="e">
        <f>TINV(0.05,I67)</f>
        <v>#DIV/0!</v>
      </c>
      <c r="K67" s="1098" t="e">
        <f>1-TDIST(J67,I67,2)</f>
        <v>#DIV/0!</v>
      </c>
      <c r="L67" s="130"/>
      <c r="M67" s="130"/>
    </row>
    <row r="68" spans="1:21" s="46" customFormat="1" ht="65.25" customHeight="1" thickBot="1" x14ac:dyDescent="0.3">
      <c r="A68" s="1041" t="s">
        <v>551</v>
      </c>
      <c r="B68" s="1042"/>
      <c r="C68" s="1043">
        <f>0.37/SQRT(45)</f>
        <v>5.5156343444994808E-2</v>
      </c>
      <c r="D68" s="1044" t="s">
        <v>3</v>
      </c>
      <c r="E68" s="1045" t="s">
        <v>240</v>
      </c>
      <c r="F68" s="1046">
        <v>50</v>
      </c>
      <c r="G68" s="1113" t="e">
        <f t="shared" si="0"/>
        <v>#DIV/0!</v>
      </c>
      <c r="H68" s="130"/>
      <c r="I68" s="130"/>
      <c r="J68" s="130"/>
      <c r="K68" s="130"/>
      <c r="L68" s="130"/>
      <c r="M68" s="130"/>
      <c r="S68" s="48"/>
      <c r="T68" s="48"/>
      <c r="U68" s="48"/>
    </row>
    <row r="69" spans="1:21" s="46" customFormat="1" ht="65.25" customHeight="1" thickBot="1" x14ac:dyDescent="0.25">
      <c r="A69" s="130"/>
      <c r="B69" s="130"/>
      <c r="C69" s="130"/>
      <c r="D69" s="130"/>
      <c r="E69" s="130"/>
      <c r="F69" s="130"/>
      <c r="G69" s="1114" t="e">
        <f>SUM(G59,G62,G66,G67,G68)</f>
        <v>#DIV/0!</v>
      </c>
      <c r="H69" s="130"/>
      <c r="I69" s="130"/>
      <c r="J69" s="130"/>
      <c r="K69" s="130"/>
      <c r="L69" s="130"/>
      <c r="M69" s="130"/>
      <c r="S69" s="48"/>
      <c r="T69" s="48"/>
      <c r="U69" s="48"/>
    </row>
    <row r="70" spans="1:21" s="106" customFormat="1" ht="51.75" customHeight="1" thickBot="1" x14ac:dyDescent="0.3">
      <c r="D70" s="1306" t="s">
        <v>51</v>
      </c>
      <c r="E70" s="1307"/>
      <c r="F70" s="134"/>
      <c r="G70" s="140" t="e">
        <f>+SQRT(SUMSQ(C59,C62,C66,C67,C68))</f>
        <v>#DIV/0!</v>
      </c>
      <c r="H70" s="136" t="s">
        <v>3</v>
      </c>
      <c r="K70" s="130"/>
      <c r="L70" s="130"/>
      <c r="M70" s="130"/>
      <c r="S70" s="48"/>
      <c r="T70" s="48"/>
      <c r="U70" s="48"/>
    </row>
    <row r="71" spans="1:21" s="106" customFormat="1" ht="35.1" customHeight="1" thickBot="1" x14ac:dyDescent="0.25">
      <c r="D71" s="1306" t="s">
        <v>53</v>
      </c>
      <c r="E71" s="1307"/>
      <c r="F71" s="135"/>
      <c r="G71" s="140" t="e">
        <f>+G70*2</f>
        <v>#DIV/0!</v>
      </c>
      <c r="H71" s="137" t="s">
        <v>3</v>
      </c>
      <c r="K71" s="110"/>
      <c r="L71" s="107"/>
      <c r="O71" s="48"/>
      <c r="P71" s="48"/>
      <c r="Q71" s="48"/>
      <c r="R71" s="48"/>
      <c r="S71" s="48"/>
      <c r="T71" s="48"/>
      <c r="U71" s="48"/>
    </row>
    <row r="72" spans="1:21" s="106" customFormat="1" ht="33.75" customHeight="1" thickBot="1" x14ac:dyDescent="4.45">
      <c r="B72" s="1313" t="s">
        <v>54</v>
      </c>
      <c r="C72" s="1314"/>
      <c r="D72" s="1314"/>
      <c r="E72" s="1314"/>
      <c r="F72" s="1314"/>
      <c r="G72" s="1314"/>
      <c r="H72" s="1314"/>
      <c r="I72" s="1314"/>
      <c r="J72" s="1314"/>
      <c r="K72" s="1315"/>
      <c r="L72" s="117"/>
      <c r="O72" s="48"/>
      <c r="P72" s="48"/>
      <c r="Q72" s="48"/>
      <c r="R72" s="48"/>
      <c r="S72" s="48"/>
      <c r="T72" s="48"/>
      <c r="U72" s="48"/>
    </row>
    <row r="73" spans="1:21" s="106" customFormat="1" ht="35.1" customHeight="1" thickBot="1" x14ac:dyDescent="0.25">
      <c r="B73" s="1368" t="s">
        <v>255</v>
      </c>
      <c r="C73" s="1369"/>
      <c r="D73" s="1369"/>
      <c r="E73" s="1370"/>
      <c r="F73" s="79"/>
      <c r="G73" s="80"/>
      <c r="H73" s="1371"/>
      <c r="I73" s="1372"/>
      <c r="J73" s="1372"/>
      <c r="K73" s="1373"/>
      <c r="O73" s="48"/>
      <c r="P73" s="48"/>
      <c r="Q73" s="48"/>
      <c r="R73" s="48"/>
      <c r="S73" s="48"/>
      <c r="T73" s="48"/>
      <c r="U73" s="48"/>
    </row>
    <row r="74" spans="1:21" s="106" customFormat="1" ht="40.5" customHeight="1" x14ac:dyDescent="0.2">
      <c r="B74" s="118"/>
      <c r="C74" s="362" t="s">
        <v>348</v>
      </c>
      <c r="D74" s="119" t="s">
        <v>253</v>
      </c>
      <c r="E74" s="120"/>
      <c r="F74" s="1358"/>
      <c r="G74" s="1358"/>
      <c r="H74" s="1359" t="s">
        <v>266</v>
      </c>
      <c r="I74" s="1381" t="s">
        <v>254</v>
      </c>
      <c r="J74" s="1381"/>
      <c r="K74" s="1382"/>
      <c r="O74" s="48"/>
      <c r="P74" s="48"/>
      <c r="Q74" s="48"/>
      <c r="R74" s="48"/>
      <c r="S74" s="48"/>
      <c r="T74" s="48"/>
      <c r="U74" s="48"/>
    </row>
    <row r="75" spans="1:21" s="106" customFormat="1" ht="35.1" customHeight="1" x14ac:dyDescent="0.2">
      <c r="B75" s="81" t="e">
        <f>C10</f>
        <v>#N/A</v>
      </c>
      <c r="C75" s="77" t="e">
        <f>C11</f>
        <v>#N/A</v>
      </c>
      <c r="D75" s="78" t="e">
        <f>H54</f>
        <v>#DIV/0!</v>
      </c>
      <c r="E75" s="216" t="e">
        <f>B75+(C75/1000)+(D75/1000)</f>
        <v>#N/A</v>
      </c>
      <c r="F75" s="264" t="e">
        <f>E75*1000-B75*1000</f>
        <v>#N/A</v>
      </c>
      <c r="G75" s="61"/>
      <c r="H75" s="1360"/>
      <c r="I75" s="288" t="e">
        <f>G71</f>
        <v>#DIV/0!</v>
      </c>
      <c r="J75" s="1364"/>
      <c r="K75" s="1365"/>
      <c r="O75" s="48"/>
      <c r="P75" s="48"/>
      <c r="Q75" s="48"/>
      <c r="R75" s="48"/>
      <c r="S75" s="48"/>
      <c r="T75" s="48"/>
      <c r="U75" s="48"/>
    </row>
    <row r="76" spans="1:21" s="106" customFormat="1" ht="35.1" customHeight="1" thickBot="1" x14ac:dyDescent="0.25">
      <c r="B76" s="87" t="e">
        <f>B75</f>
        <v>#N/A</v>
      </c>
      <c r="C76" s="88" t="e">
        <f>C75</f>
        <v>#N/A</v>
      </c>
      <c r="D76" s="88" t="e">
        <f>D75</f>
        <v>#DIV/0!</v>
      </c>
      <c r="E76" s="217" t="e">
        <f>B76+(C76/1000)+(D76/1000)</f>
        <v>#N/A</v>
      </c>
      <c r="F76" s="283" t="e">
        <f>F75/1000</f>
        <v>#N/A</v>
      </c>
      <c r="G76" s="89"/>
      <c r="H76" s="1361"/>
      <c r="I76" s="284" t="e">
        <f>I75/1000</f>
        <v>#DIV/0!</v>
      </c>
      <c r="J76" s="1366"/>
      <c r="K76" s="1367"/>
      <c r="O76" s="48"/>
      <c r="P76" s="48"/>
      <c r="Q76" s="48"/>
      <c r="R76" s="48"/>
      <c r="S76" s="48"/>
      <c r="T76" s="48"/>
      <c r="U76" s="48"/>
    </row>
    <row r="77" spans="1:21" s="106" customFormat="1" ht="35.1" customHeight="1" x14ac:dyDescent="0.2">
      <c r="G77" s="47"/>
      <c r="H77" s="47"/>
      <c r="I77" s="47"/>
      <c r="J77" s="47"/>
      <c r="O77" s="48"/>
      <c r="P77" s="48"/>
      <c r="Q77" s="48"/>
      <c r="R77" s="48"/>
      <c r="S77" s="48"/>
      <c r="T77" s="48"/>
      <c r="U77" s="48"/>
    </row>
    <row r="78" spans="1:21" s="106" customFormat="1" ht="35.1" customHeight="1" x14ac:dyDescent="0.2">
      <c r="G78" s="47"/>
      <c r="H78" s="47"/>
      <c r="I78" s="47"/>
      <c r="J78" s="47"/>
      <c r="O78" s="48"/>
      <c r="P78" s="48"/>
      <c r="Q78" s="48"/>
      <c r="R78" s="48"/>
      <c r="S78" s="48"/>
      <c r="T78" s="48"/>
      <c r="U78" s="48"/>
    </row>
    <row r="79" spans="1:21" s="106" customFormat="1" ht="35.1" customHeight="1" x14ac:dyDescent="0.2">
      <c r="G79" s="47"/>
      <c r="H79" s="47"/>
      <c r="I79" s="47"/>
      <c r="J79" s="47"/>
    </row>
    <row r="80" spans="1:21" s="107" customFormat="1" ht="35.1" customHeight="1" x14ac:dyDescent="0.2">
      <c r="A80" s="109"/>
      <c r="B80" s="106"/>
      <c r="C80" s="106"/>
      <c r="D80" s="106"/>
      <c r="E80" s="106"/>
      <c r="F80" s="106"/>
      <c r="G80" s="47"/>
      <c r="H80" s="47"/>
    </row>
    <row r="81" spans="2:11" s="111" customFormat="1" ht="35.1" customHeight="1" x14ac:dyDescent="0.2">
      <c r="B81" s="106"/>
      <c r="C81" s="106"/>
      <c r="D81" s="106"/>
      <c r="E81" s="106"/>
      <c r="F81" s="106"/>
      <c r="G81" s="47"/>
      <c r="H81" s="47"/>
    </row>
    <row r="82" spans="2:11" s="106" customFormat="1" ht="61.5" customHeight="1" x14ac:dyDescent="0.2">
      <c r="H82" s="111"/>
      <c r="I82" s="111"/>
      <c r="J82" s="111"/>
      <c r="K82" s="108"/>
    </row>
    <row r="83" spans="2:11" s="106" customFormat="1" ht="35.1" customHeight="1" x14ac:dyDescent="0.2">
      <c r="G83" s="111"/>
      <c r="H83" s="111"/>
      <c r="I83" s="111"/>
      <c r="J83" s="111"/>
      <c r="K83" s="108"/>
    </row>
    <row r="84" spans="2:11" s="106" customFormat="1" ht="35.1" customHeight="1" x14ac:dyDescent="0.2">
      <c r="G84" s="111"/>
      <c r="H84" s="111"/>
      <c r="I84" s="111"/>
      <c r="J84" s="111"/>
      <c r="K84" s="108"/>
    </row>
    <row r="85" spans="2:11" s="106" customFormat="1" ht="35.1" customHeight="1" x14ac:dyDescent="0.2">
      <c r="F85" s="107"/>
      <c r="K85" s="108"/>
    </row>
    <row r="86" spans="2:11" s="106" customFormat="1" ht="50.1" customHeight="1" x14ac:dyDescent="0.2"/>
    <row r="87" spans="2:11" s="106" customFormat="1" ht="57.75" customHeight="1" x14ac:dyDescent="0.2">
      <c r="C87" s="112"/>
      <c r="D87" s="112"/>
      <c r="E87" s="112"/>
    </row>
    <row r="88" spans="2:11" s="106" customFormat="1" ht="35.1" customHeight="1" x14ac:dyDescent="0.2"/>
    <row r="89" spans="2:11" s="106" customFormat="1" ht="35.1" customHeight="1" x14ac:dyDescent="0.2">
      <c r="F89" s="108"/>
      <c r="G89" s="108"/>
      <c r="H89" s="108"/>
      <c r="I89" s="108"/>
      <c r="J89" s="108"/>
    </row>
    <row r="90" spans="2:11" s="106" customFormat="1" ht="35.1" customHeight="1" x14ac:dyDescent="0.2"/>
    <row r="91" spans="2:11" s="106" customFormat="1" ht="50.1" customHeight="1" x14ac:dyDescent="0.2">
      <c r="J91" s="47"/>
    </row>
    <row r="92" spans="2:11" s="106" customFormat="1" ht="55.5" customHeight="1" x14ac:dyDescent="0.2">
      <c r="J92" s="111"/>
    </row>
    <row r="93" spans="2:11" s="106" customFormat="1" ht="50.1" customHeight="1" x14ac:dyDescent="0.2">
      <c r="J93" s="111"/>
    </row>
    <row r="94" spans="2:11" s="107" customFormat="1" ht="31.5" customHeight="1" x14ac:dyDescent="0.2">
      <c r="J94" s="111"/>
    </row>
    <row r="95" spans="2:11" s="106" customFormat="1" ht="35.1" customHeight="1" x14ac:dyDescent="0.2">
      <c r="G95" s="111"/>
      <c r="H95" s="111"/>
      <c r="I95" s="111"/>
      <c r="J95" s="111"/>
    </row>
    <row r="96" spans="2:11" s="106" customFormat="1" ht="35.1" customHeight="1" x14ac:dyDescent="0.2">
      <c r="G96" s="111"/>
      <c r="H96" s="111"/>
      <c r="I96" s="111"/>
      <c r="J96" s="111"/>
    </row>
    <row r="97" spans="1:12" s="106" customFormat="1" ht="9.9499999999999993" customHeight="1" x14ac:dyDescent="0.2">
      <c r="G97" s="108"/>
      <c r="H97" s="108"/>
      <c r="I97" s="108"/>
      <c r="J97" s="108"/>
    </row>
    <row r="98" spans="1:12" s="106" customFormat="1" ht="35.1" customHeight="1" x14ac:dyDescent="0.2">
      <c r="J98" s="108"/>
      <c r="K98" s="108"/>
      <c r="L98" s="108"/>
    </row>
    <row r="99" spans="1:12" s="46" customFormat="1" ht="15" customHeight="1" x14ac:dyDescent="0.2">
      <c r="A99" s="47"/>
      <c r="G99" s="47"/>
      <c r="H99" s="47"/>
      <c r="I99" s="47"/>
      <c r="J99" s="47"/>
      <c r="K99" s="48"/>
    </row>
    <row r="100" spans="1:12" s="48" customFormat="1" ht="31.5" customHeight="1" x14ac:dyDescent="0.2">
      <c r="A100" s="47"/>
      <c r="B100" s="47"/>
      <c r="C100" s="47"/>
      <c r="D100" s="47"/>
      <c r="E100" s="47"/>
      <c r="F100" s="47"/>
      <c r="G100" s="47"/>
      <c r="H100" s="47"/>
      <c r="I100" s="47"/>
      <c r="J100" s="47"/>
    </row>
    <row r="101" spans="1:12" s="48" customFormat="1" ht="31.5" customHeight="1" x14ac:dyDescent="0.2"/>
    <row r="102" spans="1:12" s="48" customFormat="1" ht="31.5" customHeight="1" x14ac:dyDescent="0.2"/>
    <row r="103" spans="1:12" s="48" customFormat="1" ht="52.5" customHeight="1" x14ac:dyDescent="0.2"/>
    <row r="104" spans="1:12" s="48" customFormat="1" ht="31.5" customHeight="1" x14ac:dyDescent="0.2">
      <c r="K104" s="8"/>
    </row>
    <row r="105" spans="1:12" s="48" customFormat="1" ht="31.5" customHeight="1" x14ac:dyDescent="0.2">
      <c r="K105" s="8"/>
    </row>
    <row r="106" spans="1:12" ht="31.5" customHeight="1" x14ac:dyDescent="0.2">
      <c r="G106" s="76"/>
    </row>
    <row r="107" spans="1:12" ht="51" customHeight="1" x14ac:dyDescent="0.2"/>
    <row r="109" spans="1:12" ht="31.5" customHeight="1" x14ac:dyDescent="0.2">
      <c r="B109" s="29"/>
      <c r="C109" s="29"/>
      <c r="D109" s="29"/>
      <c r="E109" s="29"/>
      <c r="F109" s="29"/>
      <c r="G109" s="29"/>
      <c r="H109" s="29"/>
      <c r="I109" s="29"/>
      <c r="J109" s="29"/>
    </row>
    <row r="110" spans="1:12" ht="31.5" customHeight="1" x14ac:dyDescent="0.2">
      <c r="B110" s="29"/>
      <c r="C110" s="29"/>
      <c r="D110" s="29"/>
      <c r="E110" s="29"/>
      <c r="F110" s="29"/>
      <c r="G110" s="29"/>
      <c r="H110" s="29"/>
      <c r="I110" s="29"/>
      <c r="J110" s="29"/>
    </row>
    <row r="111" spans="1:12" ht="31.5" customHeight="1" x14ac:dyDescent="0.2">
      <c r="B111" s="29"/>
      <c r="C111" s="29"/>
      <c r="D111" s="29"/>
      <c r="E111" s="29"/>
      <c r="F111" s="29"/>
      <c r="G111" s="29"/>
      <c r="H111" s="29"/>
      <c r="I111" s="29"/>
      <c r="J111" s="29"/>
    </row>
    <row r="112" spans="1:12" ht="31.5" customHeight="1" x14ac:dyDescent="0.2">
      <c r="B112" s="29"/>
      <c r="C112" s="29"/>
      <c r="D112" s="29"/>
      <c r="E112" s="29"/>
      <c r="F112" s="29"/>
      <c r="G112" s="29"/>
      <c r="H112" s="29"/>
      <c r="I112" s="29"/>
      <c r="J112" s="29"/>
    </row>
    <row r="113" spans="2:10" ht="31.5" customHeight="1" x14ac:dyDescent="0.2">
      <c r="B113" s="29"/>
      <c r="C113" s="29"/>
      <c r="D113" s="29"/>
      <c r="E113" s="29"/>
      <c r="F113" s="29"/>
      <c r="G113" s="29"/>
      <c r="H113" s="29"/>
      <c r="I113" s="29"/>
      <c r="J113" s="29"/>
    </row>
    <row r="114" spans="2:10" ht="31.5" customHeight="1" x14ac:dyDescent="0.2">
      <c r="B114" s="29"/>
      <c r="C114" s="29"/>
      <c r="D114" s="29"/>
      <c r="E114" s="29"/>
      <c r="F114" s="29"/>
      <c r="G114" s="29"/>
      <c r="H114" s="29"/>
      <c r="I114" s="29"/>
      <c r="J114" s="29"/>
    </row>
    <row r="115" spans="2:10" ht="31.5" customHeight="1" x14ac:dyDescent="0.2">
      <c r="B115" s="29"/>
      <c r="C115" s="29"/>
      <c r="D115" s="29"/>
      <c r="E115" s="29"/>
      <c r="F115" s="29"/>
      <c r="G115" s="29"/>
      <c r="H115" s="29"/>
      <c r="I115" s="29"/>
      <c r="J115" s="29"/>
    </row>
  </sheetData>
  <sheetProtection password="CF5C" sheet="1" objects="1" scenarios="1"/>
  <mergeCells count="62">
    <mergeCell ref="D70:E70"/>
    <mergeCell ref="D71:E71"/>
    <mergeCell ref="B72:K72"/>
    <mergeCell ref="B73:E73"/>
    <mergeCell ref="H73:K73"/>
    <mergeCell ref="F74:G74"/>
    <mergeCell ref="H74:H76"/>
    <mergeCell ref="I74:K74"/>
    <mergeCell ref="J75:K75"/>
    <mergeCell ref="J76:K76"/>
    <mergeCell ref="A56:J56"/>
    <mergeCell ref="A58:B58"/>
    <mergeCell ref="C58:D58"/>
    <mergeCell ref="E58:F58"/>
    <mergeCell ref="H60:M60"/>
    <mergeCell ref="A50:B50"/>
    <mergeCell ref="G50:H50"/>
    <mergeCell ref="A52:J52"/>
    <mergeCell ref="D53:E53"/>
    <mergeCell ref="H53:I53"/>
    <mergeCell ref="A49:B49"/>
    <mergeCell ref="G49:H49"/>
    <mergeCell ref="A28:A31"/>
    <mergeCell ref="C33:D33"/>
    <mergeCell ref="F33:G33"/>
    <mergeCell ref="A36:J36"/>
    <mergeCell ref="B38:F38"/>
    <mergeCell ref="H38:J38"/>
    <mergeCell ref="H39:J42"/>
    <mergeCell ref="A46:J46"/>
    <mergeCell ref="A47:B48"/>
    <mergeCell ref="C47:E47"/>
    <mergeCell ref="G48:H48"/>
    <mergeCell ref="A27:B27"/>
    <mergeCell ref="G27:H27"/>
    <mergeCell ref="A14:B14"/>
    <mergeCell ref="A15:B15"/>
    <mergeCell ref="A16:B16"/>
    <mergeCell ref="C16:D16"/>
    <mergeCell ref="A18:J18"/>
    <mergeCell ref="F19:G19"/>
    <mergeCell ref="J19:J20"/>
    <mergeCell ref="A20:B20"/>
    <mergeCell ref="E20:F20"/>
    <mergeCell ref="A22:J22"/>
    <mergeCell ref="C24:D24"/>
    <mergeCell ref="F24:G24"/>
    <mergeCell ref="C26:F26"/>
    <mergeCell ref="G26:H26"/>
    <mergeCell ref="A13:B13"/>
    <mergeCell ref="F13:I13"/>
    <mergeCell ref="A1:B1"/>
    <mergeCell ref="C1:M1"/>
    <mergeCell ref="I3:J4"/>
    <mergeCell ref="A6:D6"/>
    <mergeCell ref="F6:I6"/>
    <mergeCell ref="F9:G9"/>
    <mergeCell ref="A10:B10"/>
    <mergeCell ref="F10:G10"/>
    <mergeCell ref="A11:B11"/>
    <mergeCell ref="F11:G11"/>
    <mergeCell ref="A12:B12"/>
  </mergeCells>
  <printOptions horizontalCentered="1"/>
  <pageMargins left="0.70866141732283472" right="0.70866141732283472" top="0.74803149606299213" bottom="0.74803149606299213" header="0.31496062992125984" footer="0.31496062992125984"/>
  <pageSetup scale="13" orientation="portrait" r:id="rId1"/>
  <headerFooter>
    <oddHeader xml:space="preserve">&amp;C
&amp;16   
</oddHeader>
    <oddFooter xml:space="preserve">&amp;RRT03-F13 Vr.14 (2021-05-21)
</oddFooter>
  </headerFooter>
  <rowBreaks count="1" manualBreakCount="1">
    <brk id="34" max="12" man="1"/>
  </rowBreaks>
  <drawing r:id="rId2"/>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1A00-000000000000}">
          <x14:formula1>
            <xm:f>'DATOS %'!$V$161:$V$165</xm:f>
          </x14:formula1>
          <xm:sqref>H25</xm:sqref>
        </x14:dataValidation>
        <x14:dataValidation type="list" allowBlank="1" showInputMessage="1" showErrorMessage="1" xr:uid="{00000000-0002-0000-1A00-000001000000}">
          <x14:formula1>
            <xm:f>'DATOS %'!$V$120:$V$126</xm:f>
          </x14:formula1>
          <xm:sqref>J13</xm:sqref>
        </x14:dataValidation>
        <x14:dataValidation type="list" allowBlank="1" showInputMessage="1" showErrorMessage="1" xr:uid="{00000000-0002-0000-1A00-000002000000}">
          <x14:formula1>
            <xm:f>'DATOS %'!$N$29:$N$113</xm:f>
          </x14:formula1>
          <xm:sqref>E6</xm:sqref>
        </x14:dataValidation>
        <x14:dataValidation type="list" allowBlank="1" showInputMessage="1" showErrorMessage="1" xr:uid="{00000000-0002-0000-1A00-000003000000}">
          <x14:formula1>
            <xm:f>'DATOS %'!$N$121:$N$166</xm:f>
          </x14:formula1>
          <xm:sqref>F48</xm:sqref>
        </x14:dataValidation>
        <x14:dataValidation type="list" allowBlank="1" showInputMessage="1" showErrorMessage="1" xr:uid="{00000000-0002-0000-1A00-000004000000}">
          <x14:formula1>
            <xm:f>'DATOS %'!$J$174:$J$179</xm:f>
          </x14:formula1>
          <xm:sqref>J19:J20</xm:sqref>
        </x14:dataValidation>
        <x14:dataValidation type="list" allowBlank="1" showInputMessage="1" showErrorMessage="1" xr:uid="{00000000-0002-0000-1A00-000005000000}">
          <x14:formula1>
            <xm:f>'DATOS %'!$B$7:$B$40</xm:f>
          </x14:formula1>
          <xm:sqref>I3:J4</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U115"/>
  <sheetViews>
    <sheetView showGridLines="0" view="pageBreakPreview" topLeftCell="A13" zoomScale="80" zoomScaleNormal="60" zoomScaleSheetLayoutView="80" workbookViewId="0">
      <selection activeCell="C65" sqref="C65"/>
    </sheetView>
  </sheetViews>
  <sheetFormatPr baseColWidth="10" defaultColWidth="11.42578125" defaultRowHeight="31.5" customHeight="1" x14ac:dyDescent="0.2"/>
  <cols>
    <col min="1" max="1" width="14.7109375" style="37" customWidth="1"/>
    <col min="2" max="2" width="12" style="37" customWidth="1"/>
    <col min="3" max="3" width="15.7109375" style="37" customWidth="1"/>
    <col min="4" max="4" width="17" style="37" customWidth="1"/>
    <col min="5" max="5" width="15.5703125" style="37" customWidth="1"/>
    <col min="6" max="6" width="18.5703125" style="37" customWidth="1"/>
    <col min="7" max="7" width="15.7109375" style="37" customWidth="1"/>
    <col min="8" max="8" width="24.42578125" style="37" bestFit="1" customWidth="1"/>
    <col min="9" max="9" width="13.85546875" style="37" bestFit="1" customWidth="1"/>
    <col min="10" max="10" width="13.7109375" style="37" customWidth="1"/>
    <col min="11" max="19" width="11.42578125" style="8"/>
    <col min="20" max="20" width="15.85546875" style="8" bestFit="1" customWidth="1"/>
    <col min="21" max="21" width="14.42578125" style="8" bestFit="1" customWidth="1"/>
    <col min="22" max="16384" width="11.42578125" style="8"/>
  </cols>
  <sheetData>
    <row r="1" spans="1:16" ht="60" customHeight="1" thickBot="1" x14ac:dyDescent="0.25">
      <c r="A1" s="1257"/>
      <c r="B1" s="1258"/>
      <c r="C1" s="1259" t="s">
        <v>57</v>
      </c>
      <c r="D1" s="1260"/>
      <c r="E1" s="1260"/>
      <c r="F1" s="1260"/>
      <c r="G1" s="1260"/>
      <c r="H1" s="1260"/>
      <c r="I1" s="1260"/>
      <c r="J1" s="1260"/>
      <c r="K1" s="1260"/>
      <c r="L1" s="1260"/>
      <c r="M1" s="1261"/>
      <c r="N1" s="7"/>
      <c r="O1" s="7"/>
      <c r="P1" s="7"/>
    </row>
    <row r="2" spans="1:16" s="11" customFormat="1" ht="9.75" customHeight="1" thickBot="1" x14ac:dyDescent="0.25">
      <c r="A2" s="9"/>
      <c r="B2" s="9"/>
      <c r="C2" s="10"/>
      <c r="D2" s="10"/>
      <c r="E2" s="10"/>
      <c r="F2" s="10"/>
      <c r="G2" s="10"/>
      <c r="H2" s="10"/>
      <c r="K2" s="12"/>
      <c r="M2" s="7"/>
    </row>
    <row r="3" spans="1:16" s="12" customFormat="1" ht="35.25" customHeight="1" thickBot="1" x14ac:dyDescent="0.25">
      <c r="A3" s="13" t="s">
        <v>17</v>
      </c>
      <c r="B3" s="14" t="s">
        <v>55</v>
      </c>
      <c r="C3" s="15" t="s">
        <v>209</v>
      </c>
      <c r="D3" s="15" t="s">
        <v>56</v>
      </c>
      <c r="E3" s="15" t="s">
        <v>8</v>
      </c>
      <c r="F3" s="16" t="s">
        <v>18</v>
      </c>
      <c r="G3" s="16" t="s">
        <v>297</v>
      </c>
      <c r="H3" s="17" t="s">
        <v>24</v>
      </c>
      <c r="I3" s="1262"/>
      <c r="J3" s="1263"/>
      <c r="K3" s="11"/>
      <c r="M3" s="7"/>
    </row>
    <row r="4" spans="1:16" s="11" customFormat="1" ht="32.25" customHeight="1" thickBot="1" x14ac:dyDescent="0.25">
      <c r="A4" s="18" t="e">
        <f>VLOOKUP($I$3,'DATOS %'!B7:J40,2,FALSE)</f>
        <v>#N/A</v>
      </c>
      <c r="B4" s="212" t="e">
        <f>VLOOKUP($I$3,'DATOS %'!$B$7:$J$40,3,FALSE)</f>
        <v>#N/A</v>
      </c>
      <c r="C4" s="19" t="e">
        <f>VLOOKUP($I$3,'DATOS %'!$B$7:$J$40,8,FALSE)</f>
        <v>#N/A</v>
      </c>
      <c r="D4" s="19" t="e">
        <f>VLOOKUP($I$3,'DATOS %'!$B$7:$J$40,6,FALSE)</f>
        <v>#N/A</v>
      </c>
      <c r="E4" s="212" t="e">
        <f>VLOOKUP($I$3,'DATOS %'!$B$7:$J$40,7,FALSE)</f>
        <v>#N/A</v>
      </c>
      <c r="F4" s="18" t="e">
        <f>VLOOKUP($I$3,'DATOS %'!$B$7:$J$40,4,FALSE)</f>
        <v>#N/A</v>
      </c>
      <c r="G4" s="18" t="e">
        <f>VLOOKUP($I$3,'DATOS %'!$B$7:$J$40,5,FALSE)</f>
        <v>#N/A</v>
      </c>
      <c r="H4" s="19" t="e">
        <f>VLOOKUP($I$3,'DATOS %'!$B$7:$J$40,9,FALSE)</f>
        <v>#N/A</v>
      </c>
      <c r="I4" s="1264"/>
      <c r="J4" s="1265"/>
      <c r="K4" s="8"/>
      <c r="L4" s="20"/>
      <c r="M4" s="20"/>
    </row>
    <row r="5" spans="1:16" s="22" customFormat="1" ht="6.75" customHeight="1" thickBot="1" x14ac:dyDescent="0.25">
      <c r="A5" s="21"/>
      <c r="B5" s="21"/>
      <c r="C5" s="21"/>
      <c r="F5" s="21"/>
      <c r="G5" s="21"/>
      <c r="H5" s="21"/>
      <c r="K5" s="8"/>
    </row>
    <row r="6" spans="1:16" ht="31.5" customHeight="1" thickBot="1" x14ac:dyDescent="0.25">
      <c r="A6" s="1266" t="s">
        <v>19</v>
      </c>
      <c r="B6" s="1267"/>
      <c r="C6" s="1267"/>
      <c r="D6" s="1268"/>
      <c r="E6" s="4"/>
      <c r="F6" s="1266" t="s">
        <v>20</v>
      </c>
      <c r="G6" s="1267"/>
      <c r="H6" s="1267"/>
      <c r="I6" s="1268"/>
      <c r="J6" s="402">
        <f>I3</f>
        <v>0</v>
      </c>
    </row>
    <row r="7" spans="1:16" ht="31.5" customHeight="1" x14ac:dyDescent="0.2">
      <c r="A7" s="23" t="s">
        <v>21</v>
      </c>
      <c r="B7" s="24" t="e">
        <f>VLOOKUP($E$6,'DATOS %'!N11:AA113,2,FALSE)</f>
        <v>#N/A</v>
      </c>
      <c r="C7" s="25" t="s">
        <v>10</v>
      </c>
      <c r="D7" s="26" t="e">
        <f>VLOOKUP($E$6,'DATOS %'!N11:AA113,3,FALSE)</f>
        <v>#N/A</v>
      </c>
      <c r="E7" s="27"/>
      <c r="F7" s="23" t="s">
        <v>21</v>
      </c>
      <c r="G7" s="24" t="e">
        <f>VLOOKUP($J$6,'DATOS %'!B47:I79,2,FALSE)</f>
        <v>#N/A</v>
      </c>
      <c r="H7" s="28" t="s">
        <v>10</v>
      </c>
      <c r="I7" s="26" t="e">
        <f>VLOOKUP($J$6,'DATOS %'!B47:I79,3,FALSE)</f>
        <v>#N/A</v>
      </c>
      <c r="J7" s="29"/>
    </row>
    <row r="8" spans="1:16" ht="31.5" customHeight="1" x14ac:dyDescent="0.2">
      <c r="A8" s="30" t="s">
        <v>22</v>
      </c>
      <c r="B8" s="31" t="e">
        <f>VLOOKUP($E$6,'DATOS %'!N11:AA113,4,FALSE)</f>
        <v>#N/A</v>
      </c>
      <c r="C8" s="32" t="s">
        <v>23</v>
      </c>
      <c r="D8" s="33" t="e">
        <f>VLOOKUP($E$6,'DATOS %'!N11:AA113,5,FALSE)</f>
        <v>#N/A</v>
      </c>
      <c r="E8" s="27"/>
      <c r="F8" s="30" t="s">
        <v>22</v>
      </c>
      <c r="G8" s="31" t="e">
        <f>VLOOKUP($J$6,'DATOS %'!B47:I79,4,FALSE)</f>
        <v>#N/A</v>
      </c>
      <c r="H8" s="32" t="s">
        <v>23</v>
      </c>
      <c r="I8" s="297" t="e">
        <f>VLOOKUP($J$6,'DATOS %'!B47:I79,5,FALSE)</f>
        <v>#N/A</v>
      </c>
      <c r="J8" s="29"/>
    </row>
    <row r="9" spans="1:16" ht="31.5" customHeight="1" x14ac:dyDescent="0.2">
      <c r="A9" s="34" t="s">
        <v>24</v>
      </c>
      <c r="B9" s="31" t="e">
        <f>VLOOKUP($E$6,'DATOS %'!N11:AA113,6,FALSE)</f>
        <v>#N/A</v>
      </c>
      <c r="C9" s="35" t="s">
        <v>15</v>
      </c>
      <c r="D9" s="36" t="e">
        <f>VLOOKUP($E$6,'DATOS %'!N11:AA113,7,FALSE)</f>
        <v>#N/A</v>
      </c>
      <c r="F9" s="1252" t="s">
        <v>62</v>
      </c>
      <c r="G9" s="1253"/>
      <c r="H9" s="31" t="e">
        <f>VLOOKUP($J$6,'DATOS %'!B47:I79,6,FALSE)</f>
        <v>#N/A</v>
      </c>
      <c r="I9" s="33" t="s">
        <v>1</v>
      </c>
      <c r="J9" s="29"/>
      <c r="K9" s="208"/>
    </row>
    <row r="10" spans="1:16" s="38" customFormat="1" ht="31.5" customHeight="1" x14ac:dyDescent="0.25">
      <c r="A10" s="1252" t="s">
        <v>63</v>
      </c>
      <c r="B10" s="1253"/>
      <c r="C10" s="223" t="e">
        <f>VLOOKUP($E$6,'DATOS %'!N11:AA113,8,FALSE)</f>
        <v>#N/A</v>
      </c>
      <c r="D10" s="33" t="s">
        <v>1</v>
      </c>
      <c r="F10" s="1252" t="s">
        <v>64</v>
      </c>
      <c r="G10" s="1253"/>
      <c r="H10" s="213" t="e">
        <f>VLOOKUP($J$6,'DATOS %'!B47:I79,7,FALSE)</f>
        <v>#N/A</v>
      </c>
      <c r="I10" s="33" t="s">
        <v>76</v>
      </c>
      <c r="J10" s="39"/>
    </row>
    <row r="11" spans="1:16" s="38" customFormat="1" ht="31.5" customHeight="1" thickBot="1" x14ac:dyDescent="0.3">
      <c r="A11" s="1252" t="s">
        <v>65</v>
      </c>
      <c r="B11" s="1253"/>
      <c r="C11" s="31" t="e">
        <f>VLOOKUP($E$6,'DATOS %'!N11:AA113,9,FALSE)</f>
        <v>#N/A</v>
      </c>
      <c r="D11" s="33" t="s">
        <v>3</v>
      </c>
      <c r="E11" s="40"/>
      <c r="F11" s="1271" t="s">
        <v>66</v>
      </c>
      <c r="G11" s="1272"/>
      <c r="H11" s="41" t="e">
        <f>VLOOKUP($J$6,'DATOS %'!B47:I79,8,FALSE)</f>
        <v>#N/A</v>
      </c>
      <c r="I11" s="45" t="s">
        <v>76</v>
      </c>
      <c r="J11" s="39"/>
    </row>
    <row r="12" spans="1:16" s="38" customFormat="1" ht="31.5" customHeight="1" thickBot="1" x14ac:dyDescent="0.3">
      <c r="A12" s="1252" t="s">
        <v>67</v>
      </c>
      <c r="B12" s="1253"/>
      <c r="C12" s="31" t="e">
        <f>VLOOKUP($E$6,'DATOS %'!N11:AA113,10,FALSE)</f>
        <v>#N/A</v>
      </c>
      <c r="D12" s="33" t="s">
        <v>3</v>
      </c>
      <c r="E12" s="39"/>
      <c r="F12" s="39"/>
      <c r="G12" s="39"/>
      <c r="H12" s="39"/>
    </row>
    <row r="13" spans="1:16" s="38" customFormat="1" ht="31.5" customHeight="1" thickBot="1" x14ac:dyDescent="0.3">
      <c r="A13" s="1252" t="s">
        <v>68</v>
      </c>
      <c r="B13" s="1253"/>
      <c r="C13" s="213" t="e">
        <f>VLOOKUP($E$6,'DATOS %'!N11:AA113,11,FALSE)</f>
        <v>#N/A</v>
      </c>
      <c r="D13" s="33" t="s">
        <v>76</v>
      </c>
      <c r="E13" s="39"/>
      <c r="F13" s="1254" t="s">
        <v>559</v>
      </c>
      <c r="G13" s="1255"/>
      <c r="H13" s="1255"/>
      <c r="I13" s="1256"/>
      <c r="J13" s="5"/>
    </row>
    <row r="14" spans="1:16" s="38" customFormat="1" ht="31.5" customHeight="1" x14ac:dyDescent="0.2">
      <c r="A14" s="1252" t="s">
        <v>305</v>
      </c>
      <c r="B14" s="1253"/>
      <c r="C14" s="31" t="e">
        <f>VLOOKUP($E$6,'DATOS %'!N11:AA113,12,FALSE)</f>
        <v>#N/A</v>
      </c>
      <c r="D14" s="33" t="s">
        <v>76</v>
      </c>
      <c r="E14" s="39"/>
      <c r="F14" s="23" t="s">
        <v>10</v>
      </c>
      <c r="G14" s="24" t="e">
        <f>VLOOKUP($J$13,'DATOS %'!$V$119:$Y$126,2,FALSE)</f>
        <v>#N/A</v>
      </c>
      <c r="H14" s="28" t="s">
        <v>22</v>
      </c>
      <c r="I14" s="24" t="e">
        <f>VLOOKUP($J$13,'DATOS %'!$V$119:$Z$126,3,FALSE)</f>
        <v>#N/A</v>
      </c>
      <c r="J14" s="42"/>
      <c r="K14" s="8"/>
    </row>
    <row r="15" spans="1:16" ht="31.5" customHeight="1" thickBot="1" x14ac:dyDescent="0.25">
      <c r="A15" s="1277" t="s">
        <v>69</v>
      </c>
      <c r="B15" s="1278"/>
      <c r="C15" s="31" t="e">
        <f>VLOOKUP($E$6,'DATOS %'!N11:AA113,13,FALSE)</f>
        <v>#N/A</v>
      </c>
      <c r="D15" s="33" t="s">
        <v>76</v>
      </c>
      <c r="E15" s="29"/>
      <c r="F15" s="43" t="s">
        <v>61</v>
      </c>
      <c r="G15" s="41" t="e">
        <f>VLOOKUP($J$13,'DATOS %'!$V$119:$Y$126,4,FALSE)</f>
        <v>#N/A</v>
      </c>
      <c r="H15" s="41" t="s">
        <v>1</v>
      </c>
      <c r="I15" s="238" t="s">
        <v>210</v>
      </c>
      <c r="J15" s="45" t="e">
        <f>VLOOKUP($J$13,'DATOS %'!$V$119:$Z$126,5,FALSE)</f>
        <v>#N/A</v>
      </c>
      <c r="K15" s="22"/>
    </row>
    <row r="16" spans="1:16" ht="30.95" customHeight="1" thickBot="1" x14ac:dyDescent="0.25">
      <c r="A16" s="1279" t="s">
        <v>210</v>
      </c>
      <c r="B16" s="1280"/>
      <c r="C16" s="1281" t="e">
        <f>VLOOKUP($E$6,'DATOS %'!N11:AA113,14,FALSE)</f>
        <v>#N/A</v>
      </c>
      <c r="D16" s="1282"/>
      <c r="E16" s="29"/>
      <c r="F16" s="8"/>
      <c r="G16" s="8"/>
      <c r="H16" s="8"/>
      <c r="I16" s="8"/>
      <c r="J16" s="8"/>
    </row>
    <row r="17" spans="1:11" s="22" customFormat="1" ht="30.95" customHeight="1" thickBot="1" x14ac:dyDescent="0.25">
      <c r="A17" s="29"/>
      <c r="B17" s="29"/>
      <c r="C17" s="29"/>
      <c r="D17" s="29"/>
      <c r="E17" s="29"/>
      <c r="F17" s="29"/>
      <c r="G17" s="29"/>
      <c r="H17" s="29"/>
      <c r="I17" s="29"/>
      <c r="J17" s="29"/>
      <c r="K17" s="8"/>
    </row>
    <row r="18" spans="1:11" ht="31.5" customHeight="1" thickBot="1" x14ac:dyDescent="0.25">
      <c r="A18" s="1331" t="s">
        <v>26</v>
      </c>
      <c r="B18" s="1332"/>
      <c r="C18" s="1332"/>
      <c r="D18" s="1332"/>
      <c r="E18" s="1332"/>
      <c r="F18" s="1332"/>
      <c r="G18" s="1332"/>
      <c r="H18" s="1332"/>
      <c r="I18" s="1332"/>
      <c r="J18" s="1333"/>
    </row>
    <row r="19" spans="1:11" ht="46.5" customHeight="1" thickBot="1" x14ac:dyDescent="0.25">
      <c r="A19" s="407" t="s">
        <v>10</v>
      </c>
      <c r="B19" s="101" t="e">
        <f>VLOOKUP(J19,'DATOS %'!J174:W180,2,FALSE)</f>
        <v>#N/A</v>
      </c>
      <c r="C19" s="95" t="s">
        <v>7</v>
      </c>
      <c r="D19" s="408" t="e">
        <f>VLOOKUP(J19,'DATOS %'!J174:W180,3,FALSE)</f>
        <v>#N/A</v>
      </c>
      <c r="E19" s="409" t="s">
        <v>24</v>
      </c>
      <c r="F19" s="1286" t="e">
        <f>VLOOKUP(J19,'DATOS %'!J174:W180,5,FALSE)</f>
        <v>#N/A</v>
      </c>
      <c r="G19" s="1287"/>
      <c r="H19" s="95" t="s">
        <v>25</v>
      </c>
      <c r="I19" s="212" t="e">
        <f>VLOOKUP(J19,'DATOS %'!J174:W180,4,FALSE)</f>
        <v>#N/A</v>
      </c>
      <c r="J19" s="1374"/>
    </row>
    <row r="20" spans="1:11" ht="31.5" customHeight="1" thickBot="1" x14ac:dyDescent="0.25">
      <c r="A20" s="1290" t="s">
        <v>316</v>
      </c>
      <c r="B20" s="1291"/>
      <c r="C20" s="94" t="s">
        <v>27</v>
      </c>
      <c r="D20" s="101" t="e">
        <f>VLOOKUP(J19,'DATOS %'!J174:W180,6,FALSE)</f>
        <v>#N/A</v>
      </c>
      <c r="E20" s="1292" t="s">
        <v>307</v>
      </c>
      <c r="F20" s="1293"/>
      <c r="G20" s="101" t="e">
        <f>VLOOKUP(J19,'DATOS %'!J174:W180,7,FALSE)</f>
        <v>#N/A</v>
      </c>
      <c r="H20" s="95" t="s">
        <v>9</v>
      </c>
      <c r="I20" s="214" t="e">
        <f>VLOOKUP(J19,'DATOS %'!J174:W180,8,FALSE)</f>
        <v>#N/A</v>
      </c>
      <c r="J20" s="1289"/>
    </row>
    <row r="21" spans="1:11" s="46" customFormat="1" ht="15" customHeight="1" thickBot="1" x14ac:dyDescent="0.25">
      <c r="A21" s="47"/>
      <c r="B21" s="47"/>
      <c r="C21" s="47"/>
      <c r="D21" s="47"/>
      <c r="E21" s="47"/>
      <c r="F21" s="47"/>
      <c r="G21" s="47"/>
      <c r="H21" s="47"/>
      <c r="I21" s="47"/>
      <c r="J21" s="47"/>
      <c r="K21" s="8"/>
    </row>
    <row r="22" spans="1:11" s="48" customFormat="1" ht="31.5" customHeight="1" thickBot="1" x14ac:dyDescent="0.25">
      <c r="A22" s="1294" t="s">
        <v>28</v>
      </c>
      <c r="B22" s="1295"/>
      <c r="C22" s="1295"/>
      <c r="D22" s="1295"/>
      <c r="E22" s="1295"/>
      <c r="F22" s="1295"/>
      <c r="G22" s="1295"/>
      <c r="H22" s="1295"/>
      <c r="I22" s="1295"/>
      <c r="J22" s="1296"/>
      <c r="K22" s="47"/>
    </row>
    <row r="23" spans="1:11" s="47" customFormat="1" ht="2.25" customHeight="1" thickBot="1" x14ac:dyDescent="0.25">
      <c r="A23" s="49"/>
      <c r="B23" s="50"/>
      <c r="C23" s="50"/>
      <c r="D23" s="50"/>
      <c r="E23" s="50"/>
      <c r="F23" s="50"/>
      <c r="G23" s="50"/>
      <c r="H23" s="50"/>
      <c r="I23" s="50"/>
      <c r="J23" s="51"/>
      <c r="K23" s="48"/>
    </row>
    <row r="24" spans="1:11" s="48" customFormat="1" ht="31.5" customHeight="1" thickBot="1" x14ac:dyDescent="0.25">
      <c r="A24" s="52" t="s">
        <v>29</v>
      </c>
      <c r="B24" s="916"/>
      <c r="C24" s="1297" t="s">
        <v>27</v>
      </c>
      <c r="D24" s="1298"/>
      <c r="E24" s="1"/>
      <c r="F24" s="1684" t="s">
        <v>307</v>
      </c>
      <c r="G24" s="1685"/>
      <c r="H24" s="2"/>
      <c r="I24" s="972" t="s">
        <v>9</v>
      </c>
      <c r="J24" s="215"/>
      <c r="K24" s="46"/>
    </row>
    <row r="25" spans="1:11" s="46" customFormat="1" ht="15" customHeight="1" thickBot="1" x14ac:dyDescent="0.25">
      <c r="A25" s="47"/>
      <c r="B25" s="47"/>
      <c r="C25" s="47"/>
      <c r="D25" s="47"/>
      <c r="E25" s="47"/>
      <c r="F25" s="47"/>
      <c r="G25" s="47"/>
      <c r="H25" s="6"/>
      <c r="I25" s="47"/>
      <c r="K25" s="48"/>
    </row>
    <row r="26" spans="1:11" s="48" customFormat="1" ht="29.25" customHeight="1" thickBot="1" x14ac:dyDescent="0.25">
      <c r="A26" s="115" t="s">
        <v>129</v>
      </c>
      <c r="B26" s="105">
        <v>4</v>
      </c>
      <c r="C26" s="1301" t="s">
        <v>30</v>
      </c>
      <c r="D26" s="1302"/>
      <c r="E26" s="1302"/>
      <c r="F26" s="1303"/>
      <c r="G26" s="1304" t="s">
        <v>211</v>
      </c>
      <c r="H26" s="1305"/>
    </row>
    <row r="27" spans="1:11" s="48" customFormat="1" ht="31.5" customHeight="1" thickBot="1" x14ac:dyDescent="0.25">
      <c r="A27" s="1273" t="s">
        <v>31</v>
      </c>
      <c r="B27" s="1274"/>
      <c r="C27" s="237">
        <v>1</v>
      </c>
      <c r="D27" s="237">
        <v>2</v>
      </c>
      <c r="E27" s="237">
        <v>3</v>
      </c>
      <c r="F27" s="129">
        <v>4</v>
      </c>
      <c r="G27" s="1275" t="e">
        <f>VLOOKUP($H$25,'DATOS %'!$V$161:$AA$165,2,FALSE)</f>
        <v>#N/A</v>
      </c>
      <c r="H27" s="1276"/>
    </row>
    <row r="28" spans="1:11" s="48" customFormat="1" ht="31.5" customHeight="1" x14ac:dyDescent="0.2">
      <c r="A28" s="1310" t="s">
        <v>32</v>
      </c>
      <c r="B28" s="141" t="s">
        <v>0</v>
      </c>
      <c r="C28" s="244"/>
      <c r="D28" s="244"/>
      <c r="E28" s="244"/>
      <c r="F28" s="245"/>
      <c r="G28" s="47"/>
      <c r="H28" s="47"/>
      <c r="I28" s="47"/>
      <c r="J28" s="47"/>
    </row>
    <row r="29" spans="1:11" s="48" customFormat="1" ht="31.5" customHeight="1" x14ac:dyDescent="0.2">
      <c r="A29" s="1311"/>
      <c r="B29" s="104" t="s">
        <v>2</v>
      </c>
      <c r="C29" s="246"/>
      <c r="D29" s="246"/>
      <c r="E29" s="246"/>
      <c r="F29" s="247"/>
      <c r="G29" s="47"/>
      <c r="H29" s="47"/>
      <c r="I29" s="47"/>
      <c r="J29" s="47"/>
    </row>
    <row r="30" spans="1:11" s="48" customFormat="1" ht="31.5" customHeight="1" x14ac:dyDescent="0.2">
      <c r="A30" s="1311"/>
      <c r="B30" s="104" t="s">
        <v>2</v>
      </c>
      <c r="C30" s="246"/>
      <c r="D30" s="246"/>
      <c r="E30" s="246"/>
      <c r="F30" s="247"/>
      <c r="G30" s="47"/>
      <c r="H30" s="47"/>
      <c r="I30" s="47"/>
      <c r="J30" s="47"/>
    </row>
    <row r="31" spans="1:11" s="48" customFormat="1" ht="31.5" customHeight="1" thickBot="1" x14ac:dyDescent="0.25">
      <c r="A31" s="1312"/>
      <c r="B31" s="53" t="s">
        <v>0</v>
      </c>
      <c r="C31" s="248"/>
      <c r="D31" s="248"/>
      <c r="E31" s="248"/>
      <c r="F31" s="249"/>
      <c r="G31" s="47"/>
      <c r="H31" s="47"/>
      <c r="I31" s="47"/>
      <c r="J31" s="47"/>
      <c r="K31" s="46"/>
    </row>
    <row r="32" spans="1:11" s="46" customFormat="1" ht="15" customHeight="1" thickBot="1" x14ac:dyDescent="0.25">
      <c r="A32" s="47"/>
      <c r="B32" s="47"/>
      <c r="C32" s="47"/>
      <c r="D32" s="47"/>
      <c r="E32" s="47"/>
      <c r="F32" s="47"/>
      <c r="G32" s="47"/>
      <c r="H32" s="47"/>
      <c r="I32" s="47"/>
      <c r="J32" s="47"/>
      <c r="K32" s="48"/>
    </row>
    <row r="33" spans="1:11" s="48" customFormat="1" ht="31.5" customHeight="1" thickBot="1" x14ac:dyDescent="0.25">
      <c r="A33" s="54" t="s">
        <v>33</v>
      </c>
      <c r="B33" s="916"/>
      <c r="C33" s="1297" t="s">
        <v>27</v>
      </c>
      <c r="D33" s="1298"/>
      <c r="E33" s="1"/>
      <c r="F33" s="1684" t="s">
        <v>307</v>
      </c>
      <c r="G33" s="1685"/>
      <c r="H33" s="2"/>
      <c r="I33" s="973" t="s">
        <v>9</v>
      </c>
      <c r="J33" s="3"/>
      <c r="K33" s="46"/>
    </row>
    <row r="34" spans="1:11" s="46" customFormat="1" ht="12" customHeight="1" x14ac:dyDescent="0.2">
      <c r="A34" s="55"/>
      <c r="B34" s="55"/>
      <c r="C34" s="55"/>
      <c r="D34" s="55"/>
      <c r="E34" s="55"/>
      <c r="F34" s="55"/>
      <c r="G34" s="55"/>
      <c r="H34" s="55"/>
      <c r="I34" s="55"/>
      <c r="J34" s="55"/>
      <c r="K34" s="48"/>
    </row>
    <row r="35" spans="1:11" s="48" customFormat="1" ht="15" customHeight="1" thickBot="1" x14ac:dyDescent="0.25">
      <c r="A35" s="56"/>
      <c r="B35" s="56"/>
      <c r="C35" s="56"/>
      <c r="D35" s="56"/>
      <c r="E35" s="56"/>
      <c r="F35" s="56"/>
      <c r="G35" s="56"/>
      <c r="H35" s="56"/>
      <c r="I35" s="56"/>
      <c r="J35" s="56"/>
    </row>
    <row r="36" spans="1:11" s="48" customFormat="1" ht="32.25" customHeight="1" thickBot="1" x14ac:dyDescent="0.25">
      <c r="A36" s="1294" t="s">
        <v>34</v>
      </c>
      <c r="B36" s="1295"/>
      <c r="C36" s="1295"/>
      <c r="D36" s="1295"/>
      <c r="E36" s="1295"/>
      <c r="F36" s="1295"/>
      <c r="G36" s="1295"/>
      <c r="H36" s="1295"/>
      <c r="I36" s="1295"/>
      <c r="J36" s="1296"/>
    </row>
    <row r="37" spans="1:11" s="48" customFormat="1" ht="3.75" customHeight="1" thickBot="1" x14ac:dyDescent="0.25">
      <c r="A37" s="55"/>
      <c r="B37" s="47"/>
      <c r="C37" s="47"/>
      <c r="D37" s="47"/>
      <c r="E37" s="47"/>
      <c r="F37" s="47"/>
      <c r="G37" s="47"/>
      <c r="H37" s="47"/>
      <c r="I37" s="47"/>
      <c r="J37" s="55"/>
    </row>
    <row r="38" spans="1:11" s="48" customFormat="1" ht="31.5" customHeight="1" thickBot="1" x14ac:dyDescent="0.25">
      <c r="A38" s="47"/>
      <c r="B38" s="1316" t="s">
        <v>35</v>
      </c>
      <c r="C38" s="1317"/>
      <c r="D38" s="1317"/>
      <c r="E38" s="1317"/>
      <c r="F38" s="1318"/>
      <c r="G38" s="47"/>
      <c r="H38" s="1319" t="s">
        <v>236</v>
      </c>
      <c r="I38" s="1320"/>
      <c r="J38" s="1321"/>
    </row>
    <row r="39" spans="1:11" s="48" customFormat="1" ht="31.5" customHeight="1" thickBot="1" x14ac:dyDescent="0.25">
      <c r="A39" s="47"/>
      <c r="B39" s="57" t="s">
        <v>31</v>
      </c>
      <c r="C39" s="203">
        <v>1</v>
      </c>
      <c r="D39" s="141">
        <v>2</v>
      </c>
      <c r="E39" s="141">
        <v>3</v>
      </c>
      <c r="F39" s="204">
        <v>4</v>
      </c>
      <c r="G39" s="47"/>
      <c r="H39" s="1322"/>
      <c r="I39" s="1323"/>
      <c r="J39" s="1324"/>
    </row>
    <row r="40" spans="1:11" s="48" customFormat="1" ht="31.5" customHeight="1" x14ac:dyDescent="0.2">
      <c r="A40" s="58"/>
      <c r="B40" s="59"/>
      <c r="C40" s="121" t="e">
        <f>+AVERAGE(C28,C31)</f>
        <v>#DIV/0!</v>
      </c>
      <c r="D40" s="122" t="e">
        <f>+AVERAGE(D28,D31)</f>
        <v>#DIV/0!</v>
      </c>
      <c r="E40" s="122" t="e">
        <f>+AVERAGE(E28,E31)</f>
        <v>#DIV/0!</v>
      </c>
      <c r="F40" s="205" t="e">
        <f>+AVERAGE(F28,F31)</f>
        <v>#DIV/0!</v>
      </c>
      <c r="G40" s="47"/>
      <c r="H40" s="1325"/>
      <c r="I40" s="1326"/>
      <c r="J40" s="1327"/>
    </row>
    <row r="41" spans="1:11" s="48" customFormat="1" ht="31.5" customHeight="1" x14ac:dyDescent="0.2">
      <c r="A41" s="58"/>
      <c r="B41" s="60"/>
      <c r="C41" s="123" t="e">
        <f>+AVERAGE(C29:C30)</f>
        <v>#DIV/0!</v>
      </c>
      <c r="D41" s="61" t="e">
        <f>+AVERAGE(D29:D30)</f>
        <v>#DIV/0!</v>
      </c>
      <c r="E41" s="61" t="e">
        <f>+AVERAGE(E29:E30)</f>
        <v>#DIV/0!</v>
      </c>
      <c r="F41" s="206" t="e">
        <f>+AVERAGE(F29:F30)</f>
        <v>#DIV/0!</v>
      </c>
      <c r="G41" s="47"/>
      <c r="H41" s="1325"/>
      <c r="I41" s="1326"/>
      <c r="J41" s="1327"/>
    </row>
    <row r="42" spans="1:11" s="48" customFormat="1" ht="31.5" customHeight="1" thickBot="1" x14ac:dyDescent="0.25">
      <c r="A42" s="58"/>
      <c r="B42" s="62"/>
      <c r="C42" s="124" t="e">
        <f>+C41-C40</f>
        <v>#DIV/0!</v>
      </c>
      <c r="D42" s="125" t="e">
        <f>+D41-D40</f>
        <v>#DIV/0!</v>
      </c>
      <c r="E42" s="125" t="e">
        <f>+E41-E40</f>
        <v>#DIV/0!</v>
      </c>
      <c r="F42" s="207" t="e">
        <f>+F41-F40</f>
        <v>#DIV/0!</v>
      </c>
      <c r="G42" s="47"/>
      <c r="H42" s="1328"/>
      <c r="I42" s="1329"/>
      <c r="J42" s="1330"/>
    </row>
    <row r="43" spans="1:11" s="48" customFormat="1" ht="31.5" customHeight="1" thickBot="1" x14ac:dyDescent="0.25">
      <c r="A43" s="47"/>
      <c r="B43" s="63" t="s">
        <v>36</v>
      </c>
      <c r="C43" s="286" t="e">
        <f>+AVERAGE(C42:F42)</f>
        <v>#DIV/0!</v>
      </c>
      <c r="D43" s="47"/>
      <c r="E43" s="47"/>
      <c r="F43" s="47"/>
      <c r="G43" s="47"/>
      <c r="H43" s="47"/>
      <c r="I43" s="47"/>
      <c r="J43" s="47"/>
    </row>
    <row r="44" spans="1:11" s="48" customFormat="1" ht="31.5" customHeight="1" thickBot="1" x14ac:dyDescent="0.25">
      <c r="A44" s="47"/>
      <c r="B44" s="64" t="s">
        <v>77</v>
      </c>
      <c r="C44" s="415" t="e">
        <f>+STDEV(C42:F42)</f>
        <v>#DIV/0!</v>
      </c>
      <c r="D44" s="47"/>
      <c r="E44" s="47"/>
      <c r="F44" s="47"/>
      <c r="G44" s="47"/>
      <c r="H44" s="47"/>
      <c r="I44" s="47"/>
      <c r="J44" s="47"/>
      <c r="K44" s="46"/>
    </row>
    <row r="45" spans="1:11" s="46" customFormat="1" ht="15" customHeight="1" thickBot="1" x14ac:dyDescent="0.25">
      <c r="A45" s="47"/>
      <c r="B45" s="47"/>
      <c r="C45" s="47"/>
      <c r="D45" s="47"/>
      <c r="E45" s="47"/>
      <c r="F45" s="47"/>
      <c r="G45" s="65"/>
      <c r="H45" s="47"/>
      <c r="I45" s="47"/>
      <c r="J45" s="47"/>
      <c r="K45" s="48"/>
    </row>
    <row r="46" spans="1:11" s="48" customFormat="1" ht="31.5" customHeight="1" thickBot="1" x14ac:dyDescent="0.25">
      <c r="A46" s="1331" t="s">
        <v>37</v>
      </c>
      <c r="B46" s="1332"/>
      <c r="C46" s="1284"/>
      <c r="D46" s="1284"/>
      <c r="E46" s="1284"/>
      <c r="F46" s="1332"/>
      <c r="G46" s="1332"/>
      <c r="H46" s="1332"/>
      <c r="I46" s="1332"/>
      <c r="J46" s="1333"/>
    </row>
    <row r="47" spans="1:11" s="48" customFormat="1" ht="31.5" customHeight="1" thickBot="1" x14ac:dyDescent="0.25">
      <c r="A47" s="1375" t="s">
        <v>321</v>
      </c>
      <c r="B47" s="1376"/>
      <c r="C47" s="1338" t="s">
        <v>38</v>
      </c>
      <c r="D47" s="1339"/>
      <c r="E47" s="1340"/>
      <c r="F47" s="47"/>
      <c r="G47" s="47"/>
      <c r="H47" s="47"/>
      <c r="I47" s="47"/>
      <c r="J47" s="47"/>
    </row>
    <row r="48" spans="1:11" s="48" customFormat="1" ht="36.75" customHeight="1" thickBot="1" x14ac:dyDescent="0.25">
      <c r="A48" s="1377"/>
      <c r="B48" s="1378"/>
      <c r="C48" s="82" t="s">
        <v>27</v>
      </c>
      <c r="D48" s="93" t="s">
        <v>307</v>
      </c>
      <c r="E48" s="83" t="s">
        <v>9</v>
      </c>
      <c r="G48" s="1341" t="s">
        <v>70</v>
      </c>
      <c r="H48" s="1342"/>
      <c r="I48" s="102" t="e">
        <f>+(0.34848*E50-0.009*D50*EXP(0.061*C50))/(273.15+C50)</f>
        <v>#DIV/0!</v>
      </c>
      <c r="J48" s="103" t="s">
        <v>73</v>
      </c>
    </row>
    <row r="49" spans="1:21" s="48" customFormat="1" ht="33" customHeight="1" thickBot="1" x14ac:dyDescent="0.25">
      <c r="A49" s="1306" t="s">
        <v>39</v>
      </c>
      <c r="B49" s="1307"/>
      <c r="C49" s="90" t="e">
        <f>+AVERAGE(E33,E24)</f>
        <v>#DIV/0!</v>
      </c>
      <c r="D49" s="91" t="e">
        <f>+AVERAGE(H33,H24)</f>
        <v>#DIV/0!</v>
      </c>
      <c r="E49" s="92" t="e">
        <f>+AVERAGE(J33,J24)</f>
        <v>#DIV/0!</v>
      </c>
      <c r="G49" s="1308" t="s">
        <v>71</v>
      </c>
      <c r="H49" s="1309"/>
      <c r="I49" s="422" t="e">
        <f>I48*((0.0001)^2+(0.001*I20/2)^2+(-0.0034*D20/2)^2+(-0.01*G20/2)^2)^0.5</f>
        <v>#DIV/0!</v>
      </c>
      <c r="J49" s="66" t="s">
        <v>73</v>
      </c>
    </row>
    <row r="50" spans="1:21" s="48" customFormat="1" ht="36.75" customHeight="1" thickBot="1" x14ac:dyDescent="0.25">
      <c r="A50" s="1343" t="s">
        <v>322</v>
      </c>
      <c r="B50" s="1344"/>
      <c r="C50" s="84" t="e">
        <f>C49+(VLOOKUP(J19,'DATOS %'!J174:W180,9,FALSE))*C49+(VLOOKUP(J19,'DATOS %'!J174:W180,10,FALSE))</f>
        <v>#DIV/0!</v>
      </c>
      <c r="D50" s="85" t="e">
        <f>D49+(VLOOKUP(J19,'DATOS %'!J174:W180,11,FALSE))*D49+(VLOOKUP(J19,'DATOS %'!J174:W180,12,FALSE))</f>
        <v>#DIV/0!</v>
      </c>
      <c r="E50" s="86" t="e">
        <f>E49+(VLOOKUP(J19,'DATOS %'!J174:W180,13,FALSE))*E49+(VLOOKUP(J19,'DATOS %'!J174:W180,14,FALSE))</f>
        <v>#DIV/0!</v>
      </c>
      <c r="G50" s="1341" t="s">
        <v>72</v>
      </c>
      <c r="H50" s="1342"/>
      <c r="I50" s="67">
        <v>1.2</v>
      </c>
      <c r="J50" s="66" t="s">
        <v>73</v>
      </c>
    </row>
    <row r="51" spans="1:21" s="46" customFormat="1" ht="15" customHeight="1" thickBot="1" x14ac:dyDescent="0.25">
      <c r="A51" s="47"/>
      <c r="B51" s="47"/>
      <c r="C51" s="47"/>
      <c r="D51" s="47"/>
      <c r="E51" s="47"/>
      <c r="F51" s="47"/>
      <c r="G51" s="47"/>
      <c r="H51" s="47"/>
      <c r="I51" s="47"/>
      <c r="J51" s="47"/>
      <c r="K51" s="48"/>
    </row>
    <row r="52" spans="1:21" s="48" customFormat="1" ht="31.5" customHeight="1" thickBot="1" x14ac:dyDescent="0.25">
      <c r="A52" s="1331" t="s">
        <v>40</v>
      </c>
      <c r="B52" s="1332"/>
      <c r="C52" s="1332"/>
      <c r="D52" s="1332"/>
      <c r="E52" s="1332"/>
      <c r="F52" s="1332"/>
      <c r="G52" s="1332"/>
      <c r="H52" s="1332"/>
      <c r="I52" s="1332"/>
      <c r="J52" s="1333"/>
    </row>
    <row r="53" spans="1:21" s="48" customFormat="1" ht="31.5" customHeight="1" x14ac:dyDescent="0.35">
      <c r="A53" s="47"/>
      <c r="B53" s="68" t="s">
        <v>41</v>
      </c>
      <c r="C53" s="69"/>
      <c r="D53" s="1345" t="s">
        <v>74</v>
      </c>
      <c r="E53" s="1345"/>
      <c r="F53" s="70" t="s">
        <v>42</v>
      </c>
      <c r="G53" s="71" t="s">
        <v>43</v>
      </c>
      <c r="H53" s="1346" t="s">
        <v>44</v>
      </c>
      <c r="I53" s="1347"/>
      <c r="J53" s="47"/>
    </row>
    <row r="54" spans="1:21" s="48" customFormat="1" ht="31.5" customHeight="1" thickBot="1" x14ac:dyDescent="0.25">
      <c r="A54" s="47"/>
      <c r="B54" s="72" t="e">
        <f>+C43</f>
        <v>#DIV/0!</v>
      </c>
      <c r="C54" s="73" t="s">
        <v>1</v>
      </c>
      <c r="D54" s="74" t="e">
        <f>+C10+C11/1000</f>
        <v>#N/A</v>
      </c>
      <c r="E54" s="73" t="s">
        <v>1</v>
      </c>
      <c r="F54" s="74" t="e">
        <f>+(I48-I50)*(1/H10-1/C13)</f>
        <v>#DIV/0!</v>
      </c>
      <c r="G54" s="75"/>
      <c r="H54" s="67" t="e">
        <f>+(B54+D54*F54)*1000</f>
        <v>#DIV/0!</v>
      </c>
      <c r="I54" s="66" t="s">
        <v>3</v>
      </c>
      <c r="J54" s="47"/>
      <c r="K54" s="46"/>
    </row>
    <row r="55" spans="1:21" s="46" customFormat="1" ht="15" customHeight="1" x14ac:dyDescent="0.2">
      <c r="A55" s="47"/>
      <c r="B55" s="47"/>
      <c r="C55" s="47"/>
      <c r="D55" s="47"/>
      <c r="E55" s="47"/>
      <c r="F55" s="47"/>
      <c r="G55" s="47"/>
      <c r="H55" s="47"/>
      <c r="I55" s="47"/>
      <c r="J55" s="47"/>
      <c r="K55" s="48"/>
    </row>
    <row r="56" spans="1:21" s="48" customFormat="1" ht="31.5" customHeight="1" x14ac:dyDescent="0.2">
      <c r="A56" s="1348" t="s">
        <v>45</v>
      </c>
      <c r="B56" s="1349"/>
      <c r="C56" s="1349"/>
      <c r="D56" s="1349"/>
      <c r="E56" s="1349"/>
      <c r="F56" s="1349"/>
      <c r="G56" s="1349"/>
      <c r="H56" s="1349"/>
      <c r="I56" s="1349"/>
      <c r="J56" s="1349"/>
      <c r="K56" s="46"/>
    </row>
    <row r="57" spans="1:21" s="46" customFormat="1" ht="15" customHeight="1" thickBot="1" x14ac:dyDescent="0.25">
      <c r="A57" s="47"/>
      <c r="B57" s="47"/>
      <c r="C57" s="47"/>
      <c r="D57" s="47"/>
      <c r="E57" s="47"/>
      <c r="K57" s="48"/>
    </row>
    <row r="58" spans="1:21" s="48" customFormat="1" ht="31.5" customHeight="1" thickBot="1" x14ac:dyDescent="0.25">
      <c r="A58" s="1350" t="s">
        <v>38</v>
      </c>
      <c r="B58" s="1351"/>
      <c r="C58" s="1352" t="s">
        <v>46</v>
      </c>
      <c r="D58" s="1353"/>
      <c r="E58" s="1354" t="s">
        <v>238</v>
      </c>
      <c r="F58" s="1379"/>
      <c r="G58" s="1061" t="s">
        <v>553</v>
      </c>
      <c r="J58" s="114"/>
      <c r="L58" s="46"/>
      <c r="Q58" s="47"/>
      <c r="R58" s="47"/>
      <c r="S58" s="47"/>
      <c r="T58" s="47"/>
      <c r="U58" s="47"/>
    </row>
    <row r="59" spans="1:21" s="48" customFormat="1" ht="57.95" customHeight="1" thickBot="1" x14ac:dyDescent="0.25">
      <c r="A59" s="1024" t="s">
        <v>47</v>
      </c>
      <c r="B59" s="1025"/>
      <c r="C59" s="1026" t="e">
        <f>+C44/B26^0.5*1000</f>
        <v>#DIV/0!</v>
      </c>
      <c r="D59" s="1017" t="s">
        <v>3</v>
      </c>
      <c r="E59" s="1027" t="s">
        <v>240</v>
      </c>
      <c r="F59" s="139">
        <f>$B$26-1</f>
        <v>3</v>
      </c>
      <c r="G59" s="1111" t="e">
        <f>(C59/$G$70)^2</f>
        <v>#DIV/0!</v>
      </c>
      <c r="H59" s="47"/>
      <c r="K59" s="156">
        <v>0.3</v>
      </c>
      <c r="L59" s="157">
        <v>1.65</v>
      </c>
      <c r="M59" s="113"/>
    </row>
    <row r="60" spans="1:21" s="48" customFormat="1" ht="57.95" customHeight="1" thickBot="1" x14ac:dyDescent="0.25">
      <c r="A60" s="1019" t="s">
        <v>343</v>
      </c>
      <c r="B60" s="1020" t="s">
        <v>48</v>
      </c>
      <c r="C60" s="1021" t="e">
        <f>+C12/2</f>
        <v>#N/A</v>
      </c>
      <c r="D60" s="1022" t="s">
        <v>3</v>
      </c>
      <c r="E60" s="1023" t="s">
        <v>239</v>
      </c>
      <c r="F60" s="146" t="s">
        <v>265</v>
      </c>
      <c r="G60" s="1112"/>
      <c r="H60" s="1380" t="s">
        <v>241</v>
      </c>
      <c r="I60" s="1356"/>
      <c r="J60" s="1356"/>
      <c r="K60" s="1356"/>
      <c r="L60" s="1356"/>
      <c r="M60" s="1357"/>
    </row>
    <row r="61" spans="1:21" s="48" customFormat="1" ht="57.95" customHeight="1" thickBot="1" x14ac:dyDescent="0.25">
      <c r="A61" s="1028" t="s">
        <v>344</v>
      </c>
      <c r="B61" s="1029"/>
      <c r="C61" s="1030" t="e">
        <f>+C12/3^0.5</f>
        <v>#N/A</v>
      </c>
      <c r="D61" s="1031" t="s">
        <v>3</v>
      </c>
      <c r="E61" s="1032" t="s">
        <v>239</v>
      </c>
      <c r="F61" s="147" t="s">
        <v>265</v>
      </c>
      <c r="G61" s="1112"/>
      <c r="H61" s="132" t="s">
        <v>243</v>
      </c>
      <c r="I61" s="149" t="e">
        <f>MAX(C59:C62,C66:C67,C68)</f>
        <v>#DIV/0!</v>
      </c>
      <c r="J61" s="151" t="e">
        <f>IF((I62)&lt;=(K59),"1,65","2")</f>
        <v>#DIV/0!</v>
      </c>
      <c r="K61" s="152" t="s">
        <v>242</v>
      </c>
      <c r="L61" s="153" t="s">
        <v>237</v>
      </c>
      <c r="M61" s="360" t="s">
        <v>328</v>
      </c>
    </row>
    <row r="62" spans="1:21" s="48" customFormat="1" ht="57.95" customHeight="1" thickBot="1" x14ac:dyDescent="0.3">
      <c r="A62" s="1024" t="s">
        <v>49</v>
      </c>
      <c r="B62" s="1035"/>
      <c r="C62" s="1036" t="e">
        <f>+SQRT(SUMSQ(C60:C61))</f>
        <v>#N/A</v>
      </c>
      <c r="D62" s="1017" t="s">
        <v>3</v>
      </c>
      <c r="E62" s="1037" t="s">
        <v>240</v>
      </c>
      <c r="F62" s="139">
        <v>200</v>
      </c>
      <c r="G62" s="1112" t="e">
        <f t="shared" ref="G62:G68" si="0">(C62/$G$70)^2</f>
        <v>#N/A</v>
      </c>
      <c r="H62" s="133" t="s">
        <v>244</v>
      </c>
      <c r="I62" s="150" t="e">
        <f>SQRT((C59)^2+(C66)^2+(C67)^2)/I61</f>
        <v>#DIV/0!</v>
      </c>
      <c r="J62" s="126"/>
      <c r="K62" s="154" t="s">
        <v>242</v>
      </c>
      <c r="L62" s="155" t="s">
        <v>252</v>
      </c>
      <c r="M62" s="361" t="s">
        <v>329</v>
      </c>
    </row>
    <row r="63" spans="1:21" s="48" customFormat="1" ht="57.95" customHeight="1" x14ac:dyDescent="0.2">
      <c r="A63" s="1019" t="s">
        <v>345</v>
      </c>
      <c r="B63" s="1020"/>
      <c r="C63" s="1033" t="e">
        <f>+I49</f>
        <v>#DIV/0!</v>
      </c>
      <c r="D63" s="1021" t="s">
        <v>73</v>
      </c>
      <c r="E63" s="1034" t="s">
        <v>239</v>
      </c>
      <c r="F63" s="146" t="s">
        <v>265</v>
      </c>
      <c r="G63" s="1112"/>
      <c r="L63" s="46"/>
      <c r="T63" s="46"/>
      <c r="U63" s="46"/>
    </row>
    <row r="64" spans="1:21" s="48" customFormat="1" ht="57.95" customHeight="1" x14ac:dyDescent="0.2">
      <c r="A64" s="426" t="s">
        <v>50</v>
      </c>
      <c r="B64" s="1018"/>
      <c r="C64" s="425" t="e">
        <f>+H11/2</f>
        <v>#N/A</v>
      </c>
      <c r="D64" s="424" t="s">
        <v>73</v>
      </c>
      <c r="E64" s="423" t="s">
        <v>239</v>
      </c>
      <c r="F64" s="148" t="s">
        <v>265</v>
      </c>
      <c r="G64" s="1112"/>
      <c r="H64" s="130"/>
      <c r="J64" s="130"/>
      <c r="K64" s="130"/>
      <c r="L64" s="130"/>
      <c r="M64" s="130"/>
      <c r="Q64" s="47"/>
      <c r="R64" s="47"/>
      <c r="S64" s="47"/>
      <c r="T64" s="47"/>
      <c r="U64" s="47"/>
    </row>
    <row r="65" spans="1:21" s="48" customFormat="1" ht="57.95" customHeight="1" thickBot="1" x14ac:dyDescent="0.25">
      <c r="A65" s="1028" t="s">
        <v>346</v>
      </c>
      <c r="B65" s="1038"/>
      <c r="C65" s="1039" t="e">
        <f>+C14/2</f>
        <v>#N/A</v>
      </c>
      <c r="D65" s="1031" t="s">
        <v>73</v>
      </c>
      <c r="E65" s="1040" t="s">
        <v>239</v>
      </c>
      <c r="F65" s="147" t="s">
        <v>265</v>
      </c>
      <c r="G65" s="1112"/>
      <c r="H65" s="130"/>
      <c r="I65" s="130"/>
      <c r="J65" s="130"/>
      <c r="K65" s="130"/>
      <c r="L65" s="130"/>
      <c r="M65" s="130"/>
      <c r="Q65" s="46"/>
      <c r="R65" s="46"/>
      <c r="S65" s="46"/>
      <c r="T65" s="46"/>
      <c r="U65" s="46"/>
    </row>
    <row r="66" spans="1:21" s="48" customFormat="1" ht="57.95" customHeight="1" thickBot="1" x14ac:dyDescent="0.3">
      <c r="A66" s="1024" t="s">
        <v>347</v>
      </c>
      <c r="B66" s="1035"/>
      <c r="C66" s="1036" t="e">
        <f>+SQRT(ABS(((C10/1000+C11/1000000)*(C13-H10)/(C13*H10)*C63)^2+((C10/1000+C11/1000000)*(I48-I50))^2*C64^2/H10^4+(C10/1000+C11/1000000)^2*(I48-I50)*((I48-I50)-2*(C15-I50))*C65^2/C13^4))*1000000</f>
        <v>#N/A</v>
      </c>
      <c r="D66" s="1051" t="s">
        <v>3</v>
      </c>
      <c r="E66" s="1037" t="s">
        <v>240</v>
      </c>
      <c r="F66" s="139">
        <v>200</v>
      </c>
      <c r="G66" s="1112" t="e">
        <f t="shared" si="0"/>
        <v>#N/A</v>
      </c>
      <c r="H66" s="130"/>
      <c r="I66" s="1093" t="s">
        <v>554</v>
      </c>
      <c r="J66" s="1095" t="s">
        <v>556</v>
      </c>
      <c r="K66" s="1094" t="s">
        <v>555</v>
      </c>
      <c r="L66" s="130"/>
      <c r="M66" s="130"/>
      <c r="Q66" s="47"/>
      <c r="R66" s="47"/>
      <c r="S66" s="47"/>
      <c r="T66" s="47"/>
      <c r="U66" s="47"/>
    </row>
    <row r="67" spans="1:21" s="48" customFormat="1" ht="57.95" customHeight="1" thickBot="1" x14ac:dyDescent="0.3">
      <c r="A67" s="1047" t="s">
        <v>52</v>
      </c>
      <c r="B67" s="1048"/>
      <c r="C67" s="1049" t="e">
        <f>+(G15/2/3^0.5)*2^0.5*1000</f>
        <v>#N/A</v>
      </c>
      <c r="D67" s="1044" t="s">
        <v>3</v>
      </c>
      <c r="E67" s="1045" t="s">
        <v>239</v>
      </c>
      <c r="F67" s="1050">
        <v>200</v>
      </c>
      <c r="G67" s="1112" t="e">
        <f t="shared" si="0"/>
        <v>#N/A</v>
      </c>
      <c r="H67" s="130"/>
      <c r="I67" s="1096" t="e">
        <f>G70^4/((C59^4/F59)+(C62^4/F62)+(C66^4/F66)+(C67^4/F67)+(C68^4/F68))</f>
        <v>#DIV/0!</v>
      </c>
      <c r="J67" s="1097" t="e">
        <f>TINV(0.05,I67)</f>
        <v>#DIV/0!</v>
      </c>
      <c r="K67" s="1098" t="e">
        <f>1-TDIST(J67,I67,2)</f>
        <v>#DIV/0!</v>
      </c>
      <c r="L67" s="130"/>
      <c r="M67" s="130"/>
    </row>
    <row r="68" spans="1:21" s="46" customFormat="1" ht="65.25" customHeight="1" thickBot="1" x14ac:dyDescent="0.3">
      <c r="A68" s="1041" t="s">
        <v>551</v>
      </c>
      <c r="B68" s="1042"/>
      <c r="C68" s="1043">
        <f>0.37/SQRT(45)</f>
        <v>5.5156343444994808E-2</v>
      </c>
      <c r="D68" s="1044" t="s">
        <v>3</v>
      </c>
      <c r="E68" s="1045" t="s">
        <v>240</v>
      </c>
      <c r="F68" s="1046">
        <v>50</v>
      </c>
      <c r="G68" s="1113" t="e">
        <f t="shared" si="0"/>
        <v>#DIV/0!</v>
      </c>
      <c r="H68" s="130"/>
      <c r="I68" s="130"/>
      <c r="J68" s="130"/>
      <c r="K68" s="130"/>
      <c r="L68" s="130"/>
      <c r="M68" s="130"/>
      <c r="S68" s="48"/>
      <c r="T68" s="48"/>
      <c r="U68" s="48"/>
    </row>
    <row r="69" spans="1:21" s="46" customFormat="1" ht="65.25" customHeight="1" thickBot="1" x14ac:dyDescent="0.25">
      <c r="A69" s="130"/>
      <c r="B69" s="130"/>
      <c r="C69" s="130"/>
      <c r="D69" s="130"/>
      <c r="E69" s="130"/>
      <c r="F69" s="130"/>
      <c r="G69" s="1114" t="e">
        <f>SUM(G59,G62,G66,G67,G68)</f>
        <v>#DIV/0!</v>
      </c>
      <c r="H69" s="130"/>
      <c r="I69" s="130"/>
      <c r="J69" s="130"/>
      <c r="K69" s="130"/>
      <c r="L69" s="130"/>
      <c r="M69" s="130"/>
      <c r="S69" s="48"/>
      <c r="T69" s="48"/>
      <c r="U69" s="48"/>
    </row>
    <row r="70" spans="1:21" s="106" customFormat="1" ht="51.75" customHeight="1" thickBot="1" x14ac:dyDescent="0.3">
      <c r="D70" s="1306" t="s">
        <v>51</v>
      </c>
      <c r="E70" s="1307"/>
      <c r="F70" s="134"/>
      <c r="G70" s="140" t="e">
        <f>+SQRT(SUMSQ(C59,C62,C66,C67,C68))</f>
        <v>#DIV/0!</v>
      </c>
      <c r="H70" s="136" t="s">
        <v>3</v>
      </c>
      <c r="K70" s="130"/>
      <c r="L70" s="130"/>
      <c r="M70" s="130"/>
      <c r="S70" s="48"/>
      <c r="T70" s="48"/>
      <c r="U70" s="48"/>
    </row>
    <row r="71" spans="1:21" s="106" customFormat="1" ht="35.1" customHeight="1" thickBot="1" x14ac:dyDescent="0.25">
      <c r="D71" s="1306" t="s">
        <v>53</v>
      </c>
      <c r="E71" s="1307"/>
      <c r="F71" s="135"/>
      <c r="G71" s="140" t="e">
        <f>+G70*2</f>
        <v>#DIV/0!</v>
      </c>
      <c r="H71" s="137" t="s">
        <v>3</v>
      </c>
      <c r="K71" s="110"/>
      <c r="L71" s="107"/>
      <c r="O71" s="48"/>
      <c r="P71" s="48"/>
      <c r="Q71" s="48"/>
      <c r="R71" s="48"/>
      <c r="S71" s="48"/>
      <c r="T71" s="48"/>
      <c r="U71" s="48"/>
    </row>
    <row r="72" spans="1:21" s="106" customFormat="1" ht="33.75" customHeight="1" thickBot="1" x14ac:dyDescent="4.45">
      <c r="B72" s="1313" t="s">
        <v>54</v>
      </c>
      <c r="C72" s="1314"/>
      <c r="D72" s="1314"/>
      <c r="E72" s="1314"/>
      <c r="F72" s="1314"/>
      <c r="G72" s="1314"/>
      <c r="H72" s="1314"/>
      <c r="I72" s="1314"/>
      <c r="J72" s="1314"/>
      <c r="K72" s="1315"/>
      <c r="L72" s="117"/>
      <c r="O72" s="48"/>
      <c r="P72" s="48"/>
      <c r="Q72" s="48"/>
      <c r="R72" s="48"/>
      <c r="S72" s="48"/>
      <c r="T72" s="48"/>
      <c r="U72" s="48"/>
    </row>
    <row r="73" spans="1:21" s="106" customFormat="1" ht="35.1" customHeight="1" thickBot="1" x14ac:dyDescent="0.25">
      <c r="B73" s="1368" t="s">
        <v>255</v>
      </c>
      <c r="C73" s="1369"/>
      <c r="D73" s="1369"/>
      <c r="E73" s="1370"/>
      <c r="F73" s="79"/>
      <c r="G73" s="80"/>
      <c r="H73" s="1371"/>
      <c r="I73" s="1372"/>
      <c r="J73" s="1372"/>
      <c r="K73" s="1373"/>
      <c r="O73" s="48"/>
      <c r="P73" s="48"/>
      <c r="Q73" s="48"/>
      <c r="R73" s="48"/>
      <c r="S73" s="48"/>
      <c r="T73" s="48"/>
      <c r="U73" s="48"/>
    </row>
    <row r="74" spans="1:21" s="106" customFormat="1" ht="40.5" customHeight="1" x14ac:dyDescent="0.2">
      <c r="B74" s="118"/>
      <c r="C74" s="362" t="s">
        <v>348</v>
      </c>
      <c r="D74" s="119" t="s">
        <v>253</v>
      </c>
      <c r="E74" s="120"/>
      <c r="F74" s="1358"/>
      <c r="G74" s="1358"/>
      <c r="H74" s="1359" t="s">
        <v>266</v>
      </c>
      <c r="I74" s="1381" t="s">
        <v>254</v>
      </c>
      <c r="J74" s="1381"/>
      <c r="K74" s="1382"/>
      <c r="O74" s="48"/>
      <c r="P74" s="48"/>
      <c r="Q74" s="48"/>
      <c r="R74" s="48"/>
      <c r="S74" s="48"/>
      <c r="T74" s="48"/>
      <c r="U74" s="48"/>
    </row>
    <row r="75" spans="1:21" s="106" customFormat="1" ht="35.1" customHeight="1" x14ac:dyDescent="0.2">
      <c r="B75" s="81" t="e">
        <f>C10</f>
        <v>#N/A</v>
      </c>
      <c r="C75" s="77" t="e">
        <f>C11</f>
        <v>#N/A</v>
      </c>
      <c r="D75" s="78" t="e">
        <f>H54</f>
        <v>#DIV/0!</v>
      </c>
      <c r="E75" s="216" t="e">
        <f>B75+(C75/1000)+(D75/1000)</f>
        <v>#N/A</v>
      </c>
      <c r="F75" s="264" t="e">
        <f>E75*1000-B75*1000</f>
        <v>#N/A</v>
      </c>
      <c r="G75" s="61"/>
      <c r="H75" s="1360"/>
      <c r="I75" s="288" t="e">
        <f>G71</f>
        <v>#DIV/0!</v>
      </c>
      <c r="J75" s="1364"/>
      <c r="K75" s="1365"/>
      <c r="O75" s="48"/>
      <c r="P75" s="48"/>
      <c r="Q75" s="48"/>
      <c r="R75" s="48"/>
      <c r="S75" s="48"/>
      <c r="T75" s="48"/>
      <c r="U75" s="48"/>
    </row>
    <row r="76" spans="1:21" s="106" customFormat="1" ht="35.1" customHeight="1" thickBot="1" x14ac:dyDescent="0.25">
      <c r="B76" s="87" t="e">
        <f>B75</f>
        <v>#N/A</v>
      </c>
      <c r="C76" s="88" t="e">
        <f>C75</f>
        <v>#N/A</v>
      </c>
      <c r="D76" s="88" t="e">
        <f>D75</f>
        <v>#DIV/0!</v>
      </c>
      <c r="E76" s="217" t="e">
        <f>B76+(C76/1000)+(D76/1000)</f>
        <v>#N/A</v>
      </c>
      <c r="F76" s="281" t="e">
        <f>F75/1000</f>
        <v>#N/A</v>
      </c>
      <c r="G76" s="89"/>
      <c r="H76" s="1361"/>
      <c r="I76" s="284" t="e">
        <f>I75/1000</f>
        <v>#DIV/0!</v>
      </c>
      <c r="J76" s="1366"/>
      <c r="K76" s="1367"/>
      <c r="O76" s="48"/>
      <c r="P76" s="48"/>
      <c r="Q76" s="48"/>
      <c r="R76" s="48"/>
      <c r="S76" s="48"/>
      <c r="T76" s="48"/>
      <c r="U76" s="48"/>
    </row>
    <row r="77" spans="1:21" s="106" customFormat="1" ht="35.1" customHeight="1" x14ac:dyDescent="0.2">
      <c r="G77" s="47"/>
      <c r="H77" s="47"/>
      <c r="I77" s="47"/>
      <c r="J77" s="47"/>
      <c r="O77" s="48"/>
      <c r="P77" s="48"/>
      <c r="Q77" s="48"/>
      <c r="R77" s="48"/>
      <c r="S77" s="48"/>
      <c r="T77" s="48"/>
      <c r="U77" s="48"/>
    </row>
    <row r="78" spans="1:21" s="106" customFormat="1" ht="35.1" customHeight="1" x14ac:dyDescent="0.2">
      <c r="G78" s="47"/>
      <c r="H78" s="47"/>
      <c r="I78" s="47"/>
      <c r="J78" s="47"/>
      <c r="O78" s="48"/>
      <c r="P78" s="48"/>
      <c r="Q78" s="48"/>
      <c r="R78" s="48"/>
      <c r="S78" s="48"/>
      <c r="T78" s="48"/>
      <c r="U78" s="48"/>
    </row>
    <row r="79" spans="1:21" s="106" customFormat="1" ht="35.1" customHeight="1" x14ac:dyDescent="0.2">
      <c r="G79" s="47"/>
      <c r="H79" s="47"/>
      <c r="I79" s="47"/>
      <c r="J79" s="47"/>
    </row>
    <row r="80" spans="1:21" s="107" customFormat="1" ht="35.1" customHeight="1" x14ac:dyDescent="0.2">
      <c r="A80" s="109"/>
      <c r="B80" s="106"/>
      <c r="C80" s="106"/>
      <c r="D80" s="106"/>
      <c r="E80" s="106"/>
      <c r="F80" s="106"/>
      <c r="G80" s="47"/>
      <c r="H80" s="47"/>
    </row>
    <row r="81" spans="2:11" s="111" customFormat="1" ht="35.1" customHeight="1" x14ac:dyDescent="0.2">
      <c r="B81" s="106"/>
      <c r="C81" s="106"/>
      <c r="D81" s="106"/>
      <c r="E81" s="106"/>
      <c r="F81" s="106"/>
      <c r="G81" s="47"/>
      <c r="H81" s="47"/>
    </row>
    <row r="82" spans="2:11" s="106" customFormat="1" ht="61.5" customHeight="1" x14ac:dyDescent="0.2">
      <c r="H82" s="111"/>
      <c r="I82" s="111"/>
      <c r="J82" s="111"/>
      <c r="K82" s="108"/>
    </row>
    <row r="83" spans="2:11" s="106" customFormat="1" ht="35.1" customHeight="1" x14ac:dyDescent="0.2">
      <c r="G83" s="111"/>
      <c r="H83" s="111"/>
      <c r="I83" s="111"/>
      <c r="J83" s="111"/>
      <c r="K83" s="108"/>
    </row>
    <row r="84" spans="2:11" s="106" customFormat="1" ht="35.1" customHeight="1" x14ac:dyDescent="0.2">
      <c r="G84" s="111"/>
      <c r="H84" s="111"/>
      <c r="I84" s="111"/>
      <c r="J84" s="111"/>
      <c r="K84" s="108"/>
    </row>
    <row r="85" spans="2:11" s="106" customFormat="1" ht="35.1" customHeight="1" x14ac:dyDescent="0.2">
      <c r="F85" s="107"/>
      <c r="K85" s="108"/>
    </row>
    <row r="86" spans="2:11" s="106" customFormat="1" ht="50.1" customHeight="1" x14ac:dyDescent="0.2"/>
    <row r="87" spans="2:11" s="106" customFormat="1" ht="57.75" customHeight="1" x14ac:dyDescent="0.2">
      <c r="C87" s="112"/>
      <c r="D87" s="112"/>
      <c r="E87" s="112"/>
    </row>
    <row r="88" spans="2:11" s="106" customFormat="1" ht="35.1" customHeight="1" x14ac:dyDescent="0.2"/>
    <row r="89" spans="2:11" s="106" customFormat="1" ht="35.1" customHeight="1" x14ac:dyDescent="0.2">
      <c r="F89" s="108"/>
      <c r="G89" s="108"/>
      <c r="H89" s="108"/>
      <c r="I89" s="108"/>
      <c r="J89" s="108"/>
    </row>
    <row r="90" spans="2:11" s="106" customFormat="1" ht="35.1" customHeight="1" x14ac:dyDescent="0.2"/>
    <row r="91" spans="2:11" s="106" customFormat="1" ht="50.1" customHeight="1" x14ac:dyDescent="0.2">
      <c r="J91" s="47"/>
    </row>
    <row r="92" spans="2:11" s="106" customFormat="1" ht="55.5" customHeight="1" x14ac:dyDescent="0.2">
      <c r="J92" s="111"/>
    </row>
    <row r="93" spans="2:11" s="106" customFormat="1" ht="50.1" customHeight="1" x14ac:dyDescent="0.2">
      <c r="J93" s="111"/>
    </row>
    <row r="94" spans="2:11" s="107" customFormat="1" ht="31.5" customHeight="1" x14ac:dyDescent="0.2">
      <c r="J94" s="111"/>
    </row>
    <row r="95" spans="2:11" s="106" customFormat="1" ht="35.1" customHeight="1" x14ac:dyDescent="0.2">
      <c r="G95" s="111"/>
      <c r="H95" s="111"/>
      <c r="I95" s="111"/>
      <c r="J95" s="111"/>
    </row>
    <row r="96" spans="2:11" s="106" customFormat="1" ht="35.1" customHeight="1" x14ac:dyDescent="0.2">
      <c r="G96" s="111"/>
      <c r="H96" s="111"/>
      <c r="I96" s="111"/>
      <c r="J96" s="111"/>
    </row>
    <row r="97" spans="1:12" s="106" customFormat="1" ht="9.9499999999999993" customHeight="1" x14ac:dyDescent="0.2">
      <c r="G97" s="108"/>
      <c r="H97" s="108"/>
      <c r="I97" s="108"/>
      <c r="J97" s="108"/>
    </row>
    <row r="98" spans="1:12" s="106" customFormat="1" ht="35.1" customHeight="1" x14ac:dyDescent="0.2">
      <c r="J98" s="108"/>
      <c r="K98" s="108"/>
      <c r="L98" s="108"/>
    </row>
    <row r="99" spans="1:12" s="46" customFormat="1" ht="15" customHeight="1" x14ac:dyDescent="0.2">
      <c r="A99" s="47"/>
      <c r="G99" s="47"/>
      <c r="H99" s="47"/>
      <c r="I99" s="47"/>
      <c r="J99" s="47"/>
      <c r="K99" s="48"/>
    </row>
    <row r="100" spans="1:12" s="48" customFormat="1" ht="31.5" customHeight="1" x14ac:dyDescent="0.2">
      <c r="A100" s="47"/>
      <c r="B100" s="47"/>
      <c r="C100" s="47"/>
      <c r="D100" s="47"/>
      <c r="E100" s="47"/>
      <c r="F100" s="47"/>
      <c r="G100" s="47"/>
      <c r="H100" s="47"/>
      <c r="I100" s="47"/>
      <c r="J100" s="47"/>
    </row>
    <row r="101" spans="1:12" s="48" customFormat="1" ht="31.5" customHeight="1" x14ac:dyDescent="0.2"/>
    <row r="102" spans="1:12" s="48" customFormat="1" ht="31.5" customHeight="1" x14ac:dyDescent="0.2"/>
    <row r="103" spans="1:12" s="48" customFormat="1" ht="52.5" customHeight="1" x14ac:dyDescent="0.2"/>
    <row r="104" spans="1:12" s="48" customFormat="1" ht="31.5" customHeight="1" x14ac:dyDescent="0.2">
      <c r="K104" s="8"/>
    </row>
    <row r="105" spans="1:12" s="48" customFormat="1" ht="31.5" customHeight="1" x14ac:dyDescent="0.2">
      <c r="K105" s="8"/>
    </row>
    <row r="106" spans="1:12" ht="31.5" customHeight="1" x14ac:dyDescent="0.2">
      <c r="G106" s="76"/>
    </row>
    <row r="107" spans="1:12" ht="51" customHeight="1" x14ac:dyDescent="0.2"/>
    <row r="109" spans="1:12" ht="31.5" customHeight="1" x14ac:dyDescent="0.2">
      <c r="B109" s="29"/>
      <c r="C109" s="29"/>
      <c r="D109" s="29"/>
      <c r="E109" s="29"/>
      <c r="F109" s="29"/>
      <c r="G109" s="29"/>
      <c r="H109" s="29"/>
      <c r="I109" s="29"/>
      <c r="J109" s="29"/>
    </row>
    <row r="110" spans="1:12" ht="31.5" customHeight="1" x14ac:dyDescent="0.2">
      <c r="B110" s="29"/>
      <c r="C110" s="29"/>
      <c r="D110" s="29"/>
      <c r="E110" s="29"/>
      <c r="F110" s="29"/>
      <c r="G110" s="29"/>
      <c r="H110" s="29"/>
      <c r="I110" s="29"/>
      <c r="J110" s="29"/>
    </row>
    <row r="111" spans="1:12" ht="31.5" customHeight="1" x14ac:dyDescent="0.2">
      <c r="B111" s="29"/>
      <c r="C111" s="29"/>
      <c r="D111" s="29"/>
      <c r="E111" s="29"/>
      <c r="F111" s="29"/>
      <c r="G111" s="29"/>
      <c r="H111" s="29"/>
      <c r="I111" s="29"/>
      <c r="J111" s="29"/>
    </row>
    <row r="112" spans="1:12" ht="31.5" customHeight="1" x14ac:dyDescent="0.2">
      <c r="B112" s="29"/>
      <c r="C112" s="29"/>
      <c r="D112" s="29"/>
      <c r="E112" s="29"/>
      <c r="F112" s="29"/>
      <c r="G112" s="29"/>
      <c r="H112" s="29"/>
      <c r="I112" s="29"/>
      <c r="J112" s="29"/>
    </row>
    <row r="113" spans="2:10" ht="31.5" customHeight="1" x14ac:dyDescent="0.2">
      <c r="B113" s="29"/>
      <c r="C113" s="29"/>
      <c r="D113" s="29"/>
      <c r="E113" s="29"/>
      <c r="F113" s="29"/>
      <c r="G113" s="29"/>
      <c r="H113" s="29"/>
      <c r="I113" s="29"/>
      <c r="J113" s="29"/>
    </row>
    <row r="114" spans="2:10" ht="31.5" customHeight="1" x14ac:dyDescent="0.2">
      <c r="B114" s="29"/>
      <c r="C114" s="29"/>
      <c r="D114" s="29"/>
      <c r="E114" s="29"/>
      <c r="F114" s="29"/>
      <c r="G114" s="29"/>
      <c r="H114" s="29"/>
      <c r="I114" s="29"/>
      <c r="J114" s="29"/>
    </row>
    <row r="115" spans="2:10" ht="31.5" customHeight="1" x14ac:dyDescent="0.2">
      <c r="B115" s="29"/>
      <c r="C115" s="29"/>
      <c r="D115" s="29"/>
      <c r="E115" s="29"/>
      <c r="F115" s="29"/>
      <c r="G115" s="29"/>
      <c r="H115" s="29"/>
      <c r="I115" s="29"/>
      <c r="J115" s="29"/>
    </row>
  </sheetData>
  <sheetProtection password="CF5C" sheet="1" objects="1" scenarios="1"/>
  <mergeCells count="62">
    <mergeCell ref="D70:E70"/>
    <mergeCell ref="D71:E71"/>
    <mergeCell ref="B72:K72"/>
    <mergeCell ref="B73:E73"/>
    <mergeCell ref="H73:K73"/>
    <mergeCell ref="F74:G74"/>
    <mergeCell ref="H74:H76"/>
    <mergeCell ref="I74:K74"/>
    <mergeCell ref="J75:K75"/>
    <mergeCell ref="J76:K76"/>
    <mergeCell ref="A56:J56"/>
    <mergeCell ref="A58:B58"/>
    <mergeCell ref="C58:D58"/>
    <mergeCell ref="E58:F58"/>
    <mergeCell ref="H60:M60"/>
    <mergeCell ref="A50:B50"/>
    <mergeCell ref="G50:H50"/>
    <mergeCell ref="A52:J52"/>
    <mergeCell ref="D53:E53"/>
    <mergeCell ref="H53:I53"/>
    <mergeCell ref="A49:B49"/>
    <mergeCell ref="G49:H49"/>
    <mergeCell ref="A28:A31"/>
    <mergeCell ref="C33:D33"/>
    <mergeCell ref="F33:G33"/>
    <mergeCell ref="A36:J36"/>
    <mergeCell ref="B38:F38"/>
    <mergeCell ref="H38:J38"/>
    <mergeCell ref="H39:J42"/>
    <mergeCell ref="A46:J46"/>
    <mergeCell ref="A47:B48"/>
    <mergeCell ref="C47:E47"/>
    <mergeCell ref="G48:H48"/>
    <mergeCell ref="A27:B27"/>
    <mergeCell ref="G27:H27"/>
    <mergeCell ref="A14:B14"/>
    <mergeCell ref="A15:B15"/>
    <mergeCell ref="A16:B16"/>
    <mergeCell ref="C16:D16"/>
    <mergeCell ref="A18:J18"/>
    <mergeCell ref="F19:G19"/>
    <mergeCell ref="J19:J20"/>
    <mergeCell ref="A20:B20"/>
    <mergeCell ref="E20:F20"/>
    <mergeCell ref="A22:J22"/>
    <mergeCell ref="C24:D24"/>
    <mergeCell ref="F24:G24"/>
    <mergeCell ref="C26:F26"/>
    <mergeCell ref="G26:H26"/>
    <mergeCell ref="A13:B13"/>
    <mergeCell ref="F13:I13"/>
    <mergeCell ref="A1:B1"/>
    <mergeCell ref="C1:M1"/>
    <mergeCell ref="I3:J4"/>
    <mergeCell ref="A6:D6"/>
    <mergeCell ref="F6:I6"/>
    <mergeCell ref="F9:G9"/>
    <mergeCell ref="A10:B10"/>
    <mergeCell ref="F10:G10"/>
    <mergeCell ref="A11:B11"/>
    <mergeCell ref="F11:G11"/>
    <mergeCell ref="A12:B12"/>
  </mergeCells>
  <printOptions horizontalCentered="1"/>
  <pageMargins left="0.70866141732283472" right="0.70866141732283472" top="0.74803149606299213" bottom="0.74803149606299213" header="0.31496062992125984" footer="0.31496062992125984"/>
  <pageSetup scale="13" orientation="portrait" r:id="rId1"/>
  <headerFooter>
    <oddHeader xml:space="preserve">&amp;C
&amp;16   
</oddHeader>
    <oddFooter xml:space="preserve">&amp;RRT03-F13 Vr.14 (2021-05-21)
</oddFooter>
  </headerFooter>
  <rowBreaks count="1" manualBreakCount="1">
    <brk id="34" max="12" man="1"/>
  </rowBreaks>
  <drawing r:id="rId2"/>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1B00-000000000000}">
          <x14:formula1>
            <xm:f>'DATOS %'!$J$174:$J$179</xm:f>
          </x14:formula1>
          <xm:sqref>J19:J20</xm:sqref>
        </x14:dataValidation>
        <x14:dataValidation type="list" allowBlank="1" showInputMessage="1" showErrorMessage="1" xr:uid="{00000000-0002-0000-1B00-000001000000}">
          <x14:formula1>
            <xm:f>'DATOS %'!$N$121:$N$166</xm:f>
          </x14:formula1>
          <xm:sqref>F48</xm:sqref>
        </x14:dataValidation>
        <x14:dataValidation type="list" allowBlank="1" showInputMessage="1" showErrorMessage="1" xr:uid="{00000000-0002-0000-1B00-000002000000}">
          <x14:formula1>
            <xm:f>'DATOS %'!$N$29:$N$113</xm:f>
          </x14:formula1>
          <xm:sqref>E6</xm:sqref>
        </x14:dataValidation>
        <x14:dataValidation type="list" allowBlank="1" showInputMessage="1" showErrorMessage="1" xr:uid="{00000000-0002-0000-1B00-000003000000}">
          <x14:formula1>
            <xm:f>'DATOS %'!$V$120:$V$126</xm:f>
          </x14:formula1>
          <xm:sqref>J13</xm:sqref>
        </x14:dataValidation>
        <x14:dataValidation type="list" allowBlank="1" showInputMessage="1" showErrorMessage="1" xr:uid="{00000000-0002-0000-1B00-000004000000}">
          <x14:formula1>
            <xm:f>'DATOS %'!$V$161:$V$165</xm:f>
          </x14:formula1>
          <xm:sqref>H25</xm:sqref>
        </x14:dataValidation>
        <x14:dataValidation type="list" allowBlank="1" showInputMessage="1" showErrorMessage="1" xr:uid="{00000000-0002-0000-1B00-000005000000}">
          <x14:formula1>
            <xm:f>'DATOS %'!$B$7:$B$40</xm:f>
          </x14:formula1>
          <xm:sqref>I3:J4</xm:sqref>
        </x14:dataValidation>
      </x14:dataValidation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A1:U115"/>
  <sheetViews>
    <sheetView showGridLines="0" view="pageBreakPreview" topLeftCell="A22" zoomScale="80" zoomScaleNormal="60" zoomScaleSheetLayoutView="80" workbookViewId="0">
      <selection activeCell="C65" sqref="C65"/>
    </sheetView>
  </sheetViews>
  <sheetFormatPr baseColWidth="10" defaultColWidth="11.42578125" defaultRowHeight="31.5" customHeight="1" x14ac:dyDescent="0.2"/>
  <cols>
    <col min="1" max="1" width="14.7109375" style="37" customWidth="1"/>
    <col min="2" max="2" width="12" style="37" customWidth="1"/>
    <col min="3" max="3" width="15.7109375" style="37" customWidth="1"/>
    <col min="4" max="4" width="17" style="37" customWidth="1"/>
    <col min="5" max="5" width="15.5703125" style="37" customWidth="1"/>
    <col min="6" max="6" width="18.5703125" style="37" customWidth="1"/>
    <col min="7" max="7" width="15.7109375" style="37" customWidth="1"/>
    <col min="8" max="8" width="24.42578125" style="37" bestFit="1" customWidth="1"/>
    <col min="9" max="9" width="13.85546875" style="37" bestFit="1" customWidth="1"/>
    <col min="10" max="10" width="13.7109375" style="37" customWidth="1"/>
    <col min="11" max="19" width="11.42578125" style="8"/>
    <col min="20" max="20" width="15.85546875" style="8" bestFit="1" customWidth="1"/>
    <col min="21" max="21" width="14.42578125" style="8" bestFit="1" customWidth="1"/>
    <col min="22" max="16384" width="11.42578125" style="8"/>
  </cols>
  <sheetData>
    <row r="1" spans="1:16" ht="60" customHeight="1" thickBot="1" x14ac:dyDescent="0.25">
      <c r="A1" s="1257"/>
      <c r="B1" s="1258"/>
      <c r="C1" s="1259" t="s">
        <v>57</v>
      </c>
      <c r="D1" s="1260"/>
      <c r="E1" s="1260"/>
      <c r="F1" s="1260"/>
      <c r="G1" s="1260"/>
      <c r="H1" s="1260"/>
      <c r="I1" s="1260"/>
      <c r="J1" s="1260"/>
      <c r="K1" s="1260"/>
      <c r="L1" s="1260"/>
      <c r="M1" s="1261"/>
      <c r="N1" s="7"/>
      <c r="O1" s="7"/>
      <c r="P1" s="7"/>
    </row>
    <row r="2" spans="1:16" s="11" customFormat="1" ht="9.75" customHeight="1" thickBot="1" x14ac:dyDescent="0.25">
      <c r="A2" s="9"/>
      <c r="B2" s="9"/>
      <c r="C2" s="10"/>
      <c r="D2" s="10"/>
      <c r="E2" s="10"/>
      <c r="F2" s="10"/>
      <c r="G2" s="10"/>
      <c r="H2" s="10"/>
      <c r="K2" s="12"/>
      <c r="M2" s="7"/>
    </row>
    <row r="3" spans="1:16" s="12" customFormat="1" ht="35.25" customHeight="1" thickBot="1" x14ac:dyDescent="0.25">
      <c r="A3" s="13" t="s">
        <v>17</v>
      </c>
      <c r="B3" s="14" t="s">
        <v>55</v>
      </c>
      <c r="C3" s="15" t="s">
        <v>209</v>
      </c>
      <c r="D3" s="15" t="s">
        <v>56</v>
      </c>
      <c r="E3" s="15" t="s">
        <v>8</v>
      </c>
      <c r="F3" s="16" t="s">
        <v>18</v>
      </c>
      <c r="G3" s="16" t="s">
        <v>297</v>
      </c>
      <c r="H3" s="17" t="s">
        <v>24</v>
      </c>
      <c r="I3" s="1262"/>
      <c r="J3" s="1263"/>
      <c r="K3" s="11"/>
      <c r="M3" s="7"/>
    </row>
    <row r="4" spans="1:16" s="11" customFormat="1" ht="32.25" customHeight="1" thickBot="1" x14ac:dyDescent="0.25">
      <c r="A4" s="18" t="e">
        <f>VLOOKUP($I$3,'DATOS %'!B7:J40,2,FALSE)</f>
        <v>#N/A</v>
      </c>
      <c r="B4" s="212" t="e">
        <f>VLOOKUP($I$3,'DATOS %'!$B$7:$J$40,3,FALSE)</f>
        <v>#N/A</v>
      </c>
      <c r="C4" s="19" t="e">
        <f>VLOOKUP($I$3,'DATOS %'!$B$7:$J$40,8,FALSE)</f>
        <v>#N/A</v>
      </c>
      <c r="D4" s="19" t="e">
        <f>VLOOKUP($I$3,'DATOS %'!$B$7:$J$40,6,FALSE)</f>
        <v>#N/A</v>
      </c>
      <c r="E4" s="212" t="e">
        <f>VLOOKUP($I$3,'DATOS %'!$B$7:$J$40,7,FALSE)</f>
        <v>#N/A</v>
      </c>
      <c r="F4" s="18" t="e">
        <f>VLOOKUP($I$3,'DATOS %'!$B$7:$J$40,4,FALSE)</f>
        <v>#N/A</v>
      </c>
      <c r="G4" s="18" t="e">
        <f>VLOOKUP($I$3,'DATOS %'!$B$7:$J$40,5,FALSE)</f>
        <v>#N/A</v>
      </c>
      <c r="H4" s="19" t="e">
        <f>VLOOKUP($I$3,'DATOS %'!$B$7:$J$40,9,FALSE)</f>
        <v>#N/A</v>
      </c>
      <c r="I4" s="1264"/>
      <c r="J4" s="1265"/>
      <c r="K4" s="8"/>
      <c r="L4" s="20"/>
      <c r="M4" s="20"/>
    </row>
    <row r="5" spans="1:16" s="22" customFormat="1" ht="6.75" customHeight="1" thickBot="1" x14ac:dyDescent="0.25">
      <c r="A5" s="21"/>
      <c r="B5" s="21"/>
      <c r="C5" s="21"/>
      <c r="F5" s="21"/>
      <c r="G5" s="21"/>
      <c r="H5" s="21"/>
      <c r="K5" s="8"/>
    </row>
    <row r="6" spans="1:16" ht="31.5" customHeight="1" thickBot="1" x14ac:dyDescent="0.25">
      <c r="A6" s="1266" t="s">
        <v>19</v>
      </c>
      <c r="B6" s="1267"/>
      <c r="C6" s="1267"/>
      <c r="D6" s="1268"/>
      <c r="E6" s="4"/>
      <c r="F6" s="1266" t="s">
        <v>20</v>
      </c>
      <c r="G6" s="1267"/>
      <c r="H6" s="1267"/>
      <c r="I6" s="1268"/>
      <c r="J6" s="402">
        <f>I3</f>
        <v>0</v>
      </c>
    </row>
    <row r="7" spans="1:16" ht="31.5" customHeight="1" x14ac:dyDescent="0.2">
      <c r="A7" s="23" t="s">
        <v>21</v>
      </c>
      <c r="B7" s="24" t="e">
        <f>VLOOKUP($E$6,'DATOS %'!N11:AA113,2,FALSE)</f>
        <v>#N/A</v>
      </c>
      <c r="C7" s="25" t="s">
        <v>10</v>
      </c>
      <c r="D7" s="26" t="e">
        <f>VLOOKUP($E$6,'DATOS %'!N11:AA113,3,FALSE)</f>
        <v>#N/A</v>
      </c>
      <c r="E7" s="27"/>
      <c r="F7" s="23" t="s">
        <v>21</v>
      </c>
      <c r="G7" s="24" t="e">
        <f>VLOOKUP($J$6,'DATOS %'!B47:I79,2,FALSE)</f>
        <v>#N/A</v>
      </c>
      <c r="H7" s="28" t="s">
        <v>10</v>
      </c>
      <c r="I7" s="26" t="e">
        <f>VLOOKUP($J$6,'DATOS %'!B47:I79,3,FALSE)</f>
        <v>#N/A</v>
      </c>
      <c r="J7" s="29"/>
    </row>
    <row r="8" spans="1:16" ht="31.5" customHeight="1" x14ac:dyDescent="0.2">
      <c r="A8" s="30" t="s">
        <v>22</v>
      </c>
      <c r="B8" s="31" t="e">
        <f>VLOOKUP($E$6,'DATOS %'!N11:AA113,4,FALSE)</f>
        <v>#N/A</v>
      </c>
      <c r="C8" s="32" t="s">
        <v>23</v>
      </c>
      <c r="D8" s="33" t="e">
        <f>VLOOKUP($E$6,'DATOS %'!N11:AA113,5,FALSE)</f>
        <v>#N/A</v>
      </c>
      <c r="E8" s="27"/>
      <c r="F8" s="30" t="s">
        <v>22</v>
      </c>
      <c r="G8" s="31" t="e">
        <f>VLOOKUP($J$6,'DATOS %'!B47:I79,4,FALSE)</f>
        <v>#N/A</v>
      </c>
      <c r="H8" s="32" t="s">
        <v>23</v>
      </c>
      <c r="I8" s="297" t="e">
        <f>VLOOKUP($J$6,'DATOS %'!B47:I79,5,FALSE)</f>
        <v>#N/A</v>
      </c>
      <c r="J8" s="29"/>
    </row>
    <row r="9" spans="1:16" ht="31.5" customHeight="1" x14ac:dyDescent="0.2">
      <c r="A9" s="34" t="s">
        <v>24</v>
      </c>
      <c r="B9" s="31" t="e">
        <f>VLOOKUP($E$6,'DATOS %'!N11:AA113,6,FALSE)</f>
        <v>#N/A</v>
      </c>
      <c r="C9" s="35" t="s">
        <v>15</v>
      </c>
      <c r="D9" s="36" t="e">
        <f>VLOOKUP($E$6,'DATOS %'!N11:AA113,7,FALSE)</f>
        <v>#N/A</v>
      </c>
      <c r="F9" s="1252" t="s">
        <v>62</v>
      </c>
      <c r="G9" s="1253"/>
      <c r="H9" s="31" t="e">
        <f>VLOOKUP($J$6,'DATOS %'!B47:I79,6,FALSE)</f>
        <v>#N/A</v>
      </c>
      <c r="I9" s="33" t="s">
        <v>1</v>
      </c>
      <c r="J9" s="29"/>
      <c r="K9" s="208"/>
    </row>
    <row r="10" spans="1:16" s="38" customFormat="1" ht="31.5" customHeight="1" x14ac:dyDescent="0.25">
      <c r="A10" s="1252" t="s">
        <v>63</v>
      </c>
      <c r="B10" s="1253"/>
      <c r="C10" s="223" t="e">
        <f>VLOOKUP($E$6,'DATOS %'!N11:AA113,8,FALSE)</f>
        <v>#N/A</v>
      </c>
      <c r="D10" s="33" t="s">
        <v>1</v>
      </c>
      <c r="F10" s="1252" t="s">
        <v>64</v>
      </c>
      <c r="G10" s="1253"/>
      <c r="H10" s="213" t="e">
        <f>VLOOKUP($J$6,'DATOS %'!B47:I79,7,FALSE)</f>
        <v>#N/A</v>
      </c>
      <c r="I10" s="33" t="s">
        <v>76</v>
      </c>
      <c r="J10" s="39"/>
    </row>
    <row r="11" spans="1:16" s="38" customFormat="1" ht="31.5" customHeight="1" thickBot="1" x14ac:dyDescent="0.3">
      <c r="A11" s="1252" t="s">
        <v>65</v>
      </c>
      <c r="B11" s="1253"/>
      <c r="C11" s="31" t="e">
        <f>VLOOKUP($E$6,'DATOS %'!N11:AA113,9,FALSE)</f>
        <v>#N/A</v>
      </c>
      <c r="D11" s="33" t="s">
        <v>3</v>
      </c>
      <c r="E11" s="40"/>
      <c r="F11" s="1271" t="s">
        <v>66</v>
      </c>
      <c r="G11" s="1272"/>
      <c r="H11" s="41" t="e">
        <f>VLOOKUP($J$6,'DATOS %'!B47:I79,8,FALSE)</f>
        <v>#N/A</v>
      </c>
      <c r="I11" s="45" t="s">
        <v>76</v>
      </c>
      <c r="J11" s="39"/>
    </row>
    <row r="12" spans="1:16" s="38" customFormat="1" ht="31.5" customHeight="1" thickBot="1" x14ac:dyDescent="0.3">
      <c r="A12" s="1252" t="s">
        <v>67</v>
      </c>
      <c r="B12" s="1253"/>
      <c r="C12" s="31" t="e">
        <f>VLOOKUP($E$6,'DATOS %'!N11:AA113,10,FALSE)</f>
        <v>#N/A</v>
      </c>
      <c r="D12" s="33" t="s">
        <v>3</v>
      </c>
      <c r="E12" s="39"/>
      <c r="F12" s="39"/>
      <c r="G12" s="39"/>
      <c r="H12" s="39"/>
    </row>
    <row r="13" spans="1:16" s="38" customFormat="1" ht="31.5" customHeight="1" thickBot="1" x14ac:dyDescent="0.3">
      <c r="A13" s="1252" t="s">
        <v>68</v>
      </c>
      <c r="B13" s="1253"/>
      <c r="C13" s="213" t="e">
        <f>VLOOKUP($E$6,'DATOS %'!N11:AA113,11,FALSE)</f>
        <v>#N/A</v>
      </c>
      <c r="D13" s="33" t="s">
        <v>76</v>
      </c>
      <c r="E13" s="39"/>
      <c r="F13" s="1254" t="s">
        <v>559</v>
      </c>
      <c r="G13" s="1255"/>
      <c r="H13" s="1255"/>
      <c r="I13" s="1256"/>
      <c r="J13" s="5"/>
    </row>
    <row r="14" spans="1:16" s="38" customFormat="1" ht="31.5" customHeight="1" x14ac:dyDescent="0.2">
      <c r="A14" s="1252" t="s">
        <v>305</v>
      </c>
      <c r="B14" s="1253"/>
      <c r="C14" s="31" t="e">
        <f>VLOOKUP($E$6,'DATOS %'!N11:AA113,12,FALSE)</f>
        <v>#N/A</v>
      </c>
      <c r="D14" s="33" t="s">
        <v>76</v>
      </c>
      <c r="E14" s="39"/>
      <c r="F14" s="23" t="s">
        <v>10</v>
      </c>
      <c r="G14" s="24" t="e">
        <f>VLOOKUP($J$13,'DATOS %'!$V$119:$Y$126,2,FALSE)</f>
        <v>#N/A</v>
      </c>
      <c r="H14" s="28" t="s">
        <v>22</v>
      </c>
      <c r="I14" s="24" t="e">
        <f>VLOOKUP($J$13,'DATOS %'!$V$119:$Z$126,3,FALSE)</f>
        <v>#N/A</v>
      </c>
      <c r="J14" s="42"/>
      <c r="K14" s="8"/>
    </row>
    <row r="15" spans="1:16" ht="31.5" customHeight="1" thickBot="1" x14ac:dyDescent="0.25">
      <c r="A15" s="1277" t="s">
        <v>69</v>
      </c>
      <c r="B15" s="1278"/>
      <c r="C15" s="31" t="e">
        <f>VLOOKUP($E$6,'DATOS %'!N11:AA113,13,FALSE)</f>
        <v>#N/A</v>
      </c>
      <c r="D15" s="33" t="s">
        <v>76</v>
      </c>
      <c r="E15" s="29"/>
      <c r="F15" s="43" t="s">
        <v>61</v>
      </c>
      <c r="G15" s="41" t="e">
        <f>VLOOKUP($J$13,'DATOS %'!$V$119:$Y$126,4,FALSE)</f>
        <v>#N/A</v>
      </c>
      <c r="H15" s="41" t="s">
        <v>1</v>
      </c>
      <c r="I15" s="238" t="s">
        <v>210</v>
      </c>
      <c r="J15" s="45" t="e">
        <f>VLOOKUP($J$13,'DATOS %'!$V$119:$Z$126,5,FALSE)</f>
        <v>#N/A</v>
      </c>
      <c r="K15" s="22"/>
    </row>
    <row r="16" spans="1:16" ht="30.95" customHeight="1" thickBot="1" x14ac:dyDescent="0.25">
      <c r="A16" s="1279" t="s">
        <v>210</v>
      </c>
      <c r="B16" s="1280"/>
      <c r="C16" s="1281" t="e">
        <f>VLOOKUP($E$6,'DATOS %'!N11:AA113,14,FALSE)</f>
        <v>#N/A</v>
      </c>
      <c r="D16" s="1282"/>
      <c r="E16" s="29"/>
      <c r="F16" s="8"/>
      <c r="G16" s="8"/>
      <c r="H16" s="8"/>
      <c r="I16" s="8"/>
      <c r="J16" s="8"/>
    </row>
    <row r="17" spans="1:11" s="22" customFormat="1" ht="30.95" customHeight="1" thickBot="1" x14ac:dyDescent="0.25">
      <c r="A17" s="29"/>
      <c r="B17" s="29"/>
      <c r="C17" s="29"/>
      <c r="D17" s="29"/>
      <c r="E17" s="29"/>
      <c r="F17" s="29"/>
      <c r="G17" s="29"/>
      <c r="H17" s="29"/>
      <c r="I17" s="29"/>
      <c r="J17" s="29"/>
      <c r="K17" s="8"/>
    </row>
    <row r="18" spans="1:11" ht="31.5" customHeight="1" thickBot="1" x14ac:dyDescent="0.25">
      <c r="A18" s="1331" t="s">
        <v>26</v>
      </c>
      <c r="B18" s="1332"/>
      <c r="C18" s="1332"/>
      <c r="D18" s="1332"/>
      <c r="E18" s="1332"/>
      <c r="F18" s="1332"/>
      <c r="G18" s="1332"/>
      <c r="H18" s="1332"/>
      <c r="I18" s="1332"/>
      <c r="J18" s="1333"/>
    </row>
    <row r="19" spans="1:11" ht="46.5" customHeight="1" thickBot="1" x14ac:dyDescent="0.25">
      <c r="A19" s="407" t="s">
        <v>10</v>
      </c>
      <c r="B19" s="101" t="e">
        <f>VLOOKUP(J19,'DATOS %'!J174:W180,2,FALSE)</f>
        <v>#N/A</v>
      </c>
      <c r="C19" s="95" t="s">
        <v>7</v>
      </c>
      <c r="D19" s="408" t="e">
        <f>VLOOKUP(J19,'DATOS %'!J174:W180,3,FALSE)</f>
        <v>#N/A</v>
      </c>
      <c r="E19" s="409" t="s">
        <v>24</v>
      </c>
      <c r="F19" s="1286" t="e">
        <f>VLOOKUP(J19,'DATOS %'!J174:W180,5,FALSE)</f>
        <v>#N/A</v>
      </c>
      <c r="G19" s="1287"/>
      <c r="H19" s="95" t="s">
        <v>25</v>
      </c>
      <c r="I19" s="212" t="e">
        <f>VLOOKUP(J19,'DATOS %'!J174:W180,4,FALSE)</f>
        <v>#N/A</v>
      </c>
      <c r="J19" s="1374"/>
    </row>
    <row r="20" spans="1:11" ht="31.5" customHeight="1" thickBot="1" x14ac:dyDescent="0.25">
      <c r="A20" s="1290" t="s">
        <v>316</v>
      </c>
      <c r="B20" s="1291"/>
      <c r="C20" s="94" t="s">
        <v>27</v>
      </c>
      <c r="D20" s="101" t="e">
        <f>VLOOKUP(J19,'DATOS %'!J174:W180,6,FALSE)</f>
        <v>#N/A</v>
      </c>
      <c r="E20" s="1292" t="s">
        <v>307</v>
      </c>
      <c r="F20" s="1293"/>
      <c r="G20" s="101" t="e">
        <f>VLOOKUP(J19,'DATOS %'!J174:W180,7,FALSE)</f>
        <v>#N/A</v>
      </c>
      <c r="H20" s="95" t="s">
        <v>9</v>
      </c>
      <c r="I20" s="214" t="e">
        <f>VLOOKUP(J19,'DATOS %'!J174:W180,8,FALSE)</f>
        <v>#N/A</v>
      </c>
      <c r="J20" s="1289"/>
    </row>
    <row r="21" spans="1:11" s="46" customFormat="1" ht="15" customHeight="1" thickBot="1" x14ac:dyDescent="0.25">
      <c r="A21" s="47"/>
      <c r="B21" s="47"/>
      <c r="C21" s="47"/>
      <c r="D21" s="47"/>
      <c r="E21" s="47"/>
      <c r="F21" s="47" t="s">
        <v>282</v>
      </c>
      <c r="G21" s="47"/>
      <c r="H21" s="47"/>
      <c r="I21" s="47"/>
      <c r="J21" s="47"/>
      <c r="K21" s="8"/>
    </row>
    <row r="22" spans="1:11" s="48" customFormat="1" ht="31.5" customHeight="1" thickBot="1" x14ac:dyDescent="0.25">
      <c r="A22" s="1294" t="s">
        <v>28</v>
      </c>
      <c r="B22" s="1295"/>
      <c r="C22" s="1295"/>
      <c r="D22" s="1295"/>
      <c r="E22" s="1295"/>
      <c r="F22" s="1295"/>
      <c r="G22" s="1295"/>
      <c r="H22" s="1295"/>
      <c r="I22" s="1295"/>
      <c r="J22" s="1296"/>
      <c r="K22" s="47"/>
    </row>
    <row r="23" spans="1:11" s="47" customFormat="1" ht="2.25" customHeight="1" thickBot="1" x14ac:dyDescent="0.25">
      <c r="A23" s="49"/>
      <c r="B23" s="50"/>
      <c r="C23" s="50"/>
      <c r="D23" s="50"/>
      <c r="E23" s="50"/>
      <c r="F23" s="50"/>
      <c r="G23" s="50"/>
      <c r="H23" s="50"/>
      <c r="I23" s="50"/>
      <c r="J23" s="51"/>
      <c r="K23" s="48"/>
    </row>
    <row r="24" spans="1:11" s="48" customFormat="1" ht="31.5" customHeight="1" thickBot="1" x14ac:dyDescent="0.25">
      <c r="A24" s="52" t="s">
        <v>29</v>
      </c>
      <c r="B24" s="916"/>
      <c r="C24" s="1297" t="s">
        <v>27</v>
      </c>
      <c r="D24" s="1298"/>
      <c r="E24" s="1"/>
      <c r="F24" s="1684" t="s">
        <v>307</v>
      </c>
      <c r="G24" s="1685"/>
      <c r="H24" s="2"/>
      <c r="I24" s="972" t="s">
        <v>9</v>
      </c>
      <c r="J24" s="215"/>
      <c r="K24" s="46"/>
    </row>
    <row r="25" spans="1:11" s="46" customFormat="1" ht="15" customHeight="1" thickBot="1" x14ac:dyDescent="0.25">
      <c r="A25" s="47"/>
      <c r="B25" s="47"/>
      <c r="C25" s="47"/>
      <c r="D25" s="47"/>
      <c r="E25" s="47"/>
      <c r="F25" s="47"/>
      <c r="G25" s="47"/>
      <c r="H25" s="6"/>
      <c r="I25" s="47"/>
      <c r="K25" s="48"/>
    </row>
    <row r="26" spans="1:11" s="48" customFormat="1" ht="29.25" customHeight="1" thickBot="1" x14ac:dyDescent="0.25">
      <c r="A26" s="115" t="s">
        <v>129</v>
      </c>
      <c r="B26" s="105">
        <v>4</v>
      </c>
      <c r="C26" s="1301" t="s">
        <v>30</v>
      </c>
      <c r="D26" s="1302"/>
      <c r="E26" s="1302"/>
      <c r="F26" s="1303"/>
      <c r="G26" s="1304" t="s">
        <v>211</v>
      </c>
      <c r="H26" s="1305"/>
    </row>
    <row r="27" spans="1:11" s="48" customFormat="1" ht="31.5" customHeight="1" thickBot="1" x14ac:dyDescent="0.25">
      <c r="A27" s="1273" t="s">
        <v>31</v>
      </c>
      <c r="B27" s="1274"/>
      <c r="C27" s="237">
        <v>1</v>
      </c>
      <c r="D27" s="237">
        <v>2</v>
      </c>
      <c r="E27" s="237">
        <v>3</v>
      </c>
      <c r="F27" s="129">
        <v>4</v>
      </c>
      <c r="G27" s="1383" t="e">
        <f>VLOOKUP($H$25,'DATOS %'!$V$161:$AA$165,2,FALSE)</f>
        <v>#N/A</v>
      </c>
      <c r="H27" s="1384"/>
    </row>
    <row r="28" spans="1:11" s="48" customFormat="1" ht="31.5" customHeight="1" x14ac:dyDescent="0.2">
      <c r="A28" s="1310" t="s">
        <v>32</v>
      </c>
      <c r="B28" s="141" t="s">
        <v>0</v>
      </c>
      <c r="C28" s="244"/>
      <c r="D28" s="244"/>
      <c r="E28" s="244"/>
      <c r="F28" s="245"/>
      <c r="G28" s="47"/>
      <c r="H28" s="47"/>
      <c r="I28" s="47"/>
      <c r="J28" s="47"/>
    </row>
    <row r="29" spans="1:11" s="48" customFormat="1" ht="31.5" customHeight="1" x14ac:dyDescent="0.2">
      <c r="A29" s="1311"/>
      <c r="B29" s="104" t="s">
        <v>2</v>
      </c>
      <c r="C29" s="246"/>
      <c r="D29" s="246"/>
      <c r="E29" s="246"/>
      <c r="F29" s="247"/>
      <c r="G29" s="47"/>
      <c r="H29" s="47"/>
      <c r="I29" s="47"/>
      <c r="J29" s="47"/>
    </row>
    <row r="30" spans="1:11" s="48" customFormat="1" ht="31.5" customHeight="1" x14ac:dyDescent="0.2">
      <c r="A30" s="1311"/>
      <c r="B30" s="104" t="s">
        <v>2</v>
      </c>
      <c r="C30" s="246"/>
      <c r="D30" s="246"/>
      <c r="E30" s="246"/>
      <c r="F30" s="247"/>
      <c r="G30" s="47"/>
      <c r="H30" s="47"/>
      <c r="I30" s="47"/>
      <c r="J30" s="47"/>
    </row>
    <row r="31" spans="1:11" s="48" customFormat="1" ht="31.5" customHeight="1" thickBot="1" x14ac:dyDescent="0.25">
      <c r="A31" s="1312"/>
      <c r="B31" s="53" t="s">
        <v>0</v>
      </c>
      <c r="C31" s="248"/>
      <c r="D31" s="248"/>
      <c r="E31" s="248"/>
      <c r="F31" s="249"/>
      <c r="G31" s="47"/>
      <c r="H31" s="47"/>
      <c r="I31" s="47"/>
      <c r="J31" s="47"/>
      <c r="K31" s="46"/>
    </row>
    <row r="32" spans="1:11" s="46" customFormat="1" ht="15" customHeight="1" thickBot="1" x14ac:dyDescent="0.25">
      <c r="A32" s="47"/>
      <c r="B32" s="47"/>
      <c r="C32" s="47"/>
      <c r="D32" s="47"/>
      <c r="E32" s="47"/>
      <c r="F32" s="47"/>
      <c r="G32" s="47"/>
      <c r="H32" s="47"/>
      <c r="I32" s="47"/>
      <c r="J32" s="47"/>
      <c r="K32" s="48"/>
    </row>
    <row r="33" spans="1:11" s="48" customFormat="1" ht="31.5" customHeight="1" thickBot="1" x14ac:dyDescent="0.25">
      <c r="A33" s="54" t="s">
        <v>33</v>
      </c>
      <c r="B33" s="916"/>
      <c r="C33" s="1297" t="s">
        <v>27</v>
      </c>
      <c r="D33" s="1298"/>
      <c r="E33" s="1"/>
      <c r="F33" s="1684" t="s">
        <v>307</v>
      </c>
      <c r="G33" s="1685"/>
      <c r="H33" s="2"/>
      <c r="I33" s="973" t="s">
        <v>9</v>
      </c>
      <c r="J33" s="3"/>
      <c r="K33" s="46"/>
    </row>
    <row r="34" spans="1:11" s="46" customFormat="1" ht="12" customHeight="1" x14ac:dyDescent="0.2">
      <c r="A34" s="55"/>
      <c r="B34" s="55"/>
      <c r="C34" s="55"/>
      <c r="D34" s="55"/>
      <c r="E34" s="55"/>
      <c r="F34" s="55"/>
      <c r="G34" s="55"/>
      <c r="H34" s="55"/>
      <c r="I34" s="55"/>
      <c r="J34" s="55"/>
      <c r="K34" s="48"/>
    </row>
    <row r="35" spans="1:11" s="48" customFormat="1" ht="15" customHeight="1" thickBot="1" x14ac:dyDescent="0.25">
      <c r="A35" s="56"/>
      <c r="B35" s="56"/>
      <c r="C35" s="56"/>
      <c r="D35" s="56"/>
      <c r="E35" s="56"/>
      <c r="F35" s="56"/>
      <c r="G35" s="56"/>
      <c r="H35" s="56"/>
      <c r="I35" s="56"/>
      <c r="J35" s="56"/>
    </row>
    <row r="36" spans="1:11" s="48" customFormat="1" ht="32.25" customHeight="1" thickBot="1" x14ac:dyDescent="0.25">
      <c r="A36" s="1294" t="s">
        <v>34</v>
      </c>
      <c r="B36" s="1295"/>
      <c r="C36" s="1295"/>
      <c r="D36" s="1295"/>
      <c r="E36" s="1295"/>
      <c r="F36" s="1295"/>
      <c r="G36" s="1295"/>
      <c r="H36" s="1295"/>
      <c r="I36" s="1295"/>
      <c r="J36" s="1296"/>
    </row>
    <row r="37" spans="1:11" s="48" customFormat="1" ht="3.75" customHeight="1" thickBot="1" x14ac:dyDescent="0.25">
      <c r="A37" s="55"/>
      <c r="B37" s="47"/>
      <c r="C37" s="47"/>
      <c r="D37" s="47"/>
      <c r="E37" s="47"/>
      <c r="F37" s="47"/>
      <c r="G37" s="47"/>
      <c r="H37" s="47"/>
      <c r="I37" s="47"/>
      <c r="J37" s="55"/>
    </row>
    <row r="38" spans="1:11" s="48" customFormat="1" ht="31.5" customHeight="1" thickBot="1" x14ac:dyDescent="0.25">
      <c r="A38" s="47"/>
      <c r="B38" s="1316" t="s">
        <v>35</v>
      </c>
      <c r="C38" s="1317"/>
      <c r="D38" s="1317"/>
      <c r="E38" s="1317"/>
      <c r="F38" s="1318"/>
      <c r="G38" s="47"/>
      <c r="H38" s="1319" t="s">
        <v>236</v>
      </c>
      <c r="I38" s="1320"/>
      <c r="J38" s="1321"/>
    </row>
    <row r="39" spans="1:11" s="48" customFormat="1" ht="31.5" customHeight="1" thickBot="1" x14ac:dyDescent="0.25">
      <c r="A39" s="47"/>
      <c r="B39" s="57" t="s">
        <v>31</v>
      </c>
      <c r="C39" s="203">
        <v>1</v>
      </c>
      <c r="D39" s="141">
        <v>2</v>
      </c>
      <c r="E39" s="141">
        <v>3</v>
      </c>
      <c r="F39" s="204">
        <v>4</v>
      </c>
      <c r="G39" s="47"/>
      <c r="H39" s="1322"/>
      <c r="I39" s="1323"/>
      <c r="J39" s="1324"/>
    </row>
    <row r="40" spans="1:11" s="48" customFormat="1" ht="31.5" customHeight="1" x14ac:dyDescent="0.2">
      <c r="A40" s="58"/>
      <c r="B40" s="59"/>
      <c r="C40" s="250" t="e">
        <f>+AVERAGE(C28,C31)</f>
        <v>#DIV/0!</v>
      </c>
      <c r="D40" s="251" t="e">
        <f>+AVERAGE(D28,D31)</f>
        <v>#DIV/0!</v>
      </c>
      <c r="E40" s="251" t="e">
        <f>+AVERAGE(E28,E31)</f>
        <v>#DIV/0!</v>
      </c>
      <c r="F40" s="252" t="e">
        <f>+AVERAGE(F28,F31)</f>
        <v>#DIV/0!</v>
      </c>
      <c r="G40" s="47"/>
      <c r="H40" s="1325"/>
      <c r="I40" s="1326"/>
      <c r="J40" s="1327"/>
    </row>
    <row r="41" spans="1:11" s="48" customFormat="1" ht="31.5" customHeight="1" x14ac:dyDescent="0.2">
      <c r="A41" s="58"/>
      <c r="B41" s="60"/>
      <c r="C41" s="253" t="e">
        <f>+AVERAGE(C29:C30)</f>
        <v>#DIV/0!</v>
      </c>
      <c r="D41" s="78" t="e">
        <f>+AVERAGE(D29:D30)</f>
        <v>#DIV/0!</v>
      </c>
      <c r="E41" s="78" t="e">
        <f>+AVERAGE(E29:E30)</f>
        <v>#DIV/0!</v>
      </c>
      <c r="F41" s="254" t="e">
        <f>+AVERAGE(F29:F30)</f>
        <v>#DIV/0!</v>
      </c>
      <c r="G41" s="47"/>
      <c r="H41" s="1325"/>
      <c r="I41" s="1326"/>
      <c r="J41" s="1327"/>
    </row>
    <row r="42" spans="1:11" s="48" customFormat="1" ht="31.5" customHeight="1" thickBot="1" x14ac:dyDescent="0.25">
      <c r="A42" s="58"/>
      <c r="B42" s="62"/>
      <c r="C42" s="255" t="e">
        <f>+C41-C40</f>
        <v>#DIV/0!</v>
      </c>
      <c r="D42" s="256" t="e">
        <f>+D41-D40</f>
        <v>#DIV/0!</v>
      </c>
      <c r="E42" s="256" t="e">
        <f>+E41-E40</f>
        <v>#DIV/0!</v>
      </c>
      <c r="F42" s="257" t="e">
        <f>+F41-F40</f>
        <v>#DIV/0!</v>
      </c>
      <c r="G42" s="47"/>
      <c r="H42" s="1328"/>
      <c r="I42" s="1329"/>
      <c r="J42" s="1330"/>
    </row>
    <row r="43" spans="1:11" s="48" customFormat="1" ht="31.5" customHeight="1" thickBot="1" x14ac:dyDescent="0.25">
      <c r="A43" s="47"/>
      <c r="B43" s="63" t="s">
        <v>36</v>
      </c>
      <c r="C43" s="260" t="e">
        <f>+AVERAGE(C42:F42)</f>
        <v>#DIV/0!</v>
      </c>
      <c r="D43" s="47"/>
      <c r="E43" s="47"/>
      <c r="F43" s="47"/>
      <c r="G43" s="47"/>
      <c r="H43" s="47"/>
      <c r="I43" s="47"/>
      <c r="J43" s="47"/>
    </row>
    <row r="44" spans="1:11" s="48" customFormat="1" ht="31.5" customHeight="1" thickBot="1" x14ac:dyDescent="0.25">
      <c r="A44" s="47"/>
      <c r="B44" s="64" t="s">
        <v>77</v>
      </c>
      <c r="C44" s="287" t="e">
        <f>+STDEV(C42:F42)</f>
        <v>#DIV/0!</v>
      </c>
      <c r="D44" s="47"/>
      <c r="E44" s="47"/>
      <c r="F44" s="47"/>
      <c r="G44" s="47"/>
      <c r="H44" s="47"/>
      <c r="I44" s="47"/>
      <c r="J44" s="47"/>
      <c r="K44" s="46"/>
    </row>
    <row r="45" spans="1:11" s="46" customFormat="1" ht="15" customHeight="1" thickBot="1" x14ac:dyDescent="0.25">
      <c r="A45" s="47"/>
      <c r="B45" s="47"/>
      <c r="C45" s="47"/>
      <c r="D45" s="47"/>
      <c r="E45" s="47"/>
      <c r="F45" s="47"/>
      <c r="G45" s="65"/>
      <c r="H45" s="47"/>
      <c r="I45" s="47"/>
      <c r="J45" s="47"/>
      <c r="K45" s="48"/>
    </row>
    <row r="46" spans="1:11" s="48" customFormat="1" ht="31.5" customHeight="1" thickBot="1" x14ac:dyDescent="0.25">
      <c r="A46" s="1331" t="s">
        <v>37</v>
      </c>
      <c r="B46" s="1332"/>
      <c r="C46" s="1284"/>
      <c r="D46" s="1284"/>
      <c r="E46" s="1284"/>
      <c r="F46" s="1332"/>
      <c r="G46" s="1332"/>
      <c r="H46" s="1332"/>
      <c r="I46" s="1332"/>
      <c r="J46" s="1333"/>
    </row>
    <row r="47" spans="1:11" s="48" customFormat="1" ht="31.5" customHeight="1" thickBot="1" x14ac:dyDescent="0.25">
      <c r="A47" s="1375" t="s">
        <v>321</v>
      </c>
      <c r="B47" s="1376"/>
      <c r="C47" s="1338" t="s">
        <v>38</v>
      </c>
      <c r="D47" s="1339"/>
      <c r="E47" s="1340"/>
      <c r="F47" s="47"/>
      <c r="G47" s="47"/>
      <c r="H47" s="47"/>
      <c r="I47" s="47"/>
      <c r="J47" s="47"/>
    </row>
    <row r="48" spans="1:11" s="48" customFormat="1" ht="36.75" customHeight="1" thickBot="1" x14ac:dyDescent="0.25">
      <c r="A48" s="1377"/>
      <c r="B48" s="1378"/>
      <c r="C48" s="82" t="s">
        <v>27</v>
      </c>
      <c r="D48" s="93" t="s">
        <v>307</v>
      </c>
      <c r="E48" s="83" t="s">
        <v>9</v>
      </c>
      <c r="G48" s="1341" t="s">
        <v>70</v>
      </c>
      <c r="H48" s="1342"/>
      <c r="I48" s="102" t="e">
        <f>+(0.34848*E50-0.009*D50*EXP(0.061*C50))/(273.15+C50)</f>
        <v>#DIV/0!</v>
      </c>
      <c r="J48" s="103" t="s">
        <v>73</v>
      </c>
    </row>
    <row r="49" spans="1:21" s="48" customFormat="1" ht="33" customHeight="1" thickBot="1" x14ac:dyDescent="0.25">
      <c r="A49" s="1306" t="s">
        <v>39</v>
      </c>
      <c r="B49" s="1307"/>
      <c r="C49" s="90" t="e">
        <f>+AVERAGE(E33,E24)</f>
        <v>#DIV/0!</v>
      </c>
      <c r="D49" s="91" t="e">
        <f>+AVERAGE(H33,H24)</f>
        <v>#DIV/0!</v>
      </c>
      <c r="E49" s="92" t="e">
        <f>+AVERAGE(J33,J24)</f>
        <v>#DIV/0!</v>
      </c>
      <c r="G49" s="1308" t="s">
        <v>71</v>
      </c>
      <c r="H49" s="1309"/>
      <c r="I49" s="422" t="e">
        <f>I48*((0.0001)^2+(0.001*I20/2)^2+(-0.0034*D20/2)^2+(-0.01*G20/2)^2)^0.5</f>
        <v>#DIV/0!</v>
      </c>
      <c r="J49" s="66" t="s">
        <v>73</v>
      </c>
    </row>
    <row r="50" spans="1:21" s="48" customFormat="1" ht="36.75" customHeight="1" thickBot="1" x14ac:dyDescent="0.25">
      <c r="A50" s="1343" t="s">
        <v>322</v>
      </c>
      <c r="B50" s="1344"/>
      <c r="C50" s="84" t="e">
        <f>C49+(VLOOKUP(J19,'DATOS %'!J174:W180,9,FALSE))*C49+(VLOOKUP(J19,'DATOS %'!J174:W180,10,FALSE))</f>
        <v>#DIV/0!</v>
      </c>
      <c r="D50" s="85" t="e">
        <f>D49+(VLOOKUP(J19,'DATOS %'!J174:W180,11,FALSE))*D49+(VLOOKUP(J19,'DATOS %'!J174:W180,12,FALSE))</f>
        <v>#DIV/0!</v>
      </c>
      <c r="E50" s="86" t="e">
        <f>E49+(VLOOKUP(J19,'DATOS %'!J174:W180,13,FALSE))*E49+(VLOOKUP(J19,'DATOS %'!J174:W180,14,FALSE))</f>
        <v>#DIV/0!</v>
      </c>
      <c r="G50" s="1341" t="s">
        <v>72</v>
      </c>
      <c r="H50" s="1342"/>
      <c r="I50" s="67">
        <v>1.2</v>
      </c>
      <c r="J50" s="66" t="s">
        <v>73</v>
      </c>
    </row>
    <row r="51" spans="1:21" s="46" customFormat="1" ht="15" customHeight="1" thickBot="1" x14ac:dyDescent="0.25">
      <c r="A51" s="47"/>
      <c r="B51" s="47"/>
      <c r="C51" s="47"/>
      <c r="D51" s="47"/>
      <c r="E51" s="47"/>
      <c r="F51" s="47"/>
      <c r="G51" s="47"/>
      <c r="H51" s="47"/>
      <c r="I51" s="47"/>
      <c r="J51" s="47"/>
      <c r="K51" s="48"/>
    </row>
    <row r="52" spans="1:21" s="48" customFormat="1" ht="31.5" customHeight="1" thickBot="1" x14ac:dyDescent="0.25">
      <c r="A52" s="1331" t="s">
        <v>40</v>
      </c>
      <c r="B52" s="1332"/>
      <c r="C52" s="1332"/>
      <c r="D52" s="1332"/>
      <c r="E52" s="1332"/>
      <c r="F52" s="1332"/>
      <c r="G52" s="1332"/>
      <c r="H52" s="1332"/>
      <c r="I52" s="1332"/>
      <c r="J52" s="1333"/>
    </row>
    <row r="53" spans="1:21" s="48" customFormat="1" ht="31.5" customHeight="1" x14ac:dyDescent="0.35">
      <c r="A53" s="47"/>
      <c r="B53" s="68" t="s">
        <v>41</v>
      </c>
      <c r="C53" s="69"/>
      <c r="D53" s="1345" t="s">
        <v>74</v>
      </c>
      <c r="E53" s="1345"/>
      <c r="F53" s="70" t="s">
        <v>42</v>
      </c>
      <c r="G53" s="71" t="s">
        <v>43</v>
      </c>
      <c r="H53" s="1346" t="s">
        <v>44</v>
      </c>
      <c r="I53" s="1347"/>
      <c r="J53" s="47"/>
    </row>
    <row r="54" spans="1:21" s="48" customFormat="1" ht="31.5" customHeight="1" thickBot="1" x14ac:dyDescent="0.25">
      <c r="A54" s="47"/>
      <c r="B54" s="72" t="e">
        <f>+C43</f>
        <v>#DIV/0!</v>
      </c>
      <c r="C54" s="73" t="s">
        <v>1</v>
      </c>
      <c r="D54" s="261" t="e">
        <f>+C10+C11/1000</f>
        <v>#N/A</v>
      </c>
      <c r="E54" s="73" t="s">
        <v>1</v>
      </c>
      <c r="F54" s="74" t="e">
        <f>+(I48-I50)*(1/H10-1/C13)</f>
        <v>#DIV/0!</v>
      </c>
      <c r="G54" s="75"/>
      <c r="H54" s="67" t="e">
        <f>+(B54+D54*F54)*1000</f>
        <v>#DIV/0!</v>
      </c>
      <c r="I54" s="66" t="s">
        <v>3</v>
      </c>
      <c r="J54" s="47"/>
      <c r="K54" s="46"/>
    </row>
    <row r="55" spans="1:21" s="46" customFormat="1" ht="15" customHeight="1" x14ac:dyDescent="0.2">
      <c r="A55" s="47"/>
      <c r="B55" s="47"/>
      <c r="C55" s="47"/>
      <c r="D55" s="47"/>
      <c r="E55" s="47"/>
      <c r="F55" s="47"/>
      <c r="G55" s="47"/>
      <c r="H55" s="47"/>
      <c r="I55" s="47"/>
      <c r="J55" s="47"/>
      <c r="K55" s="48"/>
    </row>
    <row r="56" spans="1:21" s="48" customFormat="1" ht="31.5" customHeight="1" x14ac:dyDescent="0.2">
      <c r="A56" s="1348" t="s">
        <v>45</v>
      </c>
      <c r="B56" s="1349"/>
      <c r="C56" s="1349"/>
      <c r="D56" s="1349"/>
      <c r="E56" s="1349"/>
      <c r="F56" s="1349"/>
      <c r="G56" s="1349"/>
      <c r="H56" s="1349"/>
      <c r="I56" s="1349"/>
      <c r="J56" s="1349"/>
      <c r="K56" s="46"/>
    </row>
    <row r="57" spans="1:21" s="46" customFormat="1" ht="15" customHeight="1" thickBot="1" x14ac:dyDescent="0.25">
      <c r="A57" s="47"/>
      <c r="B57" s="47"/>
      <c r="C57" s="47"/>
      <c r="D57" s="47"/>
      <c r="E57" s="47"/>
      <c r="K57" s="48"/>
    </row>
    <row r="58" spans="1:21" s="48" customFormat="1" ht="31.5" customHeight="1" thickBot="1" x14ac:dyDescent="0.25">
      <c r="A58" s="1350" t="s">
        <v>38</v>
      </c>
      <c r="B58" s="1351"/>
      <c r="C58" s="1352" t="s">
        <v>46</v>
      </c>
      <c r="D58" s="1353"/>
      <c r="E58" s="1354" t="s">
        <v>238</v>
      </c>
      <c r="F58" s="1379"/>
      <c r="G58" s="1061" t="s">
        <v>553</v>
      </c>
      <c r="J58" s="114"/>
      <c r="L58" s="46"/>
      <c r="Q58" s="47"/>
      <c r="R58" s="47"/>
      <c r="S58" s="47"/>
      <c r="T58" s="47"/>
      <c r="U58" s="47"/>
    </row>
    <row r="59" spans="1:21" s="48" customFormat="1" ht="57.95" customHeight="1" thickBot="1" x14ac:dyDescent="0.25">
      <c r="A59" s="1024" t="s">
        <v>47</v>
      </c>
      <c r="B59" s="1025"/>
      <c r="C59" s="1026" t="e">
        <f>+C44/B26^0.5*1000</f>
        <v>#DIV/0!</v>
      </c>
      <c r="D59" s="1017" t="s">
        <v>3</v>
      </c>
      <c r="E59" s="1027" t="s">
        <v>240</v>
      </c>
      <c r="F59" s="139">
        <f>$B$26-1</f>
        <v>3</v>
      </c>
      <c r="G59" s="1111" t="e">
        <f>(C59/$G$70)^2</f>
        <v>#DIV/0!</v>
      </c>
      <c r="H59" s="47"/>
      <c r="K59" s="156">
        <v>0.3</v>
      </c>
      <c r="L59" s="157">
        <v>1.65</v>
      </c>
      <c r="M59" s="113"/>
    </row>
    <row r="60" spans="1:21" s="48" customFormat="1" ht="57.95" customHeight="1" thickBot="1" x14ac:dyDescent="0.25">
      <c r="A60" s="1019" t="s">
        <v>343</v>
      </c>
      <c r="B60" s="1020" t="s">
        <v>48</v>
      </c>
      <c r="C60" s="1021" t="e">
        <f>+C12/2</f>
        <v>#N/A</v>
      </c>
      <c r="D60" s="1022" t="s">
        <v>3</v>
      </c>
      <c r="E60" s="1023" t="s">
        <v>239</v>
      </c>
      <c r="F60" s="146" t="s">
        <v>265</v>
      </c>
      <c r="G60" s="1112"/>
      <c r="H60" s="1380" t="s">
        <v>241</v>
      </c>
      <c r="I60" s="1356"/>
      <c r="J60" s="1356"/>
      <c r="K60" s="1356"/>
      <c r="L60" s="1356"/>
      <c r="M60" s="1357"/>
    </row>
    <row r="61" spans="1:21" s="48" customFormat="1" ht="57.95" customHeight="1" thickBot="1" x14ac:dyDescent="0.25">
      <c r="A61" s="1028" t="s">
        <v>344</v>
      </c>
      <c r="B61" s="1029"/>
      <c r="C61" s="1030" t="e">
        <f>+C12/3^0.5</f>
        <v>#N/A</v>
      </c>
      <c r="D61" s="1031" t="s">
        <v>3</v>
      </c>
      <c r="E61" s="1032" t="s">
        <v>239</v>
      </c>
      <c r="F61" s="147" t="s">
        <v>265</v>
      </c>
      <c r="G61" s="1112"/>
      <c r="H61" s="132" t="s">
        <v>243</v>
      </c>
      <c r="I61" s="149" t="e">
        <f>MAX(C59:C62,C66:C67,C68)</f>
        <v>#DIV/0!</v>
      </c>
      <c r="J61" s="151" t="e">
        <f>IF((I62)&lt;=(K59),"1,65","2")</f>
        <v>#DIV/0!</v>
      </c>
      <c r="K61" s="152" t="s">
        <v>242</v>
      </c>
      <c r="L61" s="153" t="s">
        <v>237</v>
      </c>
      <c r="M61" s="360" t="s">
        <v>328</v>
      </c>
    </row>
    <row r="62" spans="1:21" s="48" customFormat="1" ht="57.95" customHeight="1" thickBot="1" x14ac:dyDescent="0.3">
      <c r="A62" s="1024" t="s">
        <v>49</v>
      </c>
      <c r="B62" s="1035"/>
      <c r="C62" s="1036" t="e">
        <f>+SQRT(SUMSQ(C60:C61))</f>
        <v>#N/A</v>
      </c>
      <c r="D62" s="1017" t="s">
        <v>3</v>
      </c>
      <c r="E62" s="1037" t="s">
        <v>240</v>
      </c>
      <c r="F62" s="139">
        <v>200</v>
      </c>
      <c r="G62" s="1112" t="e">
        <f t="shared" ref="G62:G68" si="0">(C62/$G$70)^2</f>
        <v>#N/A</v>
      </c>
      <c r="H62" s="133" t="s">
        <v>244</v>
      </c>
      <c r="I62" s="150" t="e">
        <f>SQRT((C59)^2+(C66)^2+(C67)^2)/I61</f>
        <v>#DIV/0!</v>
      </c>
      <c r="J62" s="126"/>
      <c r="K62" s="154" t="s">
        <v>242</v>
      </c>
      <c r="L62" s="155" t="s">
        <v>252</v>
      </c>
      <c r="M62" s="361" t="s">
        <v>329</v>
      </c>
    </row>
    <row r="63" spans="1:21" s="48" customFormat="1" ht="57.95" customHeight="1" x14ac:dyDescent="0.2">
      <c r="A63" s="1019" t="s">
        <v>345</v>
      </c>
      <c r="B63" s="1020"/>
      <c r="C63" s="1033" t="e">
        <f>+I49</f>
        <v>#DIV/0!</v>
      </c>
      <c r="D63" s="1021" t="s">
        <v>73</v>
      </c>
      <c r="E63" s="1034" t="s">
        <v>239</v>
      </c>
      <c r="F63" s="146" t="s">
        <v>265</v>
      </c>
      <c r="G63" s="1112"/>
      <c r="L63" s="46"/>
      <c r="T63" s="46"/>
      <c r="U63" s="46"/>
    </row>
    <row r="64" spans="1:21" s="48" customFormat="1" ht="57.95" customHeight="1" x14ac:dyDescent="0.2">
      <c r="A64" s="426" t="s">
        <v>50</v>
      </c>
      <c r="B64" s="1018"/>
      <c r="C64" s="425" t="e">
        <f>+H11/2</f>
        <v>#N/A</v>
      </c>
      <c r="D64" s="424" t="s">
        <v>73</v>
      </c>
      <c r="E64" s="423" t="s">
        <v>239</v>
      </c>
      <c r="F64" s="148" t="s">
        <v>265</v>
      </c>
      <c r="G64" s="1112"/>
      <c r="H64" s="130"/>
      <c r="J64" s="130"/>
      <c r="K64" s="130"/>
      <c r="L64" s="130"/>
      <c r="M64" s="130"/>
      <c r="Q64" s="47"/>
      <c r="R64" s="47"/>
      <c r="S64" s="47"/>
      <c r="T64" s="47"/>
      <c r="U64" s="47"/>
    </row>
    <row r="65" spans="1:21" s="48" customFormat="1" ht="57.95" customHeight="1" thickBot="1" x14ac:dyDescent="0.25">
      <c r="A65" s="1028" t="s">
        <v>346</v>
      </c>
      <c r="B65" s="1038"/>
      <c r="C65" s="1039" t="e">
        <f>+C14/2</f>
        <v>#N/A</v>
      </c>
      <c r="D65" s="1031" t="s">
        <v>73</v>
      </c>
      <c r="E65" s="1040" t="s">
        <v>239</v>
      </c>
      <c r="F65" s="147" t="s">
        <v>265</v>
      </c>
      <c r="G65" s="1112"/>
      <c r="H65" s="130"/>
      <c r="I65" s="130"/>
      <c r="J65" s="130"/>
      <c r="K65" s="130"/>
      <c r="L65" s="130"/>
      <c r="M65" s="130"/>
      <c r="Q65" s="46"/>
      <c r="R65" s="46"/>
      <c r="S65" s="46"/>
      <c r="T65" s="46"/>
      <c r="U65" s="46"/>
    </row>
    <row r="66" spans="1:21" s="48" customFormat="1" ht="57.95" customHeight="1" thickBot="1" x14ac:dyDescent="0.3">
      <c r="A66" s="1024" t="s">
        <v>347</v>
      </c>
      <c r="B66" s="1035"/>
      <c r="C66" s="1036" t="e">
        <f>+SQRT(ABS(((C10/1000+C11/1000000)*(C13-H10)/(C13*H10)*C63)^2+((C10/1000+C11/1000000)*(I48-I50))^2*C64^2/H10^4+(C10/1000+C11/1000000)^2*(I48-I50)*((I48-I50)-2*(C15-I50))*C65^2/C13^4))*1000000</f>
        <v>#N/A</v>
      </c>
      <c r="D66" s="1051" t="s">
        <v>3</v>
      </c>
      <c r="E66" s="1037" t="s">
        <v>240</v>
      </c>
      <c r="F66" s="139">
        <v>200</v>
      </c>
      <c r="G66" s="1112" t="e">
        <f t="shared" si="0"/>
        <v>#N/A</v>
      </c>
      <c r="H66" s="130"/>
      <c r="I66" s="1093" t="s">
        <v>554</v>
      </c>
      <c r="J66" s="1095" t="s">
        <v>556</v>
      </c>
      <c r="K66" s="1094" t="s">
        <v>555</v>
      </c>
      <c r="L66" s="130"/>
      <c r="M66" s="130"/>
      <c r="Q66" s="47"/>
      <c r="R66" s="47"/>
      <c r="S66" s="47"/>
      <c r="T66" s="47"/>
      <c r="U66" s="47"/>
    </row>
    <row r="67" spans="1:21" s="48" customFormat="1" ht="57.95" customHeight="1" thickBot="1" x14ac:dyDescent="0.3">
      <c r="A67" s="1047" t="s">
        <v>52</v>
      </c>
      <c r="B67" s="1048"/>
      <c r="C67" s="1049" t="e">
        <f>+(G15/2/3^0.5)*2^0.5*1000</f>
        <v>#N/A</v>
      </c>
      <c r="D67" s="1044" t="s">
        <v>3</v>
      </c>
      <c r="E67" s="1045" t="s">
        <v>239</v>
      </c>
      <c r="F67" s="1050">
        <v>200</v>
      </c>
      <c r="G67" s="1112" t="e">
        <f t="shared" si="0"/>
        <v>#N/A</v>
      </c>
      <c r="H67" s="130"/>
      <c r="I67" s="1096" t="e">
        <f>G70^4/((C59^4/F59)+(C62^4/F62)+(C66^4/F66)+(C67^4/F67)+(C68^4/F68))</f>
        <v>#DIV/0!</v>
      </c>
      <c r="J67" s="1097" t="e">
        <f>TINV(0.05,I67)</f>
        <v>#DIV/0!</v>
      </c>
      <c r="K67" s="1098" t="e">
        <f>1-TDIST(J67,I67,2)</f>
        <v>#DIV/0!</v>
      </c>
      <c r="L67" s="130"/>
      <c r="M67" s="130"/>
    </row>
    <row r="68" spans="1:21" s="46" customFormat="1" ht="65.25" customHeight="1" thickBot="1" x14ac:dyDescent="0.3">
      <c r="A68" s="1041" t="s">
        <v>551</v>
      </c>
      <c r="B68" s="1042"/>
      <c r="C68" s="1067">
        <f>0.37/SQRT(45)</f>
        <v>5.5156343444994808E-2</v>
      </c>
      <c r="D68" s="1044" t="s">
        <v>3</v>
      </c>
      <c r="E68" s="1045" t="s">
        <v>240</v>
      </c>
      <c r="F68" s="1116">
        <v>50</v>
      </c>
      <c r="G68" s="1113" t="e">
        <f t="shared" si="0"/>
        <v>#DIV/0!</v>
      </c>
      <c r="H68" s="130"/>
      <c r="I68" s="130"/>
      <c r="J68" s="130"/>
      <c r="K68" s="130"/>
      <c r="L68" s="130"/>
      <c r="M68" s="130"/>
      <c r="S68" s="48"/>
      <c r="T68" s="48"/>
      <c r="U68" s="48"/>
    </row>
    <row r="69" spans="1:21" s="46" customFormat="1" ht="65.25" customHeight="1" thickBot="1" x14ac:dyDescent="0.25">
      <c r="G69" s="1114" t="e">
        <f>SUM(G59,G62,G66,G67,G68)</f>
        <v>#DIV/0!</v>
      </c>
      <c r="S69" s="48"/>
      <c r="T69" s="48"/>
      <c r="U69" s="48"/>
    </row>
    <row r="70" spans="1:21" s="106" customFormat="1" ht="51.75" customHeight="1" thickBot="1" x14ac:dyDescent="0.3">
      <c r="D70" s="1306" t="s">
        <v>51</v>
      </c>
      <c r="E70" s="1307"/>
      <c r="F70" s="134"/>
      <c r="G70" s="140" t="e">
        <f>+SQRT(SUMSQ(C59,C62,C66,C67,C68))</f>
        <v>#DIV/0!</v>
      </c>
      <c r="H70" s="136" t="s">
        <v>3</v>
      </c>
      <c r="K70" s="130"/>
      <c r="L70" s="130"/>
      <c r="M70" s="130"/>
      <c r="S70" s="48"/>
      <c r="T70" s="48"/>
      <c r="U70" s="48"/>
    </row>
    <row r="71" spans="1:21" s="106" customFormat="1" ht="35.1" customHeight="1" thickBot="1" x14ac:dyDescent="0.25">
      <c r="D71" s="1306" t="s">
        <v>53</v>
      </c>
      <c r="E71" s="1307"/>
      <c r="F71" s="135"/>
      <c r="G71" s="140" t="e">
        <f>+G70*2</f>
        <v>#DIV/0!</v>
      </c>
      <c r="H71" s="137" t="s">
        <v>3</v>
      </c>
      <c r="K71" s="110"/>
      <c r="L71" s="107"/>
      <c r="O71" s="48"/>
      <c r="P71" s="48"/>
      <c r="Q71" s="48"/>
      <c r="R71" s="48"/>
      <c r="S71" s="48"/>
      <c r="T71" s="48"/>
      <c r="U71" s="48"/>
    </row>
    <row r="72" spans="1:21" s="106" customFormat="1" ht="33.75" customHeight="1" thickBot="1" x14ac:dyDescent="4.45">
      <c r="B72" s="1313" t="s">
        <v>54</v>
      </c>
      <c r="C72" s="1314"/>
      <c r="D72" s="1314"/>
      <c r="E72" s="1314"/>
      <c r="F72" s="1314"/>
      <c r="G72" s="1314"/>
      <c r="H72" s="1314"/>
      <c r="I72" s="1314"/>
      <c r="J72" s="1314"/>
      <c r="K72" s="1315"/>
      <c r="L72" s="117"/>
      <c r="O72" s="48"/>
      <c r="P72" s="48"/>
      <c r="Q72" s="48"/>
      <c r="R72" s="48"/>
      <c r="S72" s="48"/>
      <c r="T72" s="48"/>
      <c r="U72" s="48"/>
    </row>
    <row r="73" spans="1:21" s="106" customFormat="1" ht="35.1" customHeight="1" thickBot="1" x14ac:dyDescent="0.25">
      <c r="B73" s="1368" t="s">
        <v>255</v>
      </c>
      <c r="C73" s="1369"/>
      <c r="D73" s="1369"/>
      <c r="E73" s="1370"/>
      <c r="F73" s="79"/>
      <c r="G73" s="80"/>
      <c r="H73" s="1371"/>
      <c r="I73" s="1372"/>
      <c r="J73" s="1372"/>
      <c r="K73" s="1373"/>
      <c r="O73" s="48"/>
      <c r="P73" s="48"/>
      <c r="Q73" s="48"/>
      <c r="R73" s="48"/>
      <c r="S73" s="48"/>
      <c r="T73" s="48"/>
      <c r="U73" s="48"/>
    </row>
    <row r="74" spans="1:21" s="106" customFormat="1" ht="40.5" customHeight="1" x14ac:dyDescent="0.2">
      <c r="B74" s="118"/>
      <c r="C74" s="362" t="s">
        <v>348</v>
      </c>
      <c r="D74" s="119" t="s">
        <v>253</v>
      </c>
      <c r="E74" s="120"/>
      <c r="F74" s="1358"/>
      <c r="G74" s="1358"/>
      <c r="H74" s="1359" t="s">
        <v>266</v>
      </c>
      <c r="I74" s="1381" t="s">
        <v>254</v>
      </c>
      <c r="J74" s="1381"/>
      <c r="K74" s="1382"/>
      <c r="O74" s="48"/>
      <c r="P74" s="48"/>
      <c r="Q74" s="48"/>
      <c r="R74" s="48"/>
      <c r="S74" s="48"/>
      <c r="T74" s="48"/>
      <c r="U74" s="48"/>
    </row>
    <row r="75" spans="1:21" s="106" customFormat="1" ht="35.1" customHeight="1" x14ac:dyDescent="0.2">
      <c r="B75" s="81" t="e">
        <f>C10</f>
        <v>#N/A</v>
      </c>
      <c r="C75" s="77" t="e">
        <f>C11</f>
        <v>#N/A</v>
      </c>
      <c r="D75" s="78" t="e">
        <f>H54</f>
        <v>#DIV/0!</v>
      </c>
      <c r="E75" s="216" t="e">
        <f>B75+(C75/1000)+(D75/1000)</f>
        <v>#N/A</v>
      </c>
      <c r="F75" s="216" t="e">
        <f>E75*1000-B75*1000</f>
        <v>#N/A</v>
      </c>
      <c r="G75" s="61"/>
      <c r="H75" s="1360"/>
      <c r="I75" s="218" t="e">
        <f>G71</f>
        <v>#DIV/0!</v>
      </c>
      <c r="J75" s="1364"/>
      <c r="K75" s="1365"/>
      <c r="O75" s="48"/>
      <c r="P75" s="48"/>
      <c r="Q75" s="48"/>
      <c r="R75" s="48"/>
      <c r="S75" s="48"/>
      <c r="T75" s="48"/>
      <c r="U75" s="48"/>
    </row>
    <row r="76" spans="1:21" s="106" customFormat="1" ht="35.1" customHeight="1" thickBot="1" x14ac:dyDescent="0.25">
      <c r="B76" s="87" t="e">
        <f>B75</f>
        <v>#N/A</v>
      </c>
      <c r="C76" s="88" t="e">
        <f>C75</f>
        <v>#N/A</v>
      </c>
      <c r="D76" s="88" t="e">
        <f>D75</f>
        <v>#DIV/0!</v>
      </c>
      <c r="E76" s="217" t="e">
        <f>B76+(C76/1000)+(D76/1000)</f>
        <v>#N/A</v>
      </c>
      <c r="F76" s="281" t="e">
        <f>F75/1000</f>
        <v>#N/A</v>
      </c>
      <c r="G76" s="89"/>
      <c r="H76" s="1361"/>
      <c r="I76" s="289" t="e">
        <f>I75/1000</f>
        <v>#DIV/0!</v>
      </c>
      <c r="J76" s="1366"/>
      <c r="K76" s="1367"/>
      <c r="O76" s="48"/>
      <c r="P76" s="48"/>
      <c r="Q76" s="48"/>
      <c r="R76" s="48"/>
      <c r="S76" s="48"/>
      <c r="T76" s="48"/>
      <c r="U76" s="48"/>
    </row>
    <row r="77" spans="1:21" s="106" customFormat="1" ht="35.1" customHeight="1" x14ac:dyDescent="0.2">
      <c r="G77" s="47"/>
      <c r="H77" s="47"/>
      <c r="I77" s="47"/>
      <c r="J77" s="47"/>
      <c r="O77" s="48"/>
      <c r="P77" s="48"/>
      <c r="Q77" s="48"/>
      <c r="R77" s="48"/>
      <c r="S77" s="48"/>
      <c r="T77" s="48"/>
      <c r="U77" s="48"/>
    </row>
    <row r="78" spans="1:21" s="106" customFormat="1" ht="35.1" customHeight="1" x14ac:dyDescent="0.2">
      <c r="G78" s="47"/>
      <c r="H78" s="47"/>
      <c r="I78" s="47"/>
      <c r="J78" s="47"/>
      <c r="O78" s="48"/>
      <c r="P78" s="48"/>
      <c r="Q78" s="48"/>
      <c r="R78" s="48"/>
      <c r="S78" s="48"/>
      <c r="T78" s="48"/>
      <c r="U78" s="48"/>
    </row>
    <row r="79" spans="1:21" s="106" customFormat="1" ht="35.1" customHeight="1" x14ac:dyDescent="0.2">
      <c r="G79" s="47"/>
      <c r="H79" s="47"/>
      <c r="I79" s="47"/>
      <c r="J79" s="47"/>
    </row>
    <row r="80" spans="1:21" s="107" customFormat="1" ht="35.1" customHeight="1" x14ac:dyDescent="0.2">
      <c r="A80" s="109"/>
      <c r="B80" s="106"/>
      <c r="C80" s="106"/>
      <c r="D80" s="106"/>
      <c r="E80" s="106"/>
      <c r="F80" s="106"/>
      <c r="G80" s="47"/>
      <c r="H80" s="47"/>
    </row>
    <row r="81" spans="2:11" s="111" customFormat="1" ht="35.1" customHeight="1" x14ac:dyDescent="0.2">
      <c r="B81" s="106"/>
      <c r="C81" s="106"/>
      <c r="D81" s="106"/>
      <c r="E81" s="106"/>
      <c r="F81" s="106"/>
      <c r="G81" s="47"/>
      <c r="H81" s="47"/>
    </row>
    <row r="82" spans="2:11" s="106" customFormat="1" ht="61.5" customHeight="1" x14ac:dyDescent="0.2">
      <c r="H82" s="111"/>
      <c r="I82" s="111"/>
      <c r="J82" s="111"/>
      <c r="K82" s="108"/>
    </row>
    <row r="83" spans="2:11" s="106" customFormat="1" ht="35.1" customHeight="1" x14ac:dyDescent="0.2">
      <c r="G83" s="111"/>
      <c r="H83" s="111"/>
      <c r="I83" s="111"/>
      <c r="J83" s="111"/>
      <c r="K83" s="108"/>
    </row>
    <row r="84" spans="2:11" s="106" customFormat="1" ht="35.1" customHeight="1" x14ac:dyDescent="0.2">
      <c r="G84" s="111"/>
      <c r="H84" s="111"/>
      <c r="I84" s="111"/>
      <c r="J84" s="111"/>
      <c r="K84" s="108"/>
    </row>
    <row r="85" spans="2:11" s="106" customFormat="1" ht="35.1" customHeight="1" x14ac:dyDescent="0.2">
      <c r="F85" s="107"/>
      <c r="K85" s="108"/>
    </row>
    <row r="86" spans="2:11" s="106" customFormat="1" ht="50.1" customHeight="1" x14ac:dyDescent="0.2"/>
    <row r="87" spans="2:11" s="106" customFormat="1" ht="57.75" customHeight="1" x14ac:dyDescent="0.2">
      <c r="C87" s="112"/>
      <c r="D87" s="112"/>
      <c r="E87" s="112"/>
    </row>
    <row r="88" spans="2:11" s="106" customFormat="1" ht="35.1" customHeight="1" x14ac:dyDescent="0.2"/>
    <row r="89" spans="2:11" s="106" customFormat="1" ht="35.1" customHeight="1" x14ac:dyDescent="0.2">
      <c r="F89" s="108"/>
      <c r="G89" s="108"/>
      <c r="H89" s="108"/>
      <c r="I89" s="108"/>
      <c r="J89" s="108"/>
    </row>
    <row r="90" spans="2:11" s="106" customFormat="1" ht="35.1" customHeight="1" x14ac:dyDescent="0.2"/>
    <row r="91" spans="2:11" s="106" customFormat="1" ht="50.1" customHeight="1" x14ac:dyDescent="0.2">
      <c r="J91" s="47"/>
    </row>
    <row r="92" spans="2:11" s="106" customFormat="1" ht="55.5" customHeight="1" x14ac:dyDescent="0.2">
      <c r="J92" s="111"/>
    </row>
    <row r="93" spans="2:11" s="106" customFormat="1" ht="50.1" customHeight="1" x14ac:dyDescent="0.2">
      <c r="J93" s="111"/>
    </row>
    <row r="94" spans="2:11" s="107" customFormat="1" ht="31.5" customHeight="1" x14ac:dyDescent="0.2">
      <c r="J94" s="111"/>
    </row>
    <row r="95" spans="2:11" s="106" customFormat="1" ht="35.1" customHeight="1" x14ac:dyDescent="0.2">
      <c r="G95" s="111"/>
      <c r="H95" s="111"/>
      <c r="I95" s="111"/>
      <c r="J95" s="111"/>
    </row>
    <row r="96" spans="2:11" s="106" customFormat="1" ht="35.1" customHeight="1" x14ac:dyDescent="0.2">
      <c r="G96" s="111"/>
      <c r="H96" s="111"/>
      <c r="I96" s="111"/>
      <c r="J96" s="111"/>
    </row>
    <row r="97" spans="1:12" s="106" customFormat="1" ht="9.9499999999999993" customHeight="1" x14ac:dyDescent="0.2">
      <c r="G97" s="108"/>
      <c r="H97" s="108"/>
      <c r="I97" s="108"/>
      <c r="J97" s="108"/>
    </row>
    <row r="98" spans="1:12" s="106" customFormat="1" ht="35.1" customHeight="1" x14ac:dyDescent="0.2">
      <c r="J98" s="108"/>
      <c r="K98" s="108"/>
      <c r="L98" s="108"/>
    </row>
    <row r="99" spans="1:12" s="46" customFormat="1" ht="15" customHeight="1" x14ac:dyDescent="0.2">
      <c r="A99" s="47"/>
      <c r="G99" s="47"/>
      <c r="H99" s="47"/>
      <c r="I99" s="47"/>
      <c r="J99" s="47"/>
      <c r="K99" s="48"/>
    </row>
    <row r="100" spans="1:12" s="48" customFormat="1" ht="31.5" customHeight="1" x14ac:dyDescent="0.2">
      <c r="A100" s="47"/>
      <c r="B100" s="47"/>
      <c r="C100" s="47"/>
      <c r="D100" s="47"/>
      <c r="E100" s="47"/>
      <c r="F100" s="47"/>
      <c r="G100" s="47"/>
      <c r="H100" s="47"/>
      <c r="I100" s="47"/>
      <c r="J100" s="47"/>
    </row>
    <row r="101" spans="1:12" s="48" customFormat="1" ht="31.5" customHeight="1" x14ac:dyDescent="0.2"/>
    <row r="102" spans="1:12" s="48" customFormat="1" ht="31.5" customHeight="1" x14ac:dyDescent="0.2"/>
    <row r="103" spans="1:12" s="48" customFormat="1" ht="52.5" customHeight="1" x14ac:dyDescent="0.2"/>
    <row r="104" spans="1:12" s="48" customFormat="1" ht="31.5" customHeight="1" x14ac:dyDescent="0.2">
      <c r="K104" s="8"/>
    </row>
    <row r="105" spans="1:12" s="48" customFormat="1" ht="31.5" customHeight="1" x14ac:dyDescent="0.2">
      <c r="K105" s="8"/>
    </row>
    <row r="106" spans="1:12" ht="31.5" customHeight="1" x14ac:dyDescent="0.2">
      <c r="G106" s="76"/>
    </row>
    <row r="107" spans="1:12" ht="51" customHeight="1" x14ac:dyDescent="0.2"/>
    <row r="109" spans="1:12" ht="31.5" customHeight="1" x14ac:dyDescent="0.2">
      <c r="B109" s="29"/>
      <c r="C109" s="29"/>
      <c r="D109" s="29"/>
      <c r="E109" s="29"/>
      <c r="F109" s="29"/>
      <c r="G109" s="29"/>
      <c r="H109" s="29"/>
      <c r="I109" s="29"/>
      <c r="J109" s="29"/>
    </row>
    <row r="110" spans="1:12" ht="31.5" customHeight="1" x14ac:dyDescent="0.2">
      <c r="B110" s="29"/>
      <c r="C110" s="29"/>
      <c r="D110" s="29"/>
      <c r="E110" s="29"/>
      <c r="F110" s="29"/>
      <c r="G110" s="29"/>
      <c r="H110" s="29"/>
      <c r="I110" s="29"/>
      <c r="J110" s="29"/>
    </row>
    <row r="111" spans="1:12" ht="31.5" customHeight="1" x14ac:dyDescent="0.2">
      <c r="B111" s="29"/>
      <c r="C111" s="29"/>
      <c r="D111" s="29"/>
      <c r="E111" s="29"/>
      <c r="F111" s="29"/>
      <c r="G111" s="29"/>
      <c r="H111" s="29"/>
      <c r="I111" s="29"/>
      <c r="J111" s="29"/>
    </row>
    <row r="112" spans="1:12" ht="31.5" customHeight="1" x14ac:dyDescent="0.2">
      <c r="B112" s="29"/>
      <c r="C112" s="29"/>
      <c r="D112" s="29"/>
      <c r="E112" s="29"/>
      <c r="F112" s="29"/>
      <c r="G112" s="29"/>
      <c r="H112" s="29"/>
      <c r="I112" s="29"/>
      <c r="J112" s="29"/>
    </row>
    <row r="113" spans="2:10" ht="31.5" customHeight="1" x14ac:dyDescent="0.2">
      <c r="B113" s="29"/>
      <c r="C113" s="29"/>
      <c r="D113" s="29"/>
      <c r="E113" s="29"/>
      <c r="F113" s="29"/>
      <c r="G113" s="29"/>
      <c r="H113" s="29"/>
      <c r="I113" s="29"/>
      <c r="J113" s="29"/>
    </row>
    <row r="114" spans="2:10" ht="31.5" customHeight="1" x14ac:dyDescent="0.2">
      <c r="B114" s="29"/>
      <c r="C114" s="29"/>
      <c r="D114" s="29"/>
      <c r="E114" s="29"/>
      <c r="F114" s="29"/>
      <c r="G114" s="29"/>
      <c r="H114" s="29"/>
      <c r="I114" s="29"/>
      <c r="J114" s="29"/>
    </row>
    <row r="115" spans="2:10" ht="31.5" customHeight="1" x14ac:dyDescent="0.2">
      <c r="B115" s="29"/>
      <c r="C115" s="29"/>
      <c r="D115" s="29"/>
      <c r="E115" s="29"/>
      <c r="F115" s="29"/>
      <c r="G115" s="29"/>
      <c r="H115" s="29"/>
      <c r="I115" s="29"/>
      <c r="J115" s="29"/>
    </row>
  </sheetData>
  <sheetProtection password="CF5C" sheet="1" objects="1" scenarios="1"/>
  <mergeCells count="62">
    <mergeCell ref="D70:E70"/>
    <mergeCell ref="D71:E71"/>
    <mergeCell ref="B72:K72"/>
    <mergeCell ref="B73:E73"/>
    <mergeCell ref="H73:K73"/>
    <mergeCell ref="F74:G74"/>
    <mergeCell ref="H74:H76"/>
    <mergeCell ref="I74:K74"/>
    <mergeCell ref="J75:K75"/>
    <mergeCell ref="J76:K76"/>
    <mergeCell ref="A56:J56"/>
    <mergeCell ref="A58:B58"/>
    <mergeCell ref="C58:D58"/>
    <mergeCell ref="E58:F58"/>
    <mergeCell ref="H60:M60"/>
    <mergeCell ref="A50:B50"/>
    <mergeCell ref="G50:H50"/>
    <mergeCell ref="A52:J52"/>
    <mergeCell ref="D53:E53"/>
    <mergeCell ref="H53:I53"/>
    <mergeCell ref="A49:B49"/>
    <mergeCell ref="G49:H49"/>
    <mergeCell ref="A28:A31"/>
    <mergeCell ref="C33:D33"/>
    <mergeCell ref="F33:G33"/>
    <mergeCell ref="A36:J36"/>
    <mergeCell ref="B38:F38"/>
    <mergeCell ref="H38:J38"/>
    <mergeCell ref="H39:J42"/>
    <mergeCell ref="A46:J46"/>
    <mergeCell ref="A47:B48"/>
    <mergeCell ref="C47:E47"/>
    <mergeCell ref="G48:H48"/>
    <mergeCell ref="A27:B27"/>
    <mergeCell ref="G27:H27"/>
    <mergeCell ref="A14:B14"/>
    <mergeCell ref="A15:B15"/>
    <mergeCell ref="A16:B16"/>
    <mergeCell ref="C16:D16"/>
    <mergeCell ref="A18:J18"/>
    <mergeCell ref="F19:G19"/>
    <mergeCell ref="J19:J20"/>
    <mergeCell ref="A20:B20"/>
    <mergeCell ref="E20:F20"/>
    <mergeCell ref="A22:J22"/>
    <mergeCell ref="C24:D24"/>
    <mergeCell ref="F24:G24"/>
    <mergeCell ref="C26:F26"/>
    <mergeCell ref="G26:H26"/>
    <mergeCell ref="A13:B13"/>
    <mergeCell ref="F13:I13"/>
    <mergeCell ref="A1:B1"/>
    <mergeCell ref="C1:M1"/>
    <mergeCell ref="I3:J4"/>
    <mergeCell ref="A6:D6"/>
    <mergeCell ref="F6:I6"/>
    <mergeCell ref="F9:G9"/>
    <mergeCell ref="A10:B10"/>
    <mergeCell ref="F10:G10"/>
    <mergeCell ref="A11:B11"/>
    <mergeCell ref="F11:G11"/>
    <mergeCell ref="A12:B12"/>
  </mergeCells>
  <printOptions horizontalCentered="1"/>
  <pageMargins left="0.70866141732283472" right="0.70866141732283472" top="0.74803149606299213" bottom="0.74803149606299213" header="0.31496062992125984" footer="0.31496062992125984"/>
  <pageSetup scale="13" orientation="portrait" r:id="rId1"/>
  <headerFooter>
    <oddHeader xml:space="preserve">&amp;C
&amp;16   
</oddHeader>
    <oddFooter xml:space="preserve">&amp;RRT03-F13 Vr.14 (2021-05-21)
</oddFooter>
  </headerFooter>
  <rowBreaks count="1" manualBreakCount="1">
    <brk id="34" max="16383" man="1"/>
  </rowBreaks>
  <drawing r:id="rId2"/>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1C00-000000000000}">
          <x14:formula1>
            <xm:f>'DATOS %'!$V$161:$V$165</xm:f>
          </x14:formula1>
          <xm:sqref>H25</xm:sqref>
        </x14:dataValidation>
        <x14:dataValidation type="list" allowBlank="1" showInputMessage="1" showErrorMessage="1" xr:uid="{00000000-0002-0000-1C00-000001000000}">
          <x14:formula1>
            <xm:f>'DATOS %'!$V$120:$V$126</xm:f>
          </x14:formula1>
          <xm:sqref>J13</xm:sqref>
        </x14:dataValidation>
        <x14:dataValidation type="list" allowBlank="1" showInputMessage="1" showErrorMessage="1" xr:uid="{00000000-0002-0000-1C00-000002000000}">
          <x14:formula1>
            <xm:f>'DATOS %'!$N$29:$N$113</xm:f>
          </x14:formula1>
          <xm:sqref>E6</xm:sqref>
        </x14:dataValidation>
        <x14:dataValidation type="list" allowBlank="1" showInputMessage="1" showErrorMessage="1" xr:uid="{00000000-0002-0000-1C00-000003000000}">
          <x14:formula1>
            <xm:f>'DATOS %'!$N$121:$N$166</xm:f>
          </x14:formula1>
          <xm:sqref>F48</xm:sqref>
        </x14:dataValidation>
        <x14:dataValidation type="list" allowBlank="1" showInputMessage="1" showErrorMessage="1" xr:uid="{00000000-0002-0000-1C00-000004000000}">
          <x14:formula1>
            <xm:f>'DATOS %'!$J$174:$J$179</xm:f>
          </x14:formula1>
          <xm:sqref>J19:J20</xm:sqref>
        </x14:dataValidation>
        <x14:dataValidation type="list" allowBlank="1" showInputMessage="1" showErrorMessage="1" xr:uid="{00000000-0002-0000-1C00-000005000000}">
          <x14:formula1>
            <xm:f>'DATOS %'!$B$7:$B$40</xm:f>
          </x14:formula1>
          <xm:sqref>I3:J4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FF00"/>
  </sheetPr>
  <dimension ref="A1:U115"/>
  <sheetViews>
    <sheetView showGridLines="0" view="pageBreakPreview" zoomScale="80" zoomScaleNormal="60" zoomScaleSheetLayoutView="80" workbookViewId="0">
      <selection activeCell="C65" sqref="C65"/>
    </sheetView>
  </sheetViews>
  <sheetFormatPr baseColWidth="10" defaultColWidth="11.42578125" defaultRowHeight="31.5" customHeight="1" x14ac:dyDescent="0.2"/>
  <cols>
    <col min="1" max="1" width="14.7109375" style="37" customWidth="1"/>
    <col min="2" max="2" width="12.7109375" style="37" customWidth="1"/>
    <col min="3" max="3" width="15.7109375" style="37" customWidth="1"/>
    <col min="4" max="4" width="17" style="37" customWidth="1"/>
    <col min="5" max="5" width="15.5703125" style="37" customWidth="1"/>
    <col min="6" max="6" width="18.5703125" style="37" customWidth="1"/>
    <col min="7" max="7" width="15.7109375" style="37" customWidth="1"/>
    <col min="8" max="8" width="24.42578125" style="37" bestFit="1" customWidth="1"/>
    <col min="9" max="9" width="13.85546875" style="37" bestFit="1" customWidth="1"/>
    <col min="10" max="10" width="13.7109375" style="37" customWidth="1"/>
    <col min="11" max="19" width="11.42578125" style="8"/>
    <col min="20" max="20" width="15.85546875" style="8" bestFit="1" customWidth="1"/>
    <col min="21" max="21" width="14.42578125" style="8" bestFit="1" customWidth="1"/>
    <col min="22" max="16384" width="11.42578125" style="8"/>
  </cols>
  <sheetData>
    <row r="1" spans="1:16" ht="60" customHeight="1" thickBot="1" x14ac:dyDescent="0.25">
      <c r="A1" s="1257"/>
      <c r="B1" s="1258"/>
      <c r="C1" s="1259" t="s">
        <v>57</v>
      </c>
      <c r="D1" s="1260"/>
      <c r="E1" s="1260"/>
      <c r="F1" s="1260"/>
      <c r="G1" s="1260"/>
      <c r="H1" s="1260"/>
      <c r="I1" s="1260"/>
      <c r="J1" s="1260"/>
      <c r="K1" s="1260"/>
      <c r="L1" s="1260"/>
      <c r="M1" s="1261"/>
      <c r="N1" s="7"/>
      <c r="O1" s="7"/>
      <c r="P1" s="7"/>
    </row>
    <row r="2" spans="1:16" s="11" customFormat="1" ht="9.75" customHeight="1" thickBot="1" x14ac:dyDescent="0.25">
      <c r="A2" s="9"/>
      <c r="B2" s="9"/>
      <c r="C2" s="10"/>
      <c r="D2" s="10"/>
      <c r="E2" s="10"/>
      <c r="F2" s="10"/>
      <c r="G2" s="10"/>
      <c r="H2" s="10"/>
      <c r="K2" s="12"/>
      <c r="M2" s="7"/>
    </row>
    <row r="3" spans="1:16" s="12" customFormat="1" ht="35.25" customHeight="1" thickBot="1" x14ac:dyDescent="0.25">
      <c r="A3" s="13" t="s">
        <v>17</v>
      </c>
      <c r="B3" s="14" t="s">
        <v>55</v>
      </c>
      <c r="C3" s="15" t="s">
        <v>209</v>
      </c>
      <c r="D3" s="15" t="s">
        <v>56</v>
      </c>
      <c r="E3" s="15" t="s">
        <v>8</v>
      </c>
      <c r="F3" s="16" t="s">
        <v>18</v>
      </c>
      <c r="G3" s="16" t="s">
        <v>297</v>
      </c>
      <c r="H3" s="17" t="s">
        <v>24</v>
      </c>
      <c r="I3" s="1262"/>
      <c r="J3" s="1263"/>
      <c r="K3" s="11"/>
      <c r="M3" s="7"/>
    </row>
    <row r="4" spans="1:16" s="11" customFormat="1" ht="32.25" customHeight="1" thickBot="1" x14ac:dyDescent="0.25">
      <c r="A4" s="18" t="e">
        <f>VLOOKUP($I$3,'DATOS %'!B7:J29,2,FALSE)</f>
        <v>#N/A</v>
      </c>
      <c r="B4" s="212" t="e">
        <f>VLOOKUP($I$3,'DATOS %'!$B$7:$J$29,3,FALSE)</f>
        <v>#N/A</v>
      </c>
      <c r="C4" s="19" t="e">
        <f>VLOOKUP($I$3,'DATOS %'!$B$7:$J$29,8,FALSE)</f>
        <v>#N/A</v>
      </c>
      <c r="D4" s="19" t="e">
        <f>VLOOKUP($I$3,'DATOS %'!$B$7:$J$29,6,FALSE)</f>
        <v>#N/A</v>
      </c>
      <c r="E4" s="212" t="e">
        <f>VLOOKUP($I$3,'DATOS %'!$B$7:$J$29,7,FALSE)</f>
        <v>#N/A</v>
      </c>
      <c r="F4" s="18" t="e">
        <f>VLOOKUP($I$3,'DATOS %'!$B$7:$J$29,4,FALSE)</f>
        <v>#N/A</v>
      </c>
      <c r="G4" s="18" t="e">
        <f>VLOOKUP($I$3,'DATOS %'!$B$7:$J$29,5,FALSE)</f>
        <v>#N/A</v>
      </c>
      <c r="H4" s="19" t="e">
        <f>VLOOKUP($I$3,'DATOS %'!$B$7:$J$29,9,FALSE)</f>
        <v>#N/A</v>
      </c>
      <c r="I4" s="1264"/>
      <c r="J4" s="1265"/>
      <c r="K4" s="8"/>
      <c r="L4" s="20"/>
      <c r="M4" s="20"/>
    </row>
    <row r="5" spans="1:16" s="22" customFormat="1" ht="6.75" customHeight="1" thickBot="1" x14ac:dyDescent="0.25">
      <c r="A5" s="21"/>
      <c r="B5" s="21"/>
      <c r="C5" s="21"/>
      <c r="F5" s="21"/>
      <c r="G5" s="21"/>
      <c r="H5" s="21"/>
      <c r="K5" s="8"/>
    </row>
    <row r="6" spans="1:16" ht="31.5" customHeight="1" thickBot="1" x14ac:dyDescent="0.25">
      <c r="A6" s="1266" t="s">
        <v>19</v>
      </c>
      <c r="B6" s="1267"/>
      <c r="C6" s="1267"/>
      <c r="D6" s="1268"/>
      <c r="E6" s="4"/>
      <c r="F6" s="1266" t="s">
        <v>20</v>
      </c>
      <c r="G6" s="1267"/>
      <c r="H6" s="1267"/>
      <c r="I6" s="1268"/>
      <c r="J6" s="404">
        <f>I3</f>
        <v>0</v>
      </c>
    </row>
    <row r="7" spans="1:16" ht="31.5" customHeight="1" x14ac:dyDescent="0.2">
      <c r="A7" s="23" t="s">
        <v>21</v>
      </c>
      <c r="B7" s="24" t="e">
        <f>VLOOKUP($E$6,'DATOS %'!N11:AA113,2,FALSE)</f>
        <v>#N/A</v>
      </c>
      <c r="C7" s="25" t="s">
        <v>10</v>
      </c>
      <c r="D7" s="26" t="e">
        <f>VLOOKUP($E$6,'DATOS %'!N11:AA113,3,FALSE)</f>
        <v>#N/A</v>
      </c>
      <c r="E7" s="27"/>
      <c r="F7" s="23" t="s">
        <v>21</v>
      </c>
      <c r="G7" s="24" t="e">
        <f>VLOOKUP($J$6,'DATOS %'!B47:I79,2,FALSE)</f>
        <v>#N/A</v>
      </c>
      <c r="H7" s="28" t="s">
        <v>10</v>
      </c>
      <c r="I7" s="26" t="e">
        <f>VLOOKUP($J$6,'DATOS %'!B47:I79,3,FALSE)</f>
        <v>#N/A</v>
      </c>
      <c r="J7" s="29"/>
    </row>
    <row r="8" spans="1:16" ht="31.5" customHeight="1" x14ac:dyDescent="0.2">
      <c r="A8" s="30" t="s">
        <v>22</v>
      </c>
      <c r="B8" s="31" t="e">
        <f>VLOOKUP($E$6,'DATOS %'!N11:AA113,4,FALSE)</f>
        <v>#N/A</v>
      </c>
      <c r="C8" s="32" t="s">
        <v>23</v>
      </c>
      <c r="D8" s="33" t="e">
        <f>VLOOKUP($E$6,'DATOS %'!N11:AA113,5,FALSE)</f>
        <v>#N/A</v>
      </c>
      <c r="E8" s="27"/>
      <c r="F8" s="30" t="s">
        <v>22</v>
      </c>
      <c r="G8" s="31" t="e">
        <f>VLOOKUP($J$6,'DATOS %'!B47:I79,4,FALSE)</f>
        <v>#N/A</v>
      </c>
      <c r="H8" s="32" t="s">
        <v>23</v>
      </c>
      <c r="I8" s="297" t="e">
        <f>VLOOKUP($J$6,'DATOS %'!B47:I79,5,FALSE)</f>
        <v>#N/A</v>
      </c>
      <c r="J8" s="29"/>
    </row>
    <row r="9" spans="1:16" ht="31.5" customHeight="1" x14ac:dyDescent="0.2">
      <c r="A9" s="34" t="s">
        <v>24</v>
      </c>
      <c r="B9" s="31" t="e">
        <f>VLOOKUP($E$6,'DATOS %'!N11:AA113,6,FALSE)</f>
        <v>#N/A</v>
      </c>
      <c r="C9" s="35" t="s">
        <v>15</v>
      </c>
      <c r="D9" s="36" t="e">
        <f>VLOOKUP($E$6,'DATOS %'!N11:AA113,7,FALSE)</f>
        <v>#N/A</v>
      </c>
      <c r="F9" s="1252" t="s">
        <v>62</v>
      </c>
      <c r="G9" s="1253"/>
      <c r="H9" s="31" t="e">
        <f>(VLOOKUP($J$6,'DATOS %'!B47:I79,6,FALSE))/1000</f>
        <v>#N/A</v>
      </c>
      <c r="I9" s="33" t="s">
        <v>1</v>
      </c>
      <c r="J9" s="29"/>
      <c r="K9" s="208"/>
    </row>
    <row r="10" spans="1:16" s="38" customFormat="1" ht="31.5" customHeight="1" x14ac:dyDescent="0.25">
      <c r="A10" s="1252" t="s">
        <v>63</v>
      </c>
      <c r="B10" s="1253"/>
      <c r="C10" s="926" t="e">
        <f>(VLOOKUP($E$6,'DATOS %'!N11:AA113,8,FALSE))/1000</f>
        <v>#N/A</v>
      </c>
      <c r="D10" s="33" t="s">
        <v>1</v>
      </c>
      <c r="F10" s="1252" t="s">
        <v>64</v>
      </c>
      <c r="G10" s="1253"/>
      <c r="H10" s="213" t="e">
        <f>VLOOKUP($J$6,'DATOS %'!B47:I79,7,FALSE)</f>
        <v>#N/A</v>
      </c>
      <c r="I10" s="33" t="s">
        <v>76</v>
      </c>
      <c r="J10" s="39"/>
    </row>
    <row r="11" spans="1:16" s="38" customFormat="1" ht="31.5" customHeight="1" thickBot="1" x14ac:dyDescent="0.3">
      <c r="A11" s="1252" t="s">
        <v>65</v>
      </c>
      <c r="B11" s="1253"/>
      <c r="C11" s="31" t="e">
        <f>VLOOKUP($E$6,'DATOS %'!N11:AA113,9,FALSE)</f>
        <v>#N/A</v>
      </c>
      <c r="D11" s="33" t="s">
        <v>3</v>
      </c>
      <c r="E11" s="40"/>
      <c r="F11" s="1271" t="s">
        <v>66</v>
      </c>
      <c r="G11" s="1272"/>
      <c r="H11" s="41" t="e">
        <f>VLOOKUP($J$6,'DATOS %'!B47:I79,8,FALSE)</f>
        <v>#N/A</v>
      </c>
      <c r="I11" s="45" t="s">
        <v>76</v>
      </c>
      <c r="J11" s="39"/>
    </row>
    <row r="12" spans="1:16" s="38" customFormat="1" ht="31.5" customHeight="1" thickBot="1" x14ac:dyDescent="0.3">
      <c r="A12" s="1252" t="s">
        <v>67</v>
      </c>
      <c r="B12" s="1253"/>
      <c r="C12" s="31" t="e">
        <f>VLOOKUP($E$6,'DATOS %'!N11:AA113,10,FALSE)</f>
        <v>#N/A</v>
      </c>
      <c r="D12" s="33" t="s">
        <v>3</v>
      </c>
      <c r="E12" s="39"/>
      <c r="F12" s="39"/>
      <c r="G12" s="39"/>
      <c r="H12" s="39"/>
    </row>
    <row r="13" spans="1:16" s="38" customFormat="1" ht="31.5" customHeight="1" thickBot="1" x14ac:dyDescent="0.3">
      <c r="A13" s="1252" t="s">
        <v>68</v>
      </c>
      <c r="B13" s="1253"/>
      <c r="C13" s="213" t="e">
        <f>VLOOKUP($E$6,'DATOS %'!N11:AA113,11,FALSE)</f>
        <v>#N/A</v>
      </c>
      <c r="D13" s="33" t="s">
        <v>76</v>
      </c>
      <c r="E13" s="39"/>
      <c r="F13" s="1254" t="s">
        <v>559</v>
      </c>
      <c r="G13" s="1255"/>
      <c r="H13" s="1255"/>
      <c r="I13" s="1256"/>
      <c r="J13" s="5"/>
    </row>
    <row r="14" spans="1:16" s="38" customFormat="1" ht="31.5" customHeight="1" x14ac:dyDescent="0.2">
      <c r="A14" s="1252" t="s">
        <v>305</v>
      </c>
      <c r="B14" s="1253"/>
      <c r="C14" s="31" t="e">
        <f>VLOOKUP($E$6,'DATOS %'!N11:AA113,12,FALSE)</f>
        <v>#N/A</v>
      </c>
      <c r="D14" s="33" t="s">
        <v>76</v>
      </c>
      <c r="E14" s="39"/>
      <c r="F14" s="23" t="s">
        <v>10</v>
      </c>
      <c r="G14" s="24" t="e">
        <f>VLOOKUP($J$13,'DATOS %'!$V$119:$Y$126,2,FALSE)</f>
        <v>#N/A</v>
      </c>
      <c r="H14" s="28" t="s">
        <v>22</v>
      </c>
      <c r="I14" s="24" t="e">
        <f>VLOOKUP($J$13,'DATOS %'!$V$119:$Z$126,3,FALSE)</f>
        <v>#N/A</v>
      </c>
      <c r="J14" s="42"/>
      <c r="K14" s="8"/>
    </row>
    <row r="15" spans="1:16" ht="31.5" customHeight="1" thickBot="1" x14ac:dyDescent="0.25">
      <c r="A15" s="1277" t="s">
        <v>69</v>
      </c>
      <c r="B15" s="1278"/>
      <c r="C15" s="31" t="e">
        <f>VLOOKUP($E$6,'DATOS %'!N11:AA113,13,FALSE)</f>
        <v>#N/A</v>
      </c>
      <c r="D15" s="33" t="s">
        <v>76</v>
      </c>
      <c r="E15" s="29"/>
      <c r="F15" s="43" t="s">
        <v>61</v>
      </c>
      <c r="G15" s="41" t="e">
        <f>VLOOKUP($J$13,'DATOS %'!$V$119:$Y$126,4,FALSE)</f>
        <v>#N/A</v>
      </c>
      <c r="H15" s="41" t="s">
        <v>1</v>
      </c>
      <c r="I15" s="243" t="s">
        <v>210</v>
      </c>
      <c r="J15" s="45" t="e">
        <f>VLOOKUP($J$13,'DATOS %'!$V$119:$Z$126,5,FALSE)</f>
        <v>#N/A</v>
      </c>
      <c r="K15" s="22"/>
    </row>
    <row r="16" spans="1:16" ht="30.95" customHeight="1" thickBot="1" x14ac:dyDescent="0.25">
      <c r="A16" s="1279" t="s">
        <v>210</v>
      </c>
      <c r="B16" s="1280"/>
      <c r="C16" s="1281" t="e">
        <f>VLOOKUP($E$6,'DATOS %'!N11:AA113,14,FALSE)</f>
        <v>#N/A</v>
      </c>
      <c r="D16" s="1282"/>
      <c r="E16" s="29"/>
      <c r="F16" s="8"/>
      <c r="G16" s="8"/>
      <c r="H16" s="8"/>
      <c r="I16" s="8"/>
      <c r="J16" s="8"/>
    </row>
    <row r="17" spans="1:11" s="22" customFormat="1" ht="30.95" customHeight="1" thickBot="1" x14ac:dyDescent="0.25">
      <c r="A17" s="29"/>
      <c r="B17" s="29"/>
      <c r="C17" s="29"/>
      <c r="D17" s="29"/>
      <c r="E17" s="29"/>
      <c r="F17" s="29"/>
      <c r="G17" s="29"/>
      <c r="H17" s="29"/>
      <c r="I17" s="29"/>
      <c r="J17" s="29"/>
      <c r="K17" s="8"/>
    </row>
    <row r="18" spans="1:11" ht="31.5" customHeight="1" thickBot="1" x14ac:dyDescent="0.25">
      <c r="A18" s="1331" t="s">
        <v>26</v>
      </c>
      <c r="B18" s="1332"/>
      <c r="C18" s="1332"/>
      <c r="D18" s="1332"/>
      <c r="E18" s="1332"/>
      <c r="F18" s="1332"/>
      <c r="G18" s="1332"/>
      <c r="H18" s="1332"/>
      <c r="I18" s="1332"/>
      <c r="J18" s="1333"/>
    </row>
    <row r="19" spans="1:11" ht="46.5" customHeight="1" thickBot="1" x14ac:dyDescent="0.25">
      <c r="A19" s="407" t="s">
        <v>10</v>
      </c>
      <c r="B19" s="101" t="e">
        <f>VLOOKUP(J19,'DATOS %'!J174:W180,2,FALSE)</f>
        <v>#N/A</v>
      </c>
      <c r="C19" s="95" t="s">
        <v>7</v>
      </c>
      <c r="D19" s="408" t="e">
        <f>VLOOKUP(J19,'DATOS %'!J174:W180,3,FALSE)</f>
        <v>#N/A</v>
      </c>
      <c r="E19" s="409" t="s">
        <v>24</v>
      </c>
      <c r="F19" s="1286" t="e">
        <f>VLOOKUP(J19,'DATOS %'!J174:W180,5,FALSE)</f>
        <v>#N/A</v>
      </c>
      <c r="G19" s="1287"/>
      <c r="H19" s="95" t="s">
        <v>25</v>
      </c>
      <c r="I19" s="212" t="e">
        <f>VLOOKUP(J19,'DATOS %'!J174:W180,4,FALSE)</f>
        <v>#N/A</v>
      </c>
      <c r="J19" s="1374"/>
    </row>
    <row r="20" spans="1:11" ht="31.5" customHeight="1" thickBot="1" x14ac:dyDescent="0.25">
      <c r="A20" s="1290" t="s">
        <v>316</v>
      </c>
      <c r="B20" s="1291"/>
      <c r="C20" s="94" t="s">
        <v>27</v>
      </c>
      <c r="D20" s="101" t="e">
        <f>VLOOKUP(J19,'DATOS %'!J174:W180,6,FALSE)</f>
        <v>#N/A</v>
      </c>
      <c r="E20" s="1292" t="s">
        <v>307</v>
      </c>
      <c r="F20" s="1293"/>
      <c r="G20" s="101" t="e">
        <f>VLOOKUP(J19,'DATOS %'!J174:W180,7,FALSE)</f>
        <v>#N/A</v>
      </c>
      <c r="H20" s="95" t="s">
        <v>9</v>
      </c>
      <c r="I20" s="214" t="e">
        <f>VLOOKUP(J19,'DATOS %'!J174:W180,8,FALSE)</f>
        <v>#N/A</v>
      </c>
      <c r="J20" s="1289"/>
    </row>
    <row r="21" spans="1:11" s="46" customFormat="1" ht="15" customHeight="1" thickBot="1" x14ac:dyDescent="0.25">
      <c r="A21" s="47"/>
      <c r="B21" s="47"/>
      <c r="C21" s="47"/>
      <c r="D21" s="47"/>
      <c r="E21" s="47"/>
      <c r="F21" s="47"/>
      <c r="G21" s="47"/>
      <c r="H21" s="47"/>
      <c r="I21" s="47"/>
      <c r="J21" s="47"/>
      <c r="K21" s="8"/>
    </row>
    <row r="22" spans="1:11" s="48" customFormat="1" ht="31.5" customHeight="1" thickBot="1" x14ac:dyDescent="0.25">
      <c r="A22" s="1294" t="s">
        <v>28</v>
      </c>
      <c r="B22" s="1295"/>
      <c r="C22" s="1295"/>
      <c r="D22" s="1295"/>
      <c r="E22" s="1295"/>
      <c r="F22" s="1295"/>
      <c r="G22" s="1295"/>
      <c r="H22" s="1295"/>
      <c r="I22" s="1295"/>
      <c r="J22" s="1296"/>
      <c r="K22" s="47"/>
    </row>
    <row r="23" spans="1:11" s="47" customFormat="1" ht="2.25" customHeight="1" thickBot="1" x14ac:dyDescent="0.25">
      <c r="A23" s="49"/>
      <c r="B23" s="50"/>
      <c r="C23" s="50"/>
      <c r="D23" s="50"/>
      <c r="E23" s="50"/>
      <c r="F23" s="50"/>
      <c r="G23" s="50"/>
      <c r="H23" s="50"/>
      <c r="I23" s="50"/>
      <c r="J23" s="51"/>
      <c r="K23" s="48"/>
    </row>
    <row r="24" spans="1:11" s="48" customFormat="1" ht="31.5" customHeight="1" thickBot="1" x14ac:dyDescent="0.25">
      <c r="A24" s="52" t="s">
        <v>29</v>
      </c>
      <c r="B24" s="916"/>
      <c r="C24" s="1297" t="s">
        <v>27</v>
      </c>
      <c r="D24" s="1298"/>
      <c r="E24" s="1"/>
      <c r="F24" s="1299" t="s">
        <v>307</v>
      </c>
      <c r="G24" s="1300"/>
      <c r="H24" s="2"/>
      <c r="I24" s="224" t="s">
        <v>9</v>
      </c>
      <c r="J24" s="215"/>
      <c r="K24" s="46"/>
    </row>
    <row r="25" spans="1:11" s="46" customFormat="1" ht="15" customHeight="1" thickBot="1" x14ac:dyDescent="0.25">
      <c r="A25" s="47"/>
      <c r="B25" s="47"/>
      <c r="C25" s="47"/>
      <c r="D25" s="47"/>
      <c r="E25" s="47"/>
      <c r="F25" s="47"/>
      <c r="G25" s="47"/>
      <c r="H25" s="6"/>
      <c r="I25" s="47"/>
      <c r="K25" s="48"/>
    </row>
    <row r="26" spans="1:11" s="48" customFormat="1" ht="29.25" customHeight="1" thickBot="1" x14ac:dyDescent="0.25">
      <c r="A26" s="115" t="s">
        <v>129</v>
      </c>
      <c r="B26" s="105">
        <v>4</v>
      </c>
      <c r="C26" s="1301" t="s">
        <v>30</v>
      </c>
      <c r="D26" s="1302"/>
      <c r="E26" s="1302"/>
      <c r="F26" s="1303"/>
      <c r="G26" s="1304" t="s">
        <v>211</v>
      </c>
      <c r="H26" s="1305"/>
    </row>
    <row r="27" spans="1:11" s="48" customFormat="1" ht="31.5" customHeight="1" thickBot="1" x14ac:dyDescent="0.25">
      <c r="A27" s="1273" t="s">
        <v>31</v>
      </c>
      <c r="B27" s="1274"/>
      <c r="C27" s="525">
        <v>1</v>
      </c>
      <c r="D27" s="525">
        <v>2</v>
      </c>
      <c r="E27" s="525">
        <v>3</v>
      </c>
      <c r="F27" s="129">
        <v>4</v>
      </c>
      <c r="G27" s="1275" t="e">
        <f>VLOOKUP($H$25,'DATOS %'!$V$161:$AA$165,2,FALSE)</f>
        <v>#N/A</v>
      </c>
      <c r="H27" s="1276"/>
    </row>
    <row r="28" spans="1:11" s="48" customFormat="1" ht="31.5" customHeight="1" x14ac:dyDescent="0.2">
      <c r="A28" s="1310" t="s">
        <v>32</v>
      </c>
      <c r="B28" s="141" t="s">
        <v>0</v>
      </c>
      <c r="C28" s="142"/>
      <c r="D28" s="142"/>
      <c r="E28" s="142"/>
      <c r="F28" s="143"/>
      <c r="G28" s="47"/>
      <c r="H28" s="47"/>
      <c r="I28" s="47"/>
      <c r="J28" s="47"/>
    </row>
    <row r="29" spans="1:11" s="48" customFormat="1" ht="31.5" customHeight="1" x14ac:dyDescent="0.2">
      <c r="A29" s="1311"/>
      <c r="B29" s="104" t="s">
        <v>2</v>
      </c>
      <c r="C29" s="127"/>
      <c r="D29" s="127"/>
      <c r="E29" s="127"/>
      <c r="F29" s="128"/>
      <c r="G29" s="47"/>
      <c r="H29" s="47"/>
      <c r="I29" s="47"/>
      <c r="J29" s="47"/>
    </row>
    <row r="30" spans="1:11" s="48" customFormat="1" ht="31.5" customHeight="1" x14ac:dyDescent="0.2">
      <c r="A30" s="1311"/>
      <c r="B30" s="104" t="s">
        <v>2</v>
      </c>
      <c r="C30" s="127"/>
      <c r="D30" s="127"/>
      <c r="E30" s="127"/>
      <c r="F30" s="128"/>
      <c r="G30" s="47"/>
      <c r="H30" s="47"/>
      <c r="I30" s="47"/>
      <c r="J30" s="47"/>
    </row>
    <row r="31" spans="1:11" s="48" customFormat="1" ht="31.5" customHeight="1" thickBot="1" x14ac:dyDescent="0.25">
      <c r="A31" s="1312"/>
      <c r="B31" s="53" t="s">
        <v>0</v>
      </c>
      <c r="C31" s="144"/>
      <c r="D31" s="144"/>
      <c r="E31" s="144"/>
      <c r="F31" s="145"/>
      <c r="G31" s="47"/>
      <c r="H31" s="47"/>
      <c r="I31" s="47"/>
      <c r="J31" s="47"/>
      <c r="K31" s="46"/>
    </row>
    <row r="32" spans="1:11" s="46" customFormat="1" ht="15" customHeight="1" thickBot="1" x14ac:dyDescent="0.25">
      <c r="A32" s="47"/>
      <c r="B32" s="47"/>
      <c r="C32" s="47"/>
      <c r="D32" s="47"/>
      <c r="E32" s="47"/>
      <c r="F32" s="47"/>
      <c r="G32" s="47"/>
      <c r="H32" s="47"/>
      <c r="I32" s="47"/>
      <c r="J32" s="47"/>
      <c r="K32" s="48"/>
    </row>
    <row r="33" spans="1:11" s="48" customFormat="1" ht="31.5" customHeight="1" thickBot="1" x14ac:dyDescent="0.25">
      <c r="A33" s="54" t="s">
        <v>33</v>
      </c>
      <c r="B33" s="916"/>
      <c r="C33" s="1297" t="s">
        <v>27</v>
      </c>
      <c r="D33" s="1298"/>
      <c r="E33" s="1"/>
      <c r="F33" s="1299" t="s">
        <v>307</v>
      </c>
      <c r="G33" s="1300"/>
      <c r="H33" s="2"/>
      <c r="I33" s="225" t="s">
        <v>9</v>
      </c>
      <c r="J33" s="3"/>
      <c r="K33" s="46"/>
    </row>
    <row r="34" spans="1:11" s="46" customFormat="1" ht="12" customHeight="1" x14ac:dyDescent="0.2">
      <c r="A34" s="55"/>
      <c r="B34" s="55"/>
      <c r="C34" s="55"/>
      <c r="D34" s="55"/>
      <c r="E34" s="55"/>
      <c r="F34" s="55"/>
      <c r="G34" s="55"/>
      <c r="H34" s="55"/>
      <c r="I34" s="55"/>
      <c r="J34" s="55"/>
      <c r="K34" s="48"/>
    </row>
    <row r="35" spans="1:11" s="48" customFormat="1" ht="15" customHeight="1" thickBot="1" x14ac:dyDescent="0.25">
      <c r="A35" s="56"/>
      <c r="B35" s="56"/>
      <c r="C35" s="56"/>
      <c r="D35" s="56"/>
      <c r="E35" s="56"/>
      <c r="F35" s="56"/>
      <c r="G35" s="56"/>
      <c r="H35" s="56"/>
      <c r="I35" s="56"/>
      <c r="J35" s="56"/>
    </row>
    <row r="36" spans="1:11" s="48" customFormat="1" ht="32.25" customHeight="1" thickBot="1" x14ac:dyDescent="0.25">
      <c r="A36" s="1294" t="s">
        <v>34</v>
      </c>
      <c r="B36" s="1295"/>
      <c r="C36" s="1295"/>
      <c r="D36" s="1295"/>
      <c r="E36" s="1295"/>
      <c r="F36" s="1295"/>
      <c r="G36" s="1295"/>
      <c r="H36" s="1295"/>
      <c r="I36" s="1295"/>
      <c r="J36" s="1296"/>
    </row>
    <row r="37" spans="1:11" s="48" customFormat="1" ht="3.75" customHeight="1" thickBot="1" x14ac:dyDescent="0.25">
      <c r="A37" s="55"/>
      <c r="B37" s="47"/>
      <c r="C37" s="47"/>
      <c r="D37" s="47"/>
      <c r="E37" s="47"/>
      <c r="F37" s="47"/>
      <c r="G37" s="47"/>
      <c r="H37" s="47"/>
      <c r="I37" s="47"/>
      <c r="J37" s="55"/>
    </row>
    <row r="38" spans="1:11" s="48" customFormat="1" ht="31.5" customHeight="1" thickBot="1" x14ac:dyDescent="0.25">
      <c r="A38" s="47"/>
      <c r="B38" s="1316" t="s">
        <v>35</v>
      </c>
      <c r="C38" s="1317"/>
      <c r="D38" s="1317"/>
      <c r="E38" s="1317"/>
      <c r="F38" s="1318"/>
      <c r="G38" s="47"/>
      <c r="H38" s="1319" t="s">
        <v>236</v>
      </c>
      <c r="I38" s="1320"/>
      <c r="J38" s="1321"/>
    </row>
    <row r="39" spans="1:11" s="48" customFormat="1" ht="31.5" customHeight="1" thickBot="1" x14ac:dyDescent="0.25">
      <c r="A39" s="47"/>
      <c r="B39" s="57" t="s">
        <v>31</v>
      </c>
      <c r="C39" s="203">
        <v>1</v>
      </c>
      <c r="D39" s="141">
        <v>2</v>
      </c>
      <c r="E39" s="141">
        <v>3</v>
      </c>
      <c r="F39" s="204">
        <v>4</v>
      </c>
      <c r="G39" s="47"/>
      <c r="H39" s="1322"/>
      <c r="I39" s="1323"/>
      <c r="J39" s="1324"/>
    </row>
    <row r="40" spans="1:11" s="48" customFormat="1" ht="31.5" customHeight="1" x14ac:dyDescent="0.2">
      <c r="A40" s="58"/>
      <c r="B40" s="59"/>
      <c r="C40" s="121" t="e">
        <f>+AVERAGE(C28,C31)</f>
        <v>#DIV/0!</v>
      </c>
      <c r="D40" s="122" t="e">
        <f>+AVERAGE(D28,D31)</f>
        <v>#DIV/0!</v>
      </c>
      <c r="E40" s="122" t="e">
        <f>+AVERAGE(E28,E31)</f>
        <v>#DIV/0!</v>
      </c>
      <c r="F40" s="205" t="e">
        <f>+AVERAGE(F28,F31)</f>
        <v>#DIV/0!</v>
      </c>
      <c r="G40" s="47"/>
      <c r="H40" s="1325"/>
      <c r="I40" s="1326"/>
      <c r="J40" s="1327"/>
    </row>
    <row r="41" spans="1:11" s="48" customFormat="1" ht="31.5" customHeight="1" x14ac:dyDescent="0.2">
      <c r="A41" s="58"/>
      <c r="B41" s="60"/>
      <c r="C41" s="123" t="e">
        <f>+AVERAGE(C29:C30)</f>
        <v>#DIV/0!</v>
      </c>
      <c r="D41" s="61" t="e">
        <f>+AVERAGE(D29:D30)</f>
        <v>#DIV/0!</v>
      </c>
      <c r="E41" s="61" t="e">
        <f>+AVERAGE(E29:E30)</f>
        <v>#DIV/0!</v>
      </c>
      <c r="F41" s="206" t="e">
        <f>+AVERAGE(F29:F30)</f>
        <v>#DIV/0!</v>
      </c>
      <c r="G41" s="47"/>
      <c r="H41" s="1325"/>
      <c r="I41" s="1326"/>
      <c r="J41" s="1327"/>
    </row>
    <row r="42" spans="1:11" s="48" customFormat="1" ht="31.5" customHeight="1" thickBot="1" x14ac:dyDescent="0.25">
      <c r="A42" s="58"/>
      <c r="B42" s="62"/>
      <c r="C42" s="124" t="e">
        <f>+C41-C40</f>
        <v>#DIV/0!</v>
      </c>
      <c r="D42" s="125" t="e">
        <f>+D41-D40</f>
        <v>#DIV/0!</v>
      </c>
      <c r="E42" s="125" t="e">
        <f>+E41-E40</f>
        <v>#DIV/0!</v>
      </c>
      <c r="F42" s="207" t="e">
        <f>+F41-F40</f>
        <v>#DIV/0!</v>
      </c>
      <c r="G42" s="47"/>
      <c r="H42" s="1328"/>
      <c r="I42" s="1329"/>
      <c r="J42" s="1330"/>
    </row>
    <row r="43" spans="1:11" s="48" customFormat="1" ht="31.5" customHeight="1" thickBot="1" x14ac:dyDescent="0.25">
      <c r="A43" s="47"/>
      <c r="B43" s="63" t="s">
        <v>36</v>
      </c>
      <c r="C43" s="286" t="e">
        <f>+AVERAGE(C42:F42)</f>
        <v>#DIV/0!</v>
      </c>
      <c r="D43" s="47"/>
      <c r="E43" s="47"/>
      <c r="F43" s="47"/>
      <c r="G43" s="47"/>
      <c r="H43" s="47"/>
      <c r="I43" s="47"/>
      <c r="J43" s="47"/>
    </row>
    <row r="44" spans="1:11" s="48" customFormat="1" ht="31.5" customHeight="1" thickBot="1" x14ac:dyDescent="0.25">
      <c r="A44" s="47"/>
      <c r="B44" s="64" t="s">
        <v>77</v>
      </c>
      <c r="C44" s="287" t="e">
        <f>+STDEV(C42:F42)</f>
        <v>#DIV/0!</v>
      </c>
      <c r="D44" s="47"/>
      <c r="E44" s="47"/>
      <c r="F44" s="47"/>
      <c r="G44" s="47"/>
      <c r="H44" s="47"/>
      <c r="I44" s="47"/>
      <c r="J44" s="47"/>
      <c r="K44" s="46"/>
    </row>
    <row r="45" spans="1:11" s="46" customFormat="1" ht="15" customHeight="1" thickBot="1" x14ac:dyDescent="0.25">
      <c r="A45" s="47"/>
      <c r="B45" s="47"/>
      <c r="C45" s="47"/>
      <c r="D45" s="47"/>
      <c r="E45" s="47"/>
      <c r="F45" s="47"/>
      <c r="G45" s="65"/>
      <c r="H45" s="47"/>
      <c r="I45" s="47"/>
      <c r="J45" s="47"/>
      <c r="K45" s="48"/>
    </row>
    <row r="46" spans="1:11" s="48" customFormat="1" ht="31.5" customHeight="1" thickBot="1" x14ac:dyDescent="0.25">
      <c r="A46" s="1331" t="s">
        <v>37</v>
      </c>
      <c r="B46" s="1332"/>
      <c r="C46" s="1284"/>
      <c r="D46" s="1284"/>
      <c r="E46" s="1284"/>
      <c r="F46" s="1332"/>
      <c r="G46" s="1332"/>
      <c r="H46" s="1332"/>
      <c r="I46" s="1332"/>
      <c r="J46" s="1333"/>
    </row>
    <row r="47" spans="1:11" s="48" customFormat="1" ht="31.5" customHeight="1" thickBot="1" x14ac:dyDescent="0.25">
      <c r="A47" s="1375" t="s">
        <v>321</v>
      </c>
      <c r="B47" s="1376"/>
      <c r="C47" s="1338" t="s">
        <v>38</v>
      </c>
      <c r="D47" s="1339"/>
      <c r="E47" s="1340"/>
      <c r="F47" s="47"/>
      <c r="G47" s="47"/>
      <c r="H47" s="47"/>
      <c r="I47" s="47"/>
      <c r="J47" s="47"/>
    </row>
    <row r="48" spans="1:11" s="48" customFormat="1" ht="36.75" customHeight="1" thickBot="1" x14ac:dyDescent="0.25">
      <c r="A48" s="1377"/>
      <c r="B48" s="1378"/>
      <c r="C48" s="82" t="s">
        <v>27</v>
      </c>
      <c r="D48" s="93" t="s">
        <v>307</v>
      </c>
      <c r="E48" s="83" t="s">
        <v>9</v>
      </c>
      <c r="G48" s="1341" t="s">
        <v>70</v>
      </c>
      <c r="H48" s="1342"/>
      <c r="I48" s="102" t="e">
        <f>+(0.34848*E50-0.009*D50*EXP(0.061*C50))/(273.15+C50)</f>
        <v>#DIV/0!</v>
      </c>
      <c r="J48" s="103" t="s">
        <v>73</v>
      </c>
    </row>
    <row r="49" spans="1:21" s="48" customFormat="1" ht="33" customHeight="1" thickBot="1" x14ac:dyDescent="0.25">
      <c r="A49" s="1306" t="s">
        <v>39</v>
      </c>
      <c r="B49" s="1307"/>
      <c r="C49" s="90" t="e">
        <f>+AVERAGE(E33,E24)</f>
        <v>#DIV/0!</v>
      </c>
      <c r="D49" s="91" t="e">
        <f>+AVERAGE(H33,H24)</f>
        <v>#DIV/0!</v>
      </c>
      <c r="E49" s="92" t="e">
        <f>+AVERAGE(J33,J24)</f>
        <v>#DIV/0!</v>
      </c>
      <c r="G49" s="1308" t="s">
        <v>71</v>
      </c>
      <c r="H49" s="1309"/>
      <c r="I49" s="422" t="e">
        <f>I48*((0.0001)^2+(0.001*I20/2)^2+(-0.0034*D20/2)^2+(-0.01*G20/2)^2)^0.5</f>
        <v>#DIV/0!</v>
      </c>
      <c r="J49" s="138" t="s">
        <v>73</v>
      </c>
    </row>
    <row r="50" spans="1:21" s="48" customFormat="1" ht="36.75" customHeight="1" thickBot="1" x14ac:dyDescent="0.25">
      <c r="A50" s="1343" t="s">
        <v>322</v>
      </c>
      <c r="B50" s="1344"/>
      <c r="C50" s="84" t="e">
        <f>C49+(VLOOKUP(J19,'DATOS %'!J174:W180,9,FALSE))*C49+(VLOOKUP(J19,'DATOS %'!J174:W180,10,FALSE))</f>
        <v>#DIV/0!</v>
      </c>
      <c r="D50" s="85" t="e">
        <f>D49+(VLOOKUP(J19,'DATOS %'!J174:W180,11,FALSE))*D49+(VLOOKUP(J19,'DATOS %'!J174:W180,12,FALSE))</f>
        <v>#DIV/0!</v>
      </c>
      <c r="E50" s="86" t="e">
        <f>E49+(VLOOKUP(J19,'DATOS %'!J174:W180,13,FALSE))*E49+(VLOOKUP(J19,'DATOS %'!J174:W180,14,FALSE))</f>
        <v>#DIV/0!</v>
      </c>
      <c r="G50" s="1341" t="s">
        <v>72</v>
      </c>
      <c r="H50" s="1342"/>
      <c r="I50" s="67">
        <v>1.2</v>
      </c>
      <c r="J50" s="66" t="s">
        <v>73</v>
      </c>
    </row>
    <row r="51" spans="1:21" s="46" customFormat="1" ht="15" customHeight="1" thickBot="1" x14ac:dyDescent="0.25">
      <c r="A51" s="47"/>
      <c r="B51" s="47"/>
      <c r="C51" s="47"/>
      <c r="D51" s="47"/>
      <c r="E51" s="47"/>
      <c r="F51" s="47"/>
      <c r="G51" s="47"/>
      <c r="H51" s="47"/>
      <c r="I51" s="47"/>
      <c r="J51" s="47"/>
      <c r="K51" s="48"/>
    </row>
    <row r="52" spans="1:21" s="48" customFormat="1" ht="31.5" customHeight="1" thickBot="1" x14ac:dyDescent="0.25">
      <c r="A52" s="1331" t="s">
        <v>40</v>
      </c>
      <c r="B52" s="1332"/>
      <c r="C52" s="1332"/>
      <c r="D52" s="1332"/>
      <c r="E52" s="1332"/>
      <c r="F52" s="1332"/>
      <c r="G52" s="1332"/>
      <c r="H52" s="1332"/>
      <c r="I52" s="1332"/>
      <c r="J52" s="1333"/>
    </row>
    <row r="53" spans="1:21" s="48" customFormat="1" ht="31.5" customHeight="1" x14ac:dyDescent="0.35">
      <c r="A53" s="47"/>
      <c r="B53" s="68" t="s">
        <v>41</v>
      </c>
      <c r="C53" s="69"/>
      <c r="D53" s="1345" t="s">
        <v>74</v>
      </c>
      <c r="E53" s="1345"/>
      <c r="F53" s="70" t="s">
        <v>42</v>
      </c>
      <c r="G53" s="71" t="s">
        <v>43</v>
      </c>
      <c r="H53" s="1346" t="s">
        <v>44</v>
      </c>
      <c r="I53" s="1347"/>
      <c r="J53" s="47"/>
    </row>
    <row r="54" spans="1:21" s="48" customFormat="1" ht="31.5" customHeight="1" thickBot="1" x14ac:dyDescent="0.25">
      <c r="A54" s="47"/>
      <c r="B54" s="72" t="e">
        <f>+C43</f>
        <v>#DIV/0!</v>
      </c>
      <c r="C54" s="73" t="s">
        <v>1</v>
      </c>
      <c r="D54" s="74" t="e">
        <f>+C10+C11/1000</f>
        <v>#N/A</v>
      </c>
      <c r="E54" s="73" t="s">
        <v>1</v>
      </c>
      <c r="F54" s="939" t="e">
        <f>+(I48-I50)*(1/H10-1/C13)</f>
        <v>#DIV/0!</v>
      </c>
      <c r="G54" s="75"/>
      <c r="H54" s="938" t="e">
        <f>+(B54+D54*F54)*1000</f>
        <v>#DIV/0!</v>
      </c>
      <c r="I54" s="66" t="s">
        <v>3</v>
      </c>
      <c r="J54" s="47"/>
      <c r="K54" s="46"/>
    </row>
    <row r="55" spans="1:21" s="46" customFormat="1" ht="15" customHeight="1" x14ac:dyDescent="0.2">
      <c r="A55" s="47"/>
      <c r="B55" s="47"/>
      <c r="C55" s="47"/>
      <c r="D55" s="47"/>
      <c r="E55" s="47"/>
      <c r="F55" s="47"/>
      <c r="G55" s="47"/>
      <c r="H55" s="47"/>
      <c r="I55" s="47"/>
      <c r="J55" s="47"/>
      <c r="K55" s="48"/>
    </row>
    <row r="56" spans="1:21" s="48" customFormat="1" ht="31.5" customHeight="1" x14ac:dyDescent="0.2">
      <c r="A56" s="1348" t="s">
        <v>45</v>
      </c>
      <c r="B56" s="1349"/>
      <c r="C56" s="1349"/>
      <c r="D56" s="1349"/>
      <c r="E56" s="1349"/>
      <c r="F56" s="1349"/>
      <c r="G56" s="1349"/>
      <c r="H56" s="1349"/>
      <c r="I56" s="1349"/>
      <c r="J56" s="1349"/>
      <c r="K56" s="46"/>
    </row>
    <row r="57" spans="1:21" s="46" customFormat="1" ht="15" customHeight="1" thickBot="1" x14ac:dyDescent="0.25">
      <c r="A57" s="47"/>
      <c r="B57" s="47"/>
      <c r="C57" s="47"/>
      <c r="D57" s="47"/>
      <c r="E57" s="47"/>
      <c r="K57" s="48"/>
    </row>
    <row r="58" spans="1:21" s="48" customFormat="1" ht="31.5" customHeight="1" thickBot="1" x14ac:dyDescent="0.25">
      <c r="A58" s="1350" t="s">
        <v>38</v>
      </c>
      <c r="B58" s="1351"/>
      <c r="C58" s="1352" t="s">
        <v>46</v>
      </c>
      <c r="D58" s="1353"/>
      <c r="E58" s="1354" t="s">
        <v>238</v>
      </c>
      <c r="F58" s="1379"/>
      <c r="G58" s="1061" t="s">
        <v>553</v>
      </c>
      <c r="J58" s="114"/>
      <c r="L58" s="46"/>
      <c r="Q58" s="47"/>
      <c r="R58" s="47"/>
      <c r="S58" s="47"/>
      <c r="T58" s="47"/>
      <c r="U58" s="47"/>
    </row>
    <row r="59" spans="1:21" s="48" customFormat="1" ht="57.95" customHeight="1" thickBot="1" x14ac:dyDescent="0.25">
      <c r="A59" s="1024" t="s">
        <v>47</v>
      </c>
      <c r="B59" s="1025"/>
      <c r="C59" s="1026" t="e">
        <f>+C44/B26^0.5*1000</f>
        <v>#DIV/0!</v>
      </c>
      <c r="D59" s="1017" t="s">
        <v>3</v>
      </c>
      <c r="E59" s="1027" t="s">
        <v>240</v>
      </c>
      <c r="F59" s="139">
        <f>$B$26-1</f>
        <v>3</v>
      </c>
      <c r="G59" s="1111" t="e">
        <f>(C59/$G$70)^2</f>
        <v>#DIV/0!</v>
      </c>
      <c r="H59" s="47"/>
      <c r="K59" s="156">
        <v>0.3</v>
      </c>
      <c r="L59" s="157">
        <v>1.65</v>
      </c>
      <c r="M59" s="113"/>
    </row>
    <row r="60" spans="1:21" s="48" customFormat="1" ht="57.95" customHeight="1" thickBot="1" x14ac:dyDescent="0.25">
      <c r="A60" s="1019" t="s">
        <v>343</v>
      </c>
      <c r="B60" s="1020" t="s">
        <v>48</v>
      </c>
      <c r="C60" s="1021" t="e">
        <f>+C12/2</f>
        <v>#N/A</v>
      </c>
      <c r="D60" s="1022" t="s">
        <v>3</v>
      </c>
      <c r="E60" s="1023" t="s">
        <v>239</v>
      </c>
      <c r="F60" s="146" t="s">
        <v>265</v>
      </c>
      <c r="G60" s="1112"/>
      <c r="H60" s="1380" t="s">
        <v>241</v>
      </c>
      <c r="I60" s="1356"/>
      <c r="J60" s="1356"/>
      <c r="K60" s="1356"/>
      <c r="L60" s="1356"/>
      <c r="M60" s="1357"/>
    </row>
    <row r="61" spans="1:21" s="48" customFormat="1" ht="57.95" customHeight="1" thickBot="1" x14ac:dyDescent="0.25">
      <c r="A61" s="1028" t="s">
        <v>344</v>
      </c>
      <c r="B61" s="1029"/>
      <c r="C61" s="1030" t="e">
        <f>+C12/3^0.5</f>
        <v>#N/A</v>
      </c>
      <c r="D61" s="1031" t="s">
        <v>3</v>
      </c>
      <c r="E61" s="1032" t="s">
        <v>239</v>
      </c>
      <c r="F61" s="147" t="s">
        <v>265</v>
      </c>
      <c r="G61" s="1112"/>
      <c r="H61" s="132" t="s">
        <v>243</v>
      </c>
      <c r="I61" s="1016" t="e">
        <f>MAX(C59:C62,C66:C67,C68)</f>
        <v>#DIV/0!</v>
      </c>
      <c r="J61" s="151" t="e">
        <f>IF((I62)&lt;=(K59),"1,65","2")</f>
        <v>#DIV/0!</v>
      </c>
      <c r="K61" s="152" t="s">
        <v>242</v>
      </c>
      <c r="L61" s="153" t="s">
        <v>237</v>
      </c>
      <c r="M61" s="360" t="s">
        <v>328</v>
      </c>
    </row>
    <row r="62" spans="1:21" s="48" customFormat="1" ht="57.95" customHeight="1" thickBot="1" x14ac:dyDescent="0.3">
      <c r="A62" s="1024" t="s">
        <v>49</v>
      </c>
      <c r="B62" s="1035"/>
      <c r="C62" s="1036" t="e">
        <f>+SQRT(SUMSQ(C60:C61))</f>
        <v>#N/A</v>
      </c>
      <c r="D62" s="1017" t="s">
        <v>3</v>
      </c>
      <c r="E62" s="1037" t="s">
        <v>240</v>
      </c>
      <c r="F62" s="139">
        <v>200</v>
      </c>
      <c r="G62" s="1112" t="e">
        <f t="shared" ref="G62:G68" si="0">(C62/$G$70)^2</f>
        <v>#N/A</v>
      </c>
      <c r="H62" s="133" t="s">
        <v>244</v>
      </c>
      <c r="I62" s="150" t="e">
        <f>SQRT((C59)^2+(C66)^2+(C67)^2+(C68)^2)/I61</f>
        <v>#DIV/0!</v>
      </c>
      <c r="J62" s="126"/>
      <c r="K62" s="154" t="s">
        <v>242</v>
      </c>
      <c r="L62" s="155" t="s">
        <v>252</v>
      </c>
      <c r="M62" s="361" t="s">
        <v>329</v>
      </c>
    </row>
    <row r="63" spans="1:21" s="48" customFormat="1" ht="57.95" customHeight="1" x14ac:dyDescent="0.2">
      <c r="A63" s="1019" t="s">
        <v>345</v>
      </c>
      <c r="B63" s="1020"/>
      <c r="C63" s="1033" t="e">
        <f>+I49</f>
        <v>#DIV/0!</v>
      </c>
      <c r="D63" s="1021" t="s">
        <v>73</v>
      </c>
      <c r="E63" s="1034" t="s">
        <v>239</v>
      </c>
      <c r="F63" s="146" t="s">
        <v>265</v>
      </c>
      <c r="G63" s="1112"/>
      <c r="L63" s="46"/>
      <c r="T63" s="46"/>
      <c r="U63" s="46"/>
    </row>
    <row r="64" spans="1:21" s="48" customFormat="1" ht="57.95" customHeight="1" x14ac:dyDescent="0.2">
      <c r="A64" s="426" t="s">
        <v>50</v>
      </c>
      <c r="B64" s="1018"/>
      <c r="C64" s="425" t="e">
        <f>+H11/2</f>
        <v>#N/A</v>
      </c>
      <c r="D64" s="424" t="s">
        <v>73</v>
      </c>
      <c r="E64" s="423" t="s">
        <v>239</v>
      </c>
      <c r="F64" s="148" t="s">
        <v>265</v>
      </c>
      <c r="G64" s="1112"/>
      <c r="H64" s="130"/>
      <c r="J64" s="130"/>
      <c r="K64" s="130"/>
      <c r="L64" s="130"/>
      <c r="M64" s="130"/>
      <c r="Q64" s="47"/>
      <c r="R64" s="47"/>
      <c r="S64" s="47"/>
      <c r="T64" s="47"/>
      <c r="U64" s="47"/>
    </row>
    <row r="65" spans="1:21" s="48" customFormat="1" ht="57.95" customHeight="1" thickBot="1" x14ac:dyDescent="0.25">
      <c r="A65" s="1028" t="s">
        <v>346</v>
      </c>
      <c r="B65" s="1038"/>
      <c r="C65" s="1039" t="e">
        <f>+C14/2</f>
        <v>#N/A</v>
      </c>
      <c r="D65" s="1031" t="s">
        <v>73</v>
      </c>
      <c r="E65" s="1040" t="s">
        <v>239</v>
      </c>
      <c r="F65" s="147" t="s">
        <v>265</v>
      </c>
      <c r="G65" s="1112"/>
      <c r="H65" s="130"/>
      <c r="I65" s="130"/>
      <c r="J65" s="130"/>
      <c r="K65" s="130"/>
      <c r="L65" s="130"/>
      <c r="M65" s="130"/>
      <c r="Q65" s="46"/>
      <c r="R65" s="46"/>
      <c r="S65" s="46"/>
      <c r="T65" s="46"/>
      <c r="U65" s="46"/>
    </row>
    <row r="66" spans="1:21" s="48" customFormat="1" ht="57.95" customHeight="1" thickBot="1" x14ac:dyDescent="0.3">
      <c r="A66" s="1024" t="s">
        <v>347</v>
      </c>
      <c r="B66" s="1035"/>
      <c r="C66" s="1036" t="e">
        <f>+SQRT(ABS(((C10/1000+C11/1000000)*(C13-H10)/(C13*H10)*C63)^2+((C10/1000+C11/1000000)*(I48-I50))^2*C64^2/H10^4+(C10/1000+C11/1000000)^2*(I48-I50)*((I48-I50)-2*(C15-I50))*C65^2/C13^4))*1000000</f>
        <v>#N/A</v>
      </c>
      <c r="D66" s="1051" t="s">
        <v>3</v>
      </c>
      <c r="E66" s="1037" t="s">
        <v>240</v>
      </c>
      <c r="F66" s="139">
        <v>200</v>
      </c>
      <c r="G66" s="1112" t="e">
        <f t="shared" si="0"/>
        <v>#N/A</v>
      </c>
      <c r="H66" s="130"/>
      <c r="I66" s="1093" t="s">
        <v>554</v>
      </c>
      <c r="J66" s="1095" t="s">
        <v>556</v>
      </c>
      <c r="K66" s="1094" t="s">
        <v>555</v>
      </c>
      <c r="L66" s="130"/>
      <c r="M66" s="130"/>
      <c r="Q66" s="47"/>
      <c r="R66" s="47"/>
      <c r="S66" s="47"/>
      <c r="T66" s="47"/>
      <c r="U66" s="47"/>
    </row>
    <row r="67" spans="1:21" s="48" customFormat="1" ht="57.95" customHeight="1" thickBot="1" x14ac:dyDescent="0.3">
      <c r="A67" s="1047" t="s">
        <v>52</v>
      </c>
      <c r="B67" s="1048"/>
      <c r="C67" s="1049" t="e">
        <f>+(G15/2/3^0.5)*2^0.5*1000</f>
        <v>#N/A</v>
      </c>
      <c r="D67" s="1044" t="s">
        <v>3</v>
      </c>
      <c r="E67" s="1045" t="s">
        <v>239</v>
      </c>
      <c r="F67" s="1050">
        <v>200</v>
      </c>
      <c r="G67" s="1112" t="e">
        <f t="shared" si="0"/>
        <v>#N/A</v>
      </c>
      <c r="H67" s="130"/>
      <c r="I67" s="1096" t="e">
        <f>G70^4/((C59^4/F59)+(C62^4/F62)+(C66^4/F66)+(C67^4/F67)+(C68^4/F68))</f>
        <v>#DIV/0!</v>
      </c>
      <c r="J67" s="1097" t="e">
        <f>TINV(0.05,I67)</f>
        <v>#DIV/0!</v>
      </c>
      <c r="K67" s="1098" t="e">
        <f>1-TDIST(J67,I67,2)</f>
        <v>#DIV/0!</v>
      </c>
      <c r="L67" s="130"/>
      <c r="M67" s="130"/>
    </row>
    <row r="68" spans="1:21" s="46" customFormat="1" ht="65.25" customHeight="1" thickBot="1" x14ac:dyDescent="0.3">
      <c r="A68" s="1041" t="s">
        <v>552</v>
      </c>
      <c r="B68" s="1042"/>
      <c r="C68" s="1043">
        <f>0.01/SQRT(45)</f>
        <v>1.4907119849998597E-3</v>
      </c>
      <c r="D68" s="1044" t="s">
        <v>3</v>
      </c>
      <c r="E68" s="1045" t="s">
        <v>240</v>
      </c>
      <c r="F68" s="1046">
        <v>50</v>
      </c>
      <c r="G68" s="1113" t="e">
        <f t="shared" si="0"/>
        <v>#DIV/0!</v>
      </c>
      <c r="H68" s="130"/>
      <c r="I68" s="130"/>
      <c r="J68" s="130"/>
      <c r="K68" s="130"/>
      <c r="L68" s="130"/>
      <c r="M68" s="130"/>
      <c r="S68" s="48"/>
      <c r="T68" s="48"/>
      <c r="U68" s="48"/>
    </row>
    <row r="69" spans="1:21" s="46" customFormat="1" ht="65.25" customHeight="1" thickBot="1" x14ac:dyDescent="0.25">
      <c r="A69" s="130"/>
      <c r="B69" s="130"/>
      <c r="C69" s="130"/>
      <c r="D69" s="130"/>
      <c r="E69" s="130"/>
      <c r="F69" s="130"/>
      <c r="G69" s="1114" t="e">
        <f>SUM(G59,G62,G66,G67,G68)</f>
        <v>#DIV/0!</v>
      </c>
      <c r="H69" s="130"/>
      <c r="I69" s="130"/>
      <c r="J69" s="130"/>
      <c r="K69" s="130"/>
      <c r="L69" s="130"/>
      <c r="M69" s="130"/>
      <c r="S69" s="48"/>
      <c r="T69" s="48"/>
      <c r="U69" s="48"/>
    </row>
    <row r="70" spans="1:21" s="106" customFormat="1" ht="51.75" customHeight="1" thickBot="1" x14ac:dyDescent="0.3">
      <c r="D70" s="1306" t="s">
        <v>51</v>
      </c>
      <c r="E70" s="1307"/>
      <c r="F70" s="134"/>
      <c r="G70" s="140" t="e">
        <f>+SQRT(SUMSQ(C59,C62,C66,C67,C68))</f>
        <v>#DIV/0!</v>
      </c>
      <c r="H70" s="136" t="s">
        <v>3</v>
      </c>
      <c r="K70" s="130"/>
      <c r="L70" s="130"/>
      <c r="M70" s="130"/>
      <c r="S70" s="48"/>
      <c r="T70" s="48"/>
      <c r="U70" s="48"/>
    </row>
    <row r="71" spans="1:21" s="106" customFormat="1" ht="35.1" customHeight="1" thickBot="1" x14ac:dyDescent="0.25">
      <c r="D71" s="1306" t="s">
        <v>53</v>
      </c>
      <c r="E71" s="1307"/>
      <c r="F71" s="135"/>
      <c r="G71" s="140" t="e">
        <f>+G70*2</f>
        <v>#DIV/0!</v>
      </c>
      <c r="H71" s="137" t="s">
        <v>3</v>
      </c>
      <c r="K71" s="110"/>
      <c r="L71" s="107"/>
      <c r="O71" s="48"/>
      <c r="P71" s="48"/>
      <c r="Q71" s="48"/>
      <c r="R71" s="48"/>
      <c r="S71" s="48"/>
      <c r="T71" s="48"/>
      <c r="U71" s="48"/>
    </row>
    <row r="72" spans="1:21" s="106" customFormat="1" ht="33.75" customHeight="1" thickBot="1" x14ac:dyDescent="4.45">
      <c r="B72" s="1313" t="s">
        <v>54</v>
      </c>
      <c r="C72" s="1314"/>
      <c r="D72" s="1314"/>
      <c r="E72" s="1314"/>
      <c r="F72" s="1314"/>
      <c r="G72" s="1314"/>
      <c r="H72" s="1314"/>
      <c r="I72" s="1314"/>
      <c r="J72" s="1314"/>
      <c r="K72" s="1315"/>
      <c r="L72" s="117"/>
      <c r="O72" s="48"/>
      <c r="P72" s="48"/>
      <c r="Q72" s="48"/>
      <c r="R72" s="48"/>
      <c r="S72" s="48"/>
      <c r="T72" s="48"/>
      <c r="U72" s="48"/>
    </row>
    <row r="73" spans="1:21" s="106" customFormat="1" ht="35.1" customHeight="1" thickBot="1" x14ac:dyDescent="0.25">
      <c r="B73" s="1368" t="s">
        <v>255</v>
      </c>
      <c r="C73" s="1369"/>
      <c r="D73" s="1369"/>
      <c r="E73" s="1370"/>
      <c r="F73" s="79"/>
      <c r="G73" s="80"/>
      <c r="H73" s="1371"/>
      <c r="I73" s="1372"/>
      <c r="J73" s="1372"/>
      <c r="K73" s="1373"/>
      <c r="O73" s="48"/>
      <c r="P73" s="48"/>
      <c r="Q73" s="48"/>
      <c r="R73" s="48"/>
      <c r="S73" s="48"/>
      <c r="T73" s="48"/>
      <c r="U73" s="48"/>
    </row>
    <row r="74" spans="1:21" s="106" customFormat="1" ht="40.5" customHeight="1" x14ac:dyDescent="0.2">
      <c r="B74" s="118"/>
      <c r="C74" s="362" t="s">
        <v>348</v>
      </c>
      <c r="D74" s="119" t="s">
        <v>253</v>
      </c>
      <c r="E74" s="120"/>
      <c r="F74" s="1358"/>
      <c r="G74" s="1358"/>
      <c r="H74" s="1359" t="s">
        <v>266</v>
      </c>
      <c r="I74" s="1381" t="s">
        <v>254</v>
      </c>
      <c r="J74" s="1381"/>
      <c r="K74" s="1382"/>
      <c r="O74" s="48"/>
      <c r="P74" s="48"/>
      <c r="Q74" s="48"/>
      <c r="R74" s="48"/>
      <c r="S74" s="48"/>
      <c r="T74" s="48"/>
      <c r="U74" s="48"/>
    </row>
    <row r="75" spans="1:21" s="106" customFormat="1" ht="35.1" customHeight="1" x14ac:dyDescent="0.2">
      <c r="B75" s="927" t="e">
        <f>C10</f>
        <v>#N/A</v>
      </c>
      <c r="C75" s="77" t="e">
        <f>C11</f>
        <v>#N/A</v>
      </c>
      <c r="D75" s="78" t="e">
        <f>H54</f>
        <v>#DIV/0!</v>
      </c>
      <c r="E75" s="940" t="e">
        <f>B75+(C75/1000)+(D75/1000)</f>
        <v>#N/A</v>
      </c>
      <c r="F75" s="264" t="e">
        <f>E75*1000-B75*1000</f>
        <v>#N/A</v>
      </c>
      <c r="G75" s="61"/>
      <c r="H75" s="1360"/>
      <c r="I75" s="288" t="e">
        <f>G71</f>
        <v>#DIV/0!</v>
      </c>
      <c r="J75" s="1364"/>
      <c r="K75" s="1365"/>
      <c r="O75" s="48"/>
      <c r="P75" s="48"/>
      <c r="Q75" s="48"/>
      <c r="R75" s="48"/>
      <c r="S75" s="48"/>
      <c r="T75" s="48"/>
      <c r="U75" s="48"/>
    </row>
    <row r="76" spans="1:21" s="106" customFormat="1" ht="35.1" customHeight="1" thickBot="1" x14ac:dyDescent="0.25">
      <c r="B76" s="928" t="e">
        <f>B75</f>
        <v>#N/A</v>
      </c>
      <c r="C76" s="88" t="e">
        <f>C75</f>
        <v>#N/A</v>
      </c>
      <c r="D76" s="88" t="e">
        <f>D75</f>
        <v>#DIV/0!</v>
      </c>
      <c r="E76" s="262" t="e">
        <f>B76+(C76/1000)+(D76/1000)</f>
        <v>#N/A</v>
      </c>
      <c r="F76" s="227" t="e">
        <f>F75/1000</f>
        <v>#N/A</v>
      </c>
      <c r="G76" s="89"/>
      <c r="H76" s="1361"/>
      <c r="I76" s="226" t="e">
        <f>I75/1000</f>
        <v>#DIV/0!</v>
      </c>
      <c r="J76" s="1366"/>
      <c r="K76" s="1367"/>
      <c r="O76" s="48"/>
      <c r="P76" s="48"/>
      <c r="Q76" s="48"/>
      <c r="R76" s="48"/>
      <c r="S76" s="48"/>
      <c r="T76" s="48"/>
      <c r="U76" s="48"/>
    </row>
    <row r="77" spans="1:21" s="106" customFormat="1" ht="35.1" customHeight="1" x14ac:dyDescent="0.2">
      <c r="G77" s="47"/>
      <c r="H77" s="47"/>
      <c r="I77" s="47"/>
      <c r="J77" s="47"/>
      <c r="O77" s="48"/>
      <c r="P77" s="48"/>
      <c r="Q77" s="48"/>
      <c r="R77" s="48"/>
      <c r="S77" s="48"/>
      <c r="T77" s="48"/>
      <c r="U77" s="48"/>
    </row>
    <row r="78" spans="1:21" s="106" customFormat="1" ht="35.1" customHeight="1" x14ac:dyDescent="0.2">
      <c r="G78" s="47"/>
      <c r="H78" s="47"/>
      <c r="I78" s="47"/>
      <c r="J78" s="47"/>
      <c r="O78" s="48"/>
      <c r="P78" s="48"/>
      <c r="Q78" s="48"/>
      <c r="R78" s="48"/>
      <c r="S78" s="48"/>
      <c r="T78" s="48"/>
      <c r="U78" s="48"/>
    </row>
    <row r="79" spans="1:21" s="106" customFormat="1" ht="35.1" customHeight="1" x14ac:dyDescent="0.2">
      <c r="G79" s="47"/>
      <c r="H79" s="47"/>
      <c r="I79" s="47"/>
      <c r="J79" s="47"/>
    </row>
    <row r="80" spans="1:21" s="107" customFormat="1" ht="9.9499999999999993" customHeight="1" x14ac:dyDescent="0.2">
      <c r="A80" s="109"/>
      <c r="B80" s="106"/>
      <c r="C80" s="106"/>
      <c r="D80" s="106"/>
      <c r="E80" s="106"/>
      <c r="F80" s="106"/>
      <c r="G80" s="47"/>
      <c r="H80" s="47"/>
    </row>
    <row r="81" spans="2:11" s="111" customFormat="1" ht="35.1" customHeight="1" x14ac:dyDescent="0.2">
      <c r="B81" s="106"/>
      <c r="C81" s="106"/>
      <c r="D81" s="106"/>
      <c r="E81" s="106"/>
      <c r="F81" s="106"/>
      <c r="G81" s="47"/>
      <c r="H81" s="47"/>
    </row>
    <row r="82" spans="2:11" s="106" customFormat="1" ht="61.5" customHeight="1" x14ac:dyDescent="0.2">
      <c r="H82" s="111"/>
      <c r="I82" s="111"/>
      <c r="J82" s="111"/>
      <c r="K82" s="108"/>
    </row>
    <row r="83" spans="2:11" s="106" customFormat="1" ht="35.1" customHeight="1" x14ac:dyDescent="0.2">
      <c r="G83" s="111"/>
      <c r="H83" s="111"/>
      <c r="I83" s="111"/>
      <c r="J83" s="111"/>
      <c r="K83" s="108"/>
    </row>
    <row r="84" spans="2:11" s="106" customFormat="1" ht="35.1" customHeight="1" x14ac:dyDescent="0.2">
      <c r="G84" s="111"/>
      <c r="H84" s="111"/>
      <c r="I84" s="111"/>
      <c r="J84" s="111"/>
      <c r="K84" s="108"/>
    </row>
    <row r="85" spans="2:11" s="106" customFormat="1" ht="35.1" customHeight="1" x14ac:dyDescent="0.2">
      <c r="F85" s="107"/>
      <c r="K85" s="108"/>
    </row>
    <row r="86" spans="2:11" s="106" customFormat="1" ht="50.1" customHeight="1" x14ac:dyDescent="0.2"/>
    <row r="87" spans="2:11" s="106" customFormat="1" ht="57.75" customHeight="1" x14ac:dyDescent="0.2">
      <c r="C87" s="112"/>
      <c r="D87" s="112"/>
      <c r="E87" s="112"/>
    </row>
    <row r="88" spans="2:11" s="106" customFormat="1" ht="35.1" customHeight="1" x14ac:dyDescent="0.2"/>
    <row r="89" spans="2:11" s="106" customFormat="1" ht="35.1" customHeight="1" x14ac:dyDescent="0.2">
      <c r="F89" s="108"/>
      <c r="G89" s="108"/>
      <c r="H89" s="108"/>
      <c r="I89" s="108"/>
      <c r="J89" s="108"/>
    </row>
    <row r="90" spans="2:11" s="106" customFormat="1" ht="35.1" customHeight="1" x14ac:dyDescent="0.2"/>
    <row r="91" spans="2:11" s="106" customFormat="1" ht="50.1" customHeight="1" x14ac:dyDescent="0.2">
      <c r="J91" s="47"/>
    </row>
    <row r="92" spans="2:11" s="106" customFormat="1" ht="55.5" customHeight="1" x14ac:dyDescent="0.2">
      <c r="J92" s="111"/>
    </row>
    <row r="93" spans="2:11" s="106" customFormat="1" ht="50.1" customHeight="1" x14ac:dyDescent="0.2">
      <c r="J93" s="111"/>
    </row>
    <row r="94" spans="2:11" s="107" customFormat="1" ht="31.5" customHeight="1" x14ac:dyDescent="0.2">
      <c r="J94" s="111"/>
    </row>
    <row r="95" spans="2:11" s="106" customFormat="1" ht="35.1" customHeight="1" x14ac:dyDescent="0.2">
      <c r="G95" s="111"/>
      <c r="H95" s="111"/>
      <c r="I95" s="111"/>
      <c r="J95" s="111"/>
    </row>
    <row r="96" spans="2:11" s="106" customFormat="1" ht="35.1" customHeight="1" x14ac:dyDescent="0.2">
      <c r="G96" s="111"/>
      <c r="H96" s="111"/>
      <c r="I96" s="111"/>
      <c r="J96" s="111"/>
    </row>
    <row r="97" spans="1:12" s="106" customFormat="1" ht="9.9499999999999993" customHeight="1" x14ac:dyDescent="0.2">
      <c r="G97" s="108"/>
      <c r="H97" s="108"/>
      <c r="I97" s="108"/>
      <c r="J97" s="108"/>
    </row>
    <row r="98" spans="1:12" s="106" customFormat="1" ht="35.1" customHeight="1" x14ac:dyDescent="0.2">
      <c r="J98" s="108"/>
      <c r="K98" s="108"/>
      <c r="L98" s="108"/>
    </row>
    <row r="99" spans="1:12" s="46" customFormat="1" ht="15" customHeight="1" x14ac:dyDescent="0.2">
      <c r="A99" s="47"/>
      <c r="G99" s="47"/>
      <c r="H99" s="47"/>
      <c r="I99" s="47"/>
      <c r="J99" s="47"/>
      <c r="K99" s="48"/>
    </row>
    <row r="100" spans="1:12" s="48" customFormat="1" ht="31.5" customHeight="1" x14ac:dyDescent="0.2">
      <c r="A100" s="47"/>
      <c r="B100" s="47"/>
      <c r="C100" s="47"/>
      <c r="D100" s="47"/>
      <c r="E100" s="47"/>
      <c r="F100" s="47"/>
      <c r="G100" s="47"/>
      <c r="H100" s="47"/>
      <c r="I100" s="47"/>
      <c r="J100" s="47"/>
    </row>
    <row r="101" spans="1:12" s="48" customFormat="1" ht="31.5" customHeight="1" x14ac:dyDescent="0.2"/>
    <row r="102" spans="1:12" s="48" customFormat="1" ht="31.5" customHeight="1" x14ac:dyDescent="0.2"/>
    <row r="103" spans="1:12" s="48" customFormat="1" ht="52.5" customHeight="1" x14ac:dyDescent="0.2"/>
    <row r="104" spans="1:12" s="48" customFormat="1" ht="31.5" customHeight="1" x14ac:dyDescent="0.2">
      <c r="K104" s="8"/>
    </row>
    <row r="105" spans="1:12" s="48" customFormat="1" ht="31.5" customHeight="1" x14ac:dyDescent="0.2">
      <c r="K105" s="8"/>
    </row>
    <row r="106" spans="1:12" ht="31.5" customHeight="1" x14ac:dyDescent="0.2">
      <c r="G106" s="76"/>
    </row>
    <row r="107" spans="1:12" ht="51" customHeight="1" x14ac:dyDescent="0.2"/>
    <row r="109" spans="1:12" ht="31.5" customHeight="1" x14ac:dyDescent="0.2">
      <c r="B109" s="29"/>
      <c r="C109" s="29"/>
      <c r="D109" s="29"/>
      <c r="E109" s="29"/>
      <c r="F109" s="29"/>
      <c r="G109" s="29"/>
      <c r="H109" s="29"/>
      <c r="I109" s="29"/>
      <c r="J109" s="29"/>
    </row>
    <row r="110" spans="1:12" ht="31.5" customHeight="1" x14ac:dyDescent="0.2">
      <c r="B110" s="29"/>
      <c r="C110" s="29"/>
      <c r="D110" s="29"/>
      <c r="E110" s="29"/>
      <c r="F110" s="29"/>
      <c r="G110" s="29"/>
      <c r="H110" s="29"/>
      <c r="I110" s="29"/>
      <c r="J110" s="29"/>
    </row>
    <row r="111" spans="1:12" ht="31.5" customHeight="1" x14ac:dyDescent="0.2">
      <c r="B111" s="29"/>
      <c r="C111" s="29"/>
      <c r="D111" s="29"/>
      <c r="E111" s="29"/>
      <c r="F111" s="29"/>
      <c r="G111" s="29"/>
      <c r="H111" s="29"/>
      <c r="I111" s="29"/>
      <c r="J111" s="29"/>
    </row>
    <row r="112" spans="1:12" ht="31.5" customHeight="1" x14ac:dyDescent="0.2">
      <c r="B112" s="29"/>
      <c r="C112" s="29"/>
      <c r="D112" s="29"/>
      <c r="E112" s="29"/>
      <c r="F112" s="29"/>
      <c r="G112" s="29"/>
      <c r="H112" s="29"/>
      <c r="I112" s="29"/>
      <c r="J112" s="29"/>
    </row>
    <row r="113" spans="2:10" ht="31.5" customHeight="1" x14ac:dyDescent="0.2">
      <c r="B113" s="29"/>
      <c r="C113" s="29"/>
      <c r="D113" s="29"/>
      <c r="E113" s="29"/>
      <c r="F113" s="29"/>
      <c r="G113" s="29"/>
      <c r="H113" s="29"/>
      <c r="I113" s="29"/>
      <c r="J113" s="29"/>
    </row>
    <row r="114" spans="2:10" ht="31.5" customHeight="1" x14ac:dyDescent="0.2">
      <c r="B114" s="29"/>
      <c r="C114" s="29"/>
      <c r="D114" s="29"/>
      <c r="E114" s="29"/>
      <c r="F114" s="29"/>
      <c r="G114" s="29"/>
      <c r="H114" s="29"/>
      <c r="I114" s="29"/>
      <c r="J114" s="29"/>
    </row>
    <row r="115" spans="2:10" ht="31.5" customHeight="1" x14ac:dyDescent="0.2">
      <c r="B115" s="29"/>
      <c r="C115" s="29"/>
      <c r="D115" s="29"/>
      <c r="E115" s="29"/>
      <c r="F115" s="29"/>
      <c r="G115" s="29"/>
      <c r="H115" s="29"/>
      <c r="I115" s="29"/>
      <c r="J115" s="29"/>
    </row>
  </sheetData>
  <sheetProtection password="CF5C" sheet="1" objects="1" scenarios="1"/>
  <mergeCells count="62">
    <mergeCell ref="D70:E70"/>
    <mergeCell ref="D71:E71"/>
    <mergeCell ref="B72:K72"/>
    <mergeCell ref="B73:E73"/>
    <mergeCell ref="H73:K73"/>
    <mergeCell ref="F74:G74"/>
    <mergeCell ref="H74:H76"/>
    <mergeCell ref="I74:K74"/>
    <mergeCell ref="J75:K75"/>
    <mergeCell ref="J76:K76"/>
    <mergeCell ref="A56:J56"/>
    <mergeCell ref="A58:B58"/>
    <mergeCell ref="C58:D58"/>
    <mergeCell ref="E58:F58"/>
    <mergeCell ref="H60:M60"/>
    <mergeCell ref="A50:B50"/>
    <mergeCell ref="G50:H50"/>
    <mergeCell ref="A52:J52"/>
    <mergeCell ref="D53:E53"/>
    <mergeCell ref="H53:I53"/>
    <mergeCell ref="A49:B49"/>
    <mergeCell ref="G49:H49"/>
    <mergeCell ref="A28:A31"/>
    <mergeCell ref="C33:D33"/>
    <mergeCell ref="F33:G33"/>
    <mergeCell ref="A36:J36"/>
    <mergeCell ref="B38:F38"/>
    <mergeCell ref="H38:J38"/>
    <mergeCell ref="H39:J42"/>
    <mergeCell ref="A46:J46"/>
    <mergeCell ref="A47:B48"/>
    <mergeCell ref="C47:E47"/>
    <mergeCell ref="G48:H48"/>
    <mergeCell ref="A27:B27"/>
    <mergeCell ref="G27:H27"/>
    <mergeCell ref="A14:B14"/>
    <mergeCell ref="A15:B15"/>
    <mergeCell ref="A16:B16"/>
    <mergeCell ref="C16:D16"/>
    <mergeCell ref="A18:J18"/>
    <mergeCell ref="F19:G19"/>
    <mergeCell ref="J19:J20"/>
    <mergeCell ref="A20:B20"/>
    <mergeCell ref="E20:F20"/>
    <mergeCell ref="A22:J22"/>
    <mergeCell ref="C24:D24"/>
    <mergeCell ref="F24:G24"/>
    <mergeCell ref="C26:F26"/>
    <mergeCell ref="G26:H26"/>
    <mergeCell ref="A13:B13"/>
    <mergeCell ref="F13:I13"/>
    <mergeCell ref="A1:B1"/>
    <mergeCell ref="C1:M1"/>
    <mergeCell ref="I3:J4"/>
    <mergeCell ref="A6:D6"/>
    <mergeCell ref="F6:I6"/>
    <mergeCell ref="F9:G9"/>
    <mergeCell ref="A10:B10"/>
    <mergeCell ref="F10:G10"/>
    <mergeCell ref="A11:B11"/>
    <mergeCell ref="F11:G11"/>
    <mergeCell ref="A12:B12"/>
  </mergeCells>
  <printOptions horizontalCentered="1"/>
  <pageMargins left="0.70866141732283472" right="0.70866141732283472" top="0.74803149606299213" bottom="0.74803149606299213" header="0.31496062992125984" footer="0.31496062992125984"/>
  <pageSetup scale="13" orientation="portrait" r:id="rId1"/>
  <headerFooter>
    <oddHeader xml:space="preserve">&amp;C
&amp;16   
</oddHeader>
    <oddFooter xml:space="preserve">&amp;RRT03-F13 Vr.14 (2021-05-21)
</oddFooter>
  </headerFooter>
  <rowBreaks count="1" manualBreakCount="1">
    <brk id="34" max="12" man="1"/>
  </rowBreaks>
  <drawing r:id="rId2"/>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0200-000000000000}">
          <x14:formula1>
            <xm:f>'DATOS %'!$B$7:$B$40</xm:f>
          </x14:formula1>
          <xm:sqref>I3:J4</xm:sqref>
        </x14:dataValidation>
        <x14:dataValidation type="list" allowBlank="1" showInputMessage="1" showErrorMessage="1" xr:uid="{00000000-0002-0000-0200-000001000000}">
          <x14:formula1>
            <xm:f>'DATOS %'!$V$161:$V$165</xm:f>
          </x14:formula1>
          <xm:sqref>H25</xm:sqref>
        </x14:dataValidation>
        <x14:dataValidation type="list" allowBlank="1" showInputMessage="1" showErrorMessage="1" xr:uid="{00000000-0002-0000-0200-000002000000}">
          <x14:formula1>
            <xm:f>'DATOS %'!$V$120:$V$126</xm:f>
          </x14:formula1>
          <xm:sqref>J13</xm:sqref>
        </x14:dataValidation>
        <x14:dataValidation type="list" allowBlank="1" showInputMessage="1" showErrorMessage="1" xr:uid="{00000000-0002-0000-0200-000003000000}">
          <x14:formula1>
            <xm:f>'DATOS %'!$N$29:$N$113</xm:f>
          </x14:formula1>
          <xm:sqref>E6</xm:sqref>
        </x14:dataValidation>
        <x14:dataValidation type="list" allowBlank="1" showInputMessage="1" showErrorMessage="1" xr:uid="{00000000-0002-0000-0200-000004000000}">
          <x14:formula1>
            <xm:f>'DATOS %'!$N$121:$N$166</xm:f>
          </x14:formula1>
          <xm:sqref>F48</xm:sqref>
        </x14:dataValidation>
        <x14:dataValidation type="list" allowBlank="1" showInputMessage="1" showErrorMessage="1" xr:uid="{00000000-0002-0000-0200-000005000000}">
          <x14:formula1>
            <xm:f>'DATOS %'!$J$174:$J$179</xm:f>
          </x14:formula1>
          <xm:sqref>J19:J20</xm:sqref>
        </x14:dataValidation>
      </x14:dataValidation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U114"/>
  <sheetViews>
    <sheetView showGridLines="0" view="pageBreakPreview" topLeftCell="A22" zoomScale="80" zoomScaleNormal="60" zoomScaleSheetLayoutView="80" workbookViewId="0">
      <selection activeCell="C65" sqref="C65"/>
    </sheetView>
  </sheetViews>
  <sheetFormatPr baseColWidth="10" defaultColWidth="11.42578125" defaultRowHeight="31.5" customHeight="1" x14ac:dyDescent="0.2"/>
  <cols>
    <col min="1" max="1" width="14.7109375" style="37" customWidth="1"/>
    <col min="2" max="2" width="12" style="37" customWidth="1"/>
    <col min="3" max="3" width="15.7109375" style="37" customWidth="1"/>
    <col min="4" max="4" width="17" style="37" customWidth="1"/>
    <col min="5" max="5" width="15.5703125" style="37" customWidth="1"/>
    <col min="6" max="6" width="18.5703125" style="37" customWidth="1"/>
    <col min="7" max="7" width="15.7109375" style="37" customWidth="1"/>
    <col min="8" max="8" width="24.42578125" style="37" bestFit="1" customWidth="1"/>
    <col min="9" max="9" width="13.85546875" style="37" bestFit="1" customWidth="1"/>
    <col min="10" max="10" width="13.7109375" style="37" customWidth="1"/>
    <col min="11" max="19" width="11.42578125" style="8"/>
    <col min="20" max="20" width="15.85546875" style="8" bestFit="1" customWidth="1"/>
    <col min="21" max="21" width="14.42578125" style="8" bestFit="1" customWidth="1"/>
    <col min="22" max="16384" width="11.42578125" style="8"/>
  </cols>
  <sheetData>
    <row r="1" spans="1:16" ht="60" customHeight="1" thickBot="1" x14ac:dyDescent="0.25">
      <c r="A1" s="1257"/>
      <c r="B1" s="1258"/>
      <c r="C1" s="1259" t="s">
        <v>57</v>
      </c>
      <c r="D1" s="1260"/>
      <c r="E1" s="1260"/>
      <c r="F1" s="1260"/>
      <c r="G1" s="1260"/>
      <c r="H1" s="1260"/>
      <c r="I1" s="1260"/>
      <c r="J1" s="1260"/>
      <c r="K1" s="1260"/>
      <c r="L1" s="1260"/>
      <c r="M1" s="1261"/>
      <c r="N1" s="7"/>
      <c r="O1" s="7"/>
      <c r="P1" s="7"/>
    </row>
    <row r="2" spans="1:16" s="11" customFormat="1" ht="9.75" customHeight="1" thickBot="1" x14ac:dyDescent="0.25">
      <c r="A2" s="9"/>
      <c r="B2" s="9"/>
      <c r="C2" s="10"/>
      <c r="D2" s="10"/>
      <c r="E2" s="10"/>
      <c r="F2" s="10"/>
      <c r="G2" s="10"/>
      <c r="H2" s="10"/>
      <c r="K2" s="12"/>
      <c r="M2" s="7"/>
    </row>
    <row r="3" spans="1:16" s="12" customFormat="1" ht="35.25" customHeight="1" thickBot="1" x14ac:dyDescent="0.25">
      <c r="A3" s="13" t="s">
        <v>17</v>
      </c>
      <c r="B3" s="14" t="s">
        <v>55</v>
      </c>
      <c r="C3" s="15" t="s">
        <v>209</v>
      </c>
      <c r="D3" s="15" t="s">
        <v>56</v>
      </c>
      <c r="E3" s="15" t="s">
        <v>8</v>
      </c>
      <c r="F3" s="16" t="s">
        <v>18</v>
      </c>
      <c r="G3" s="16" t="s">
        <v>297</v>
      </c>
      <c r="H3" s="17" t="s">
        <v>24</v>
      </c>
      <c r="I3" s="1262"/>
      <c r="J3" s="1263"/>
      <c r="K3" s="11"/>
      <c r="M3" s="7"/>
    </row>
    <row r="4" spans="1:16" s="11" customFormat="1" ht="32.25" customHeight="1" thickBot="1" x14ac:dyDescent="0.25">
      <c r="A4" s="18" t="e">
        <f>VLOOKUP($I$3,'DATOS %'!B7:J40,2,FALSE)</f>
        <v>#N/A</v>
      </c>
      <c r="B4" s="212" t="e">
        <f>VLOOKUP($I$3,'DATOS %'!$B$7:$J$40,3,FALSE)</f>
        <v>#N/A</v>
      </c>
      <c r="C4" s="19" t="e">
        <f>VLOOKUP($I$3,'DATOS %'!$B$7:$J$40,8,FALSE)</f>
        <v>#N/A</v>
      </c>
      <c r="D4" s="19" t="e">
        <f>VLOOKUP($I$3,'DATOS %'!$B$7:$J$40,6,FALSE)</f>
        <v>#N/A</v>
      </c>
      <c r="E4" s="212" t="e">
        <f>VLOOKUP($I$3,'DATOS %'!$B$7:$J$40,7,FALSE)</f>
        <v>#N/A</v>
      </c>
      <c r="F4" s="18" t="e">
        <f>VLOOKUP($I$3,'DATOS %'!$B$7:$J$40,4,FALSE)</f>
        <v>#N/A</v>
      </c>
      <c r="G4" s="18" t="e">
        <f>VLOOKUP($I$3,'DATOS %'!$B$7:$J$40,5,FALSE)</f>
        <v>#N/A</v>
      </c>
      <c r="H4" s="19" t="e">
        <f>VLOOKUP($I$3,'DATOS %'!$B$7:$J$40,9,FALSE)</f>
        <v>#N/A</v>
      </c>
      <c r="I4" s="1264"/>
      <c r="J4" s="1265"/>
      <c r="K4" s="8"/>
      <c r="L4" s="20"/>
      <c r="M4" s="20"/>
    </row>
    <row r="5" spans="1:16" s="22" customFormat="1" ht="6.75" customHeight="1" thickBot="1" x14ac:dyDescent="0.25">
      <c r="A5" s="21"/>
      <c r="B5" s="21"/>
      <c r="C5" s="21"/>
      <c r="F5" s="21"/>
      <c r="G5" s="21"/>
      <c r="H5" s="21"/>
      <c r="K5" s="8"/>
    </row>
    <row r="6" spans="1:16" ht="31.5" customHeight="1" thickBot="1" x14ac:dyDescent="0.25">
      <c r="A6" s="1266" t="s">
        <v>19</v>
      </c>
      <c r="B6" s="1267"/>
      <c r="C6" s="1267"/>
      <c r="D6" s="1268"/>
      <c r="E6" s="4"/>
      <c r="F6" s="1266" t="s">
        <v>20</v>
      </c>
      <c r="G6" s="1267"/>
      <c r="H6" s="1267"/>
      <c r="I6" s="1268"/>
      <c r="J6" s="402">
        <f>I3</f>
        <v>0</v>
      </c>
    </row>
    <row r="7" spans="1:16" ht="31.5" customHeight="1" x14ac:dyDescent="0.2">
      <c r="A7" s="23" t="s">
        <v>21</v>
      </c>
      <c r="B7" s="24" t="e">
        <f>VLOOKUP($E$6,'DATOS %'!N11:AA113,2,FALSE)</f>
        <v>#N/A</v>
      </c>
      <c r="C7" s="25" t="s">
        <v>10</v>
      </c>
      <c r="D7" s="26" t="e">
        <f>VLOOKUP($E$6,'DATOS %'!N11:AA113,3,FALSE)</f>
        <v>#N/A</v>
      </c>
      <c r="E7" s="27"/>
      <c r="F7" s="23" t="s">
        <v>21</v>
      </c>
      <c r="G7" s="24" t="e">
        <f>VLOOKUP($J$6,'DATOS %'!B47:I79,2,FALSE)</f>
        <v>#N/A</v>
      </c>
      <c r="H7" s="28" t="s">
        <v>10</v>
      </c>
      <c r="I7" s="26" t="e">
        <f>VLOOKUP($J$6,'DATOS %'!B47:I79,3,FALSE)</f>
        <v>#N/A</v>
      </c>
      <c r="J7" s="29"/>
    </row>
    <row r="8" spans="1:16" ht="31.5" customHeight="1" x14ac:dyDescent="0.2">
      <c r="A8" s="30" t="s">
        <v>22</v>
      </c>
      <c r="B8" s="31" t="e">
        <f>VLOOKUP($E$6,'DATOS %'!N11:AA113,4,FALSE)</f>
        <v>#N/A</v>
      </c>
      <c r="C8" s="32" t="s">
        <v>23</v>
      </c>
      <c r="D8" s="33" t="e">
        <f>VLOOKUP($E$6,'DATOS %'!N11:AA113,5,FALSE)</f>
        <v>#N/A</v>
      </c>
      <c r="E8" s="27"/>
      <c r="F8" s="30" t="s">
        <v>22</v>
      </c>
      <c r="G8" s="31" t="e">
        <f>VLOOKUP($J$6,'DATOS %'!B47:I79,4,FALSE)</f>
        <v>#N/A</v>
      </c>
      <c r="H8" s="32" t="s">
        <v>23</v>
      </c>
      <c r="I8" s="297" t="e">
        <f>VLOOKUP($J$6,'DATOS %'!B47:I79,5,FALSE)</f>
        <v>#N/A</v>
      </c>
      <c r="J8" s="29"/>
    </row>
    <row r="9" spans="1:16" ht="31.5" customHeight="1" x14ac:dyDescent="0.2">
      <c r="A9" s="34" t="s">
        <v>24</v>
      </c>
      <c r="B9" s="31" t="e">
        <f>VLOOKUP($E$6,'DATOS %'!N11:AA113,6,FALSE)</f>
        <v>#N/A</v>
      </c>
      <c r="C9" s="35" t="s">
        <v>15</v>
      </c>
      <c r="D9" s="36" t="e">
        <f>VLOOKUP($E$6,'DATOS %'!N11:AA113,7,FALSE)</f>
        <v>#N/A</v>
      </c>
      <c r="F9" s="1252" t="s">
        <v>62</v>
      </c>
      <c r="G9" s="1253"/>
      <c r="H9" s="31" t="e">
        <f>VLOOKUP($J$6,'DATOS %'!B47:I79,6,FALSE)</f>
        <v>#N/A</v>
      </c>
      <c r="I9" s="33" t="s">
        <v>1</v>
      </c>
      <c r="J9" s="29"/>
      <c r="K9" s="208"/>
    </row>
    <row r="10" spans="1:16" s="38" customFormat="1" ht="31.5" customHeight="1" x14ac:dyDescent="0.25">
      <c r="A10" s="1252" t="s">
        <v>63</v>
      </c>
      <c r="B10" s="1253"/>
      <c r="C10" s="223" t="e">
        <f>VLOOKUP($E$6,'DATOS %'!N11:AA113,8,FALSE)</f>
        <v>#N/A</v>
      </c>
      <c r="D10" s="33" t="s">
        <v>1</v>
      </c>
      <c r="F10" s="1252" t="s">
        <v>64</v>
      </c>
      <c r="G10" s="1253"/>
      <c r="H10" s="213" t="e">
        <f>VLOOKUP($J$6,'DATOS %'!B47:I79,7,FALSE)</f>
        <v>#N/A</v>
      </c>
      <c r="I10" s="33" t="s">
        <v>76</v>
      </c>
      <c r="J10" s="39"/>
    </row>
    <row r="11" spans="1:16" s="38" customFormat="1" ht="31.5" customHeight="1" thickBot="1" x14ac:dyDescent="0.3">
      <c r="A11" s="1252" t="s">
        <v>65</v>
      </c>
      <c r="B11" s="1253"/>
      <c r="C11" s="31" t="e">
        <f>VLOOKUP($E$6,'DATOS %'!N11:AA113,9,FALSE)</f>
        <v>#N/A</v>
      </c>
      <c r="D11" s="33" t="s">
        <v>3</v>
      </c>
      <c r="E11" s="40"/>
      <c r="F11" s="1271" t="s">
        <v>66</v>
      </c>
      <c r="G11" s="1272"/>
      <c r="H11" s="41" t="e">
        <f>VLOOKUP($J$6,'DATOS %'!B47:I79,8,FALSE)</f>
        <v>#N/A</v>
      </c>
      <c r="I11" s="45" t="s">
        <v>76</v>
      </c>
      <c r="J11" s="39"/>
    </row>
    <row r="12" spans="1:16" s="38" customFormat="1" ht="31.5" customHeight="1" thickBot="1" x14ac:dyDescent="0.3">
      <c r="A12" s="1252" t="s">
        <v>67</v>
      </c>
      <c r="B12" s="1253"/>
      <c r="C12" s="31" t="e">
        <f>VLOOKUP($E$6,'DATOS %'!N11:AA113,10,FALSE)</f>
        <v>#N/A</v>
      </c>
      <c r="D12" s="33" t="s">
        <v>3</v>
      </c>
      <c r="E12" s="39"/>
      <c r="F12" s="39"/>
      <c r="G12" s="39"/>
      <c r="H12" s="39"/>
    </row>
    <row r="13" spans="1:16" s="38" customFormat="1" ht="31.5" customHeight="1" thickBot="1" x14ac:dyDescent="0.3">
      <c r="A13" s="1252" t="s">
        <v>68</v>
      </c>
      <c r="B13" s="1253"/>
      <c r="C13" s="213" t="e">
        <f>VLOOKUP($E$6,'DATOS %'!N11:AA113,11,FALSE)</f>
        <v>#N/A</v>
      </c>
      <c r="D13" s="33" t="s">
        <v>76</v>
      </c>
      <c r="E13" s="39"/>
      <c r="F13" s="1254" t="s">
        <v>559</v>
      </c>
      <c r="G13" s="1255"/>
      <c r="H13" s="1255"/>
      <c r="I13" s="1256"/>
      <c r="J13" s="5"/>
    </row>
    <row r="14" spans="1:16" s="38" customFormat="1" ht="31.5" customHeight="1" x14ac:dyDescent="0.2">
      <c r="A14" s="1252" t="s">
        <v>305</v>
      </c>
      <c r="B14" s="1253"/>
      <c r="C14" s="31" t="e">
        <f>VLOOKUP($E$6,'DATOS %'!N11:AA113,12,FALSE)</f>
        <v>#N/A</v>
      </c>
      <c r="D14" s="33" t="s">
        <v>76</v>
      </c>
      <c r="E14" s="39"/>
      <c r="F14" s="23" t="s">
        <v>10</v>
      </c>
      <c r="G14" s="24" t="e">
        <f>VLOOKUP($J$13,'DATOS %'!$V$119:$Y$126,2,FALSE)</f>
        <v>#N/A</v>
      </c>
      <c r="H14" s="28" t="s">
        <v>22</v>
      </c>
      <c r="I14" s="24" t="e">
        <f>VLOOKUP($J$13,'DATOS %'!$V$119:$Z$126,3,FALSE)</f>
        <v>#N/A</v>
      </c>
      <c r="J14" s="42"/>
      <c r="K14" s="8"/>
    </row>
    <row r="15" spans="1:16" ht="31.5" customHeight="1" thickBot="1" x14ac:dyDescent="0.25">
      <c r="A15" s="1277" t="s">
        <v>69</v>
      </c>
      <c r="B15" s="1278"/>
      <c r="C15" s="31" t="e">
        <f>VLOOKUP($E$6,'DATOS %'!N11:AA113,13,FALSE)</f>
        <v>#N/A</v>
      </c>
      <c r="D15" s="33" t="s">
        <v>76</v>
      </c>
      <c r="E15" s="29"/>
      <c r="F15" s="43" t="s">
        <v>61</v>
      </c>
      <c r="G15" s="41" t="e">
        <f>VLOOKUP($J$13,'DATOS %'!$V$119:$Y$126,4,FALSE)</f>
        <v>#N/A</v>
      </c>
      <c r="H15" s="41" t="s">
        <v>1</v>
      </c>
      <c r="I15" s="240" t="s">
        <v>210</v>
      </c>
      <c r="J15" s="45" t="e">
        <f>VLOOKUP($J$13,'DATOS %'!$V$119:$Z$126,5,FALSE)</f>
        <v>#N/A</v>
      </c>
      <c r="K15" s="22"/>
    </row>
    <row r="16" spans="1:16" ht="30.95" customHeight="1" thickBot="1" x14ac:dyDescent="0.25">
      <c r="A16" s="1279" t="s">
        <v>210</v>
      </c>
      <c r="B16" s="1280"/>
      <c r="C16" s="1281" t="e">
        <f>VLOOKUP($E$6,'DATOS %'!N11:AA113,14,FALSE)</f>
        <v>#N/A</v>
      </c>
      <c r="D16" s="1282"/>
      <c r="E16" s="29"/>
      <c r="F16" s="8"/>
      <c r="G16" s="8"/>
      <c r="H16" s="8"/>
      <c r="I16" s="8"/>
      <c r="J16" s="8"/>
    </row>
    <row r="17" spans="1:11" s="22" customFormat="1" ht="30.95" customHeight="1" thickBot="1" x14ac:dyDescent="0.25">
      <c r="A17" s="29"/>
      <c r="B17" s="29"/>
      <c r="C17" s="29"/>
      <c r="D17" s="29"/>
      <c r="E17" s="29"/>
      <c r="F17" s="29"/>
      <c r="G17" s="29"/>
      <c r="H17" s="29"/>
      <c r="I17" s="29"/>
      <c r="J17" s="29"/>
      <c r="K17" s="8"/>
    </row>
    <row r="18" spans="1:11" ht="31.5" customHeight="1" thickBot="1" x14ac:dyDescent="0.25">
      <c r="A18" s="1331" t="s">
        <v>26</v>
      </c>
      <c r="B18" s="1332"/>
      <c r="C18" s="1332"/>
      <c r="D18" s="1332"/>
      <c r="E18" s="1332"/>
      <c r="F18" s="1332"/>
      <c r="G18" s="1332"/>
      <c r="H18" s="1332"/>
      <c r="I18" s="1332"/>
      <c r="J18" s="1333"/>
    </row>
    <row r="19" spans="1:11" ht="46.5" customHeight="1" thickBot="1" x14ac:dyDescent="0.25">
      <c r="A19" s="407" t="s">
        <v>10</v>
      </c>
      <c r="B19" s="101" t="e">
        <f>VLOOKUP(J19,'DATOS %'!J174:W180,2,FALSE)</f>
        <v>#N/A</v>
      </c>
      <c r="C19" s="95" t="s">
        <v>7</v>
      </c>
      <c r="D19" s="408" t="e">
        <f>VLOOKUP(J19,'DATOS %'!J174:W180,3,FALSE)</f>
        <v>#N/A</v>
      </c>
      <c r="E19" s="409" t="s">
        <v>24</v>
      </c>
      <c r="F19" s="1286" t="e">
        <f>VLOOKUP(J19,'DATOS %'!J174:W180,5,FALSE)</f>
        <v>#N/A</v>
      </c>
      <c r="G19" s="1287"/>
      <c r="H19" s="95" t="s">
        <v>25</v>
      </c>
      <c r="I19" s="212" t="e">
        <f>VLOOKUP(J19,'DATOS %'!J174:W180,4,FALSE)</f>
        <v>#N/A</v>
      </c>
      <c r="J19" s="1374"/>
    </row>
    <row r="20" spans="1:11" ht="31.5" customHeight="1" thickBot="1" x14ac:dyDescent="0.25">
      <c r="A20" s="1290" t="s">
        <v>316</v>
      </c>
      <c r="B20" s="1291"/>
      <c r="C20" s="94" t="s">
        <v>27</v>
      </c>
      <c r="D20" s="101" t="e">
        <f>VLOOKUP(J19,'DATOS %'!J174:W180,6,FALSE)</f>
        <v>#N/A</v>
      </c>
      <c r="E20" s="1292" t="s">
        <v>307</v>
      </c>
      <c r="F20" s="1293"/>
      <c r="G20" s="101" t="e">
        <f>VLOOKUP(J19,'DATOS %'!J174:W180,7,FALSE)</f>
        <v>#N/A</v>
      </c>
      <c r="H20" s="95" t="s">
        <v>9</v>
      </c>
      <c r="I20" s="214" t="e">
        <f>VLOOKUP(J19,'DATOS %'!J174:W180,8,FALSE)</f>
        <v>#N/A</v>
      </c>
      <c r="J20" s="1289"/>
    </row>
    <row r="21" spans="1:11" s="46" customFormat="1" ht="15" customHeight="1" thickBot="1" x14ac:dyDescent="0.25">
      <c r="A21" s="47"/>
      <c r="B21" s="47"/>
      <c r="C21" s="47"/>
      <c r="D21" s="47"/>
      <c r="E21" s="47"/>
      <c r="F21" s="47"/>
      <c r="G21" s="47"/>
      <c r="H21" s="47"/>
      <c r="I21" s="47"/>
      <c r="J21" s="47"/>
      <c r="K21" s="8"/>
    </row>
    <row r="22" spans="1:11" s="48" customFormat="1" ht="31.5" customHeight="1" thickBot="1" x14ac:dyDescent="0.25">
      <c r="A22" s="1294" t="s">
        <v>28</v>
      </c>
      <c r="B22" s="1295"/>
      <c r="C22" s="1295"/>
      <c r="D22" s="1295"/>
      <c r="E22" s="1295"/>
      <c r="F22" s="1295"/>
      <c r="G22" s="1295"/>
      <c r="H22" s="1295"/>
      <c r="I22" s="1295"/>
      <c r="J22" s="1296"/>
      <c r="K22" s="47"/>
    </row>
    <row r="23" spans="1:11" s="47" customFormat="1" ht="2.25" customHeight="1" thickBot="1" x14ac:dyDescent="0.25">
      <c r="A23" s="49"/>
      <c r="B23" s="50"/>
      <c r="C23" s="50"/>
      <c r="D23" s="50"/>
      <c r="E23" s="50"/>
      <c r="F23" s="50"/>
      <c r="G23" s="50"/>
      <c r="H23" s="50"/>
      <c r="I23" s="50"/>
      <c r="J23" s="51"/>
      <c r="K23" s="48"/>
    </row>
    <row r="24" spans="1:11" s="48" customFormat="1" ht="31.5" customHeight="1" thickBot="1" x14ac:dyDescent="0.25">
      <c r="A24" s="52" t="s">
        <v>29</v>
      </c>
      <c r="B24" s="916"/>
      <c r="C24" s="1297" t="s">
        <v>27</v>
      </c>
      <c r="D24" s="1298"/>
      <c r="E24" s="1"/>
      <c r="F24" s="1684" t="s">
        <v>307</v>
      </c>
      <c r="G24" s="1685"/>
      <c r="H24" s="2"/>
      <c r="I24" s="972" t="s">
        <v>9</v>
      </c>
      <c r="J24" s="215"/>
      <c r="K24" s="46"/>
    </row>
    <row r="25" spans="1:11" s="46" customFormat="1" ht="15" customHeight="1" thickBot="1" x14ac:dyDescent="0.25">
      <c r="A25" s="47"/>
      <c r="B25" s="47"/>
      <c r="C25" s="47"/>
      <c r="D25" s="47"/>
      <c r="E25" s="47"/>
      <c r="F25" s="47"/>
      <c r="G25" s="47"/>
      <c r="H25" s="6"/>
      <c r="I25" s="47"/>
      <c r="K25" s="48"/>
    </row>
    <row r="26" spans="1:11" s="48" customFormat="1" ht="29.25" customHeight="1" thickBot="1" x14ac:dyDescent="0.25">
      <c r="A26" s="115" t="s">
        <v>129</v>
      </c>
      <c r="B26" s="105">
        <v>4</v>
      </c>
      <c r="C26" s="1301" t="s">
        <v>30</v>
      </c>
      <c r="D26" s="1302"/>
      <c r="E26" s="1302"/>
      <c r="F26" s="1303"/>
      <c r="G26" s="1304" t="s">
        <v>211</v>
      </c>
      <c r="H26" s="1305"/>
    </row>
    <row r="27" spans="1:11" s="48" customFormat="1" ht="31.5" customHeight="1" thickBot="1" x14ac:dyDescent="0.25">
      <c r="A27" s="1273" t="s">
        <v>31</v>
      </c>
      <c r="B27" s="1274"/>
      <c r="C27" s="239">
        <v>1</v>
      </c>
      <c r="D27" s="239">
        <v>2</v>
      </c>
      <c r="E27" s="239">
        <v>3</v>
      </c>
      <c r="F27" s="129">
        <v>4</v>
      </c>
      <c r="G27" s="1275" t="e">
        <f>VLOOKUP($H$25,'DATOS %'!$V$161:$AA$165,2,FALSE)</f>
        <v>#N/A</v>
      </c>
      <c r="H27" s="1276"/>
    </row>
    <row r="28" spans="1:11" s="48" customFormat="1" ht="31.5" customHeight="1" x14ac:dyDescent="0.2">
      <c r="A28" s="1310" t="s">
        <v>32</v>
      </c>
      <c r="B28" s="910" t="s">
        <v>0</v>
      </c>
      <c r="C28" s="1131"/>
      <c r="D28" s="244"/>
      <c r="E28" s="244"/>
      <c r="F28" s="245"/>
      <c r="G28" s="47"/>
      <c r="H28" s="47"/>
      <c r="I28" s="47"/>
      <c r="J28" s="47"/>
    </row>
    <row r="29" spans="1:11" s="48" customFormat="1" ht="31.5" customHeight="1" x14ac:dyDescent="0.2">
      <c r="A29" s="1311"/>
      <c r="B29" s="911" t="s">
        <v>2</v>
      </c>
      <c r="C29" s="1132"/>
      <c r="D29" s="246"/>
      <c r="E29" s="246"/>
      <c r="F29" s="247"/>
      <c r="G29" s="47"/>
      <c r="H29" s="47"/>
      <c r="I29" s="47"/>
      <c r="J29" s="47"/>
    </row>
    <row r="30" spans="1:11" s="48" customFormat="1" ht="31.5" customHeight="1" x14ac:dyDescent="0.2">
      <c r="A30" s="1311"/>
      <c r="B30" s="911" t="s">
        <v>2</v>
      </c>
      <c r="C30" s="1132"/>
      <c r="D30" s="246"/>
      <c r="E30" s="246"/>
      <c r="F30" s="247"/>
      <c r="G30" s="47"/>
      <c r="H30" s="47"/>
      <c r="I30" s="47"/>
      <c r="J30" s="47"/>
    </row>
    <row r="31" spans="1:11" s="48" customFormat="1" ht="31.5" customHeight="1" thickBot="1" x14ac:dyDescent="0.25">
      <c r="A31" s="1312"/>
      <c r="B31" s="912" t="s">
        <v>0</v>
      </c>
      <c r="C31" s="1133"/>
      <c r="D31" s="248"/>
      <c r="E31" s="248"/>
      <c r="F31" s="249"/>
      <c r="G31" s="47"/>
      <c r="H31" s="47"/>
      <c r="I31" s="47"/>
      <c r="J31" s="47"/>
      <c r="K31" s="46"/>
    </row>
    <row r="32" spans="1:11" s="46" customFormat="1" ht="15" customHeight="1" thickBot="1" x14ac:dyDescent="0.25">
      <c r="A32" s="47"/>
      <c r="B32" s="47"/>
      <c r="C32" s="47"/>
      <c r="D32" s="47"/>
      <c r="E32" s="47"/>
      <c r="F32" s="47"/>
      <c r="G32" s="47"/>
      <c r="H32" s="47"/>
      <c r="I32" s="47"/>
      <c r="J32" s="47"/>
      <c r="K32" s="48"/>
    </row>
    <row r="33" spans="1:11" s="48" customFormat="1" ht="31.5" customHeight="1" thickBot="1" x14ac:dyDescent="0.25">
      <c r="A33" s="54" t="s">
        <v>33</v>
      </c>
      <c r="B33" s="916"/>
      <c r="C33" s="1297" t="s">
        <v>27</v>
      </c>
      <c r="D33" s="1298"/>
      <c r="E33" s="1"/>
      <c r="F33" s="1684" t="s">
        <v>307</v>
      </c>
      <c r="G33" s="1685"/>
      <c r="H33" s="2"/>
      <c r="I33" s="973" t="s">
        <v>9</v>
      </c>
      <c r="J33" s="3"/>
      <c r="K33" s="46"/>
    </row>
    <row r="34" spans="1:11" s="46" customFormat="1" ht="12" customHeight="1" x14ac:dyDescent="0.2">
      <c r="A34" s="55"/>
      <c r="B34" s="55"/>
      <c r="C34" s="55"/>
      <c r="D34" s="55"/>
      <c r="E34" s="55"/>
      <c r="F34" s="55"/>
      <c r="G34" s="55"/>
      <c r="H34" s="55"/>
      <c r="I34" s="55"/>
      <c r="J34" s="55"/>
      <c r="K34" s="48"/>
    </row>
    <row r="35" spans="1:11" s="48" customFormat="1" ht="15" customHeight="1" thickBot="1" x14ac:dyDescent="0.25">
      <c r="A35" s="56"/>
      <c r="B35" s="56"/>
      <c r="C35" s="56"/>
      <c r="D35" s="56"/>
      <c r="E35" s="56"/>
      <c r="F35" s="56"/>
      <c r="G35" s="56"/>
      <c r="H35" s="56"/>
      <c r="I35" s="56"/>
      <c r="J35" s="56"/>
    </row>
    <row r="36" spans="1:11" s="48" customFormat="1" ht="32.25" customHeight="1" thickBot="1" x14ac:dyDescent="0.25">
      <c r="A36" s="1294" t="s">
        <v>34</v>
      </c>
      <c r="B36" s="1295"/>
      <c r="C36" s="1295"/>
      <c r="D36" s="1295"/>
      <c r="E36" s="1295"/>
      <c r="F36" s="1295"/>
      <c r="G36" s="1295"/>
      <c r="H36" s="1295"/>
      <c r="I36" s="1295"/>
      <c r="J36" s="1296"/>
    </row>
    <row r="37" spans="1:11" s="48" customFormat="1" ht="3.75" customHeight="1" thickBot="1" x14ac:dyDescent="0.25">
      <c r="A37" s="55"/>
      <c r="B37" s="47"/>
      <c r="C37" s="47"/>
      <c r="D37" s="47"/>
      <c r="E37" s="47"/>
      <c r="F37" s="47"/>
      <c r="G37" s="47"/>
      <c r="H37" s="47"/>
      <c r="I37" s="47"/>
      <c r="J37" s="55"/>
    </row>
    <row r="38" spans="1:11" s="48" customFormat="1" ht="31.5" customHeight="1" thickBot="1" x14ac:dyDescent="0.25">
      <c r="A38" s="47"/>
      <c r="B38" s="1316" t="s">
        <v>35</v>
      </c>
      <c r="C38" s="1317"/>
      <c r="D38" s="1317"/>
      <c r="E38" s="1317"/>
      <c r="F38" s="1318"/>
      <c r="G38" s="47"/>
      <c r="H38" s="1319" t="s">
        <v>236</v>
      </c>
      <c r="I38" s="1320"/>
      <c r="J38" s="1321"/>
    </row>
    <row r="39" spans="1:11" s="48" customFormat="1" ht="31.5" customHeight="1" thickBot="1" x14ac:dyDescent="0.25">
      <c r="A39" s="47"/>
      <c r="B39" s="57" t="s">
        <v>31</v>
      </c>
      <c r="C39" s="203">
        <v>1</v>
      </c>
      <c r="D39" s="141">
        <v>2</v>
      </c>
      <c r="E39" s="141">
        <v>3</v>
      </c>
      <c r="F39" s="204">
        <v>4</v>
      </c>
      <c r="G39" s="47"/>
      <c r="H39" s="1322"/>
      <c r="I39" s="1323"/>
      <c r="J39" s="1324"/>
    </row>
    <row r="40" spans="1:11" s="48" customFormat="1" ht="31.5" customHeight="1" x14ac:dyDescent="0.2">
      <c r="A40" s="58"/>
      <c r="B40" s="59"/>
      <c r="C40" s="250" t="e">
        <f>+AVERAGE(C28,C31)</f>
        <v>#DIV/0!</v>
      </c>
      <c r="D40" s="251" t="e">
        <f>+AVERAGE(D28,D31)</f>
        <v>#DIV/0!</v>
      </c>
      <c r="E40" s="251" t="e">
        <f>+AVERAGE(E28,E31)</f>
        <v>#DIV/0!</v>
      </c>
      <c r="F40" s="252" t="e">
        <f>+AVERAGE(F28,F31)</f>
        <v>#DIV/0!</v>
      </c>
      <c r="G40" s="47"/>
      <c r="H40" s="1325"/>
      <c r="I40" s="1326"/>
      <c r="J40" s="1327"/>
    </row>
    <row r="41" spans="1:11" s="48" customFormat="1" ht="31.5" customHeight="1" x14ac:dyDescent="0.2">
      <c r="A41" s="58"/>
      <c r="B41" s="60"/>
      <c r="C41" s="253" t="e">
        <f>+AVERAGE(C29:C30)</f>
        <v>#DIV/0!</v>
      </c>
      <c r="D41" s="78" t="e">
        <f>+AVERAGE(D29:D30)</f>
        <v>#DIV/0!</v>
      </c>
      <c r="E41" s="78" t="e">
        <f>+AVERAGE(E29:E30)</f>
        <v>#DIV/0!</v>
      </c>
      <c r="F41" s="254" t="e">
        <f>+AVERAGE(F29:F30)</f>
        <v>#DIV/0!</v>
      </c>
      <c r="G41" s="47"/>
      <c r="H41" s="1325"/>
      <c r="I41" s="1326"/>
      <c r="J41" s="1327"/>
    </row>
    <row r="42" spans="1:11" s="48" customFormat="1" ht="31.5" customHeight="1" thickBot="1" x14ac:dyDescent="0.25">
      <c r="A42" s="58"/>
      <c r="B42" s="62"/>
      <c r="C42" s="255" t="e">
        <f>+C41-C40</f>
        <v>#DIV/0!</v>
      </c>
      <c r="D42" s="256" t="e">
        <f>+D41-D40</f>
        <v>#DIV/0!</v>
      </c>
      <c r="E42" s="256" t="e">
        <f>+E41-E40</f>
        <v>#DIV/0!</v>
      </c>
      <c r="F42" s="257" t="e">
        <f>+F41-F40</f>
        <v>#DIV/0!</v>
      </c>
      <c r="G42" s="47"/>
      <c r="H42" s="1328"/>
      <c r="I42" s="1329"/>
      <c r="J42" s="1330"/>
    </row>
    <row r="43" spans="1:11" s="48" customFormat="1" ht="31.5" customHeight="1" thickBot="1" x14ac:dyDescent="0.25">
      <c r="A43" s="47"/>
      <c r="B43" s="63" t="s">
        <v>36</v>
      </c>
      <c r="C43" s="260" t="e">
        <f>+AVERAGE(C42:F42)</f>
        <v>#DIV/0!</v>
      </c>
      <c r="D43" s="47"/>
      <c r="E43" s="47"/>
      <c r="F43" s="47"/>
      <c r="G43" s="47"/>
      <c r="H43" s="47"/>
      <c r="I43" s="47"/>
      <c r="J43" s="47"/>
    </row>
    <row r="44" spans="1:11" s="48" customFormat="1" ht="31.5" customHeight="1" thickBot="1" x14ac:dyDescent="0.25">
      <c r="A44" s="47"/>
      <c r="B44" s="64" t="s">
        <v>77</v>
      </c>
      <c r="C44" s="287" t="e">
        <f>+STDEV(C42:F42)</f>
        <v>#DIV/0!</v>
      </c>
      <c r="D44" s="47"/>
      <c r="E44" s="47"/>
      <c r="F44" s="47"/>
      <c r="G44" s="47"/>
      <c r="H44" s="47"/>
      <c r="I44" s="47"/>
      <c r="J44" s="47"/>
      <c r="K44" s="46"/>
    </row>
    <row r="45" spans="1:11" s="46" customFormat="1" ht="15" customHeight="1" thickBot="1" x14ac:dyDescent="0.25">
      <c r="A45" s="47"/>
      <c r="B45" s="47"/>
      <c r="C45" s="47"/>
      <c r="D45" s="47"/>
      <c r="E45" s="47"/>
      <c r="F45" s="47"/>
      <c r="G45" s="65"/>
      <c r="H45" s="47"/>
      <c r="I45" s="47"/>
      <c r="J45" s="47"/>
      <c r="K45" s="48"/>
    </row>
    <row r="46" spans="1:11" s="48" customFormat="1" ht="31.5" customHeight="1" thickBot="1" x14ac:dyDescent="0.25">
      <c r="A46" s="1331" t="s">
        <v>37</v>
      </c>
      <c r="B46" s="1332"/>
      <c r="C46" s="1284"/>
      <c r="D46" s="1284"/>
      <c r="E46" s="1284"/>
      <c r="F46" s="1332"/>
      <c r="G46" s="1332"/>
      <c r="H46" s="1332"/>
      <c r="I46" s="1332"/>
      <c r="J46" s="1333"/>
    </row>
    <row r="47" spans="1:11" s="48" customFormat="1" ht="31.5" customHeight="1" thickBot="1" x14ac:dyDescent="0.25">
      <c r="A47" s="1375" t="s">
        <v>321</v>
      </c>
      <c r="B47" s="1376"/>
      <c r="C47" s="1338" t="s">
        <v>38</v>
      </c>
      <c r="D47" s="1339"/>
      <c r="E47" s="1340"/>
      <c r="F47" s="47"/>
      <c r="G47" s="47"/>
      <c r="H47" s="47"/>
      <c r="I47" s="47"/>
      <c r="J47" s="47"/>
    </row>
    <row r="48" spans="1:11" s="48" customFormat="1" ht="36.75" customHeight="1" thickBot="1" x14ac:dyDescent="0.25">
      <c r="A48" s="1377"/>
      <c r="B48" s="1378"/>
      <c r="C48" s="82" t="s">
        <v>27</v>
      </c>
      <c r="D48" s="93" t="s">
        <v>307</v>
      </c>
      <c r="E48" s="83" t="s">
        <v>9</v>
      </c>
      <c r="G48" s="1341" t="s">
        <v>70</v>
      </c>
      <c r="H48" s="1342"/>
      <c r="I48" s="102" t="e">
        <f>+(0.34848*E50-0.009*D50*EXP(0.061*C50))/(273.15+C50)</f>
        <v>#DIV/0!</v>
      </c>
      <c r="J48" s="103" t="s">
        <v>73</v>
      </c>
    </row>
    <row r="49" spans="1:21" s="48" customFormat="1" ht="33" customHeight="1" thickBot="1" x14ac:dyDescent="0.25">
      <c r="A49" s="1306" t="s">
        <v>39</v>
      </c>
      <c r="B49" s="1307"/>
      <c r="C49" s="90" t="e">
        <f>+AVERAGE(E33,E24)</f>
        <v>#DIV/0!</v>
      </c>
      <c r="D49" s="91" t="e">
        <f>+AVERAGE(H33,H24)</f>
        <v>#DIV/0!</v>
      </c>
      <c r="E49" s="92" t="e">
        <f>+AVERAGE(J33,J24)</f>
        <v>#DIV/0!</v>
      </c>
      <c r="G49" s="1308" t="s">
        <v>71</v>
      </c>
      <c r="H49" s="1309"/>
      <c r="I49" s="422" t="e">
        <f>I48*((0.0001)^2+(0.001*I20/2)^2+(-0.0034*D20/2)^2+(-0.01*G20/2)^2)^0.5</f>
        <v>#DIV/0!</v>
      </c>
      <c r="J49" s="66" t="s">
        <v>73</v>
      </c>
    </row>
    <row r="50" spans="1:21" s="48" customFormat="1" ht="36.75" customHeight="1" thickBot="1" x14ac:dyDescent="0.25">
      <c r="A50" s="1686" t="s">
        <v>322</v>
      </c>
      <c r="B50" s="1687"/>
      <c r="C50" s="84" t="e">
        <f>C49+(VLOOKUP(J19,'DATOS %'!J174:W180,9,FALSE))*C49+(VLOOKUP(J19,'DATOS %'!J174:W180,10,FALSE))</f>
        <v>#DIV/0!</v>
      </c>
      <c r="D50" s="85" t="e">
        <f>D49+(VLOOKUP(J19,'DATOS %'!J174:W180,11,FALSE))*D49+(VLOOKUP(J19,'DATOS %'!J174:W180,12,FALSE))</f>
        <v>#DIV/0!</v>
      </c>
      <c r="E50" s="86" t="e">
        <f>E49+(VLOOKUP(J19,'DATOS %'!J174:W180,13,FALSE))*E49+(VLOOKUP(J19,'DATOS %'!J174:W180,14,FALSE))</f>
        <v>#DIV/0!</v>
      </c>
      <c r="G50" s="1341" t="s">
        <v>72</v>
      </c>
      <c r="H50" s="1342"/>
      <c r="I50" s="67">
        <v>1.2</v>
      </c>
      <c r="J50" s="66" t="s">
        <v>73</v>
      </c>
    </row>
    <row r="51" spans="1:21" s="46" customFormat="1" ht="15" customHeight="1" thickBot="1" x14ac:dyDescent="0.25">
      <c r="A51" s="47"/>
      <c r="B51" s="47"/>
      <c r="C51" s="47"/>
      <c r="D51" s="47"/>
      <c r="E51" s="47"/>
      <c r="F51" s="47"/>
      <c r="G51" s="47"/>
      <c r="H51" s="47"/>
      <c r="I51" s="47"/>
      <c r="J51" s="47"/>
      <c r="K51" s="48"/>
    </row>
    <row r="52" spans="1:21" s="48" customFormat="1" ht="31.5" customHeight="1" thickBot="1" x14ac:dyDescent="0.25">
      <c r="A52" s="1331" t="s">
        <v>40</v>
      </c>
      <c r="B52" s="1332"/>
      <c r="C52" s="1332"/>
      <c r="D52" s="1332"/>
      <c r="E52" s="1332"/>
      <c r="F52" s="1332"/>
      <c r="G52" s="1332"/>
      <c r="H52" s="1332"/>
      <c r="I52" s="1332"/>
      <c r="J52" s="1333"/>
    </row>
    <row r="53" spans="1:21" s="48" customFormat="1" ht="31.5" customHeight="1" x14ac:dyDescent="0.35">
      <c r="A53" s="47"/>
      <c r="B53" s="68" t="s">
        <v>41</v>
      </c>
      <c r="C53" s="69"/>
      <c r="D53" s="1345" t="s">
        <v>74</v>
      </c>
      <c r="E53" s="1345"/>
      <c r="F53" s="70" t="s">
        <v>42</v>
      </c>
      <c r="G53" s="71" t="s">
        <v>43</v>
      </c>
      <c r="H53" s="1346" t="s">
        <v>44</v>
      </c>
      <c r="I53" s="1347"/>
      <c r="J53" s="47"/>
    </row>
    <row r="54" spans="1:21" s="48" customFormat="1" ht="31.5" customHeight="1" thickBot="1" x14ac:dyDescent="0.25">
      <c r="A54" s="47"/>
      <c r="B54" s="72" t="e">
        <f>+C43</f>
        <v>#DIV/0!</v>
      </c>
      <c r="C54" s="73" t="s">
        <v>1</v>
      </c>
      <c r="D54" s="261" t="e">
        <f>+C10+C11/1000</f>
        <v>#N/A</v>
      </c>
      <c r="E54" s="73" t="s">
        <v>1</v>
      </c>
      <c r="F54" s="74" t="e">
        <f>+(I48-I50)*(1/H10-1/C13)</f>
        <v>#DIV/0!</v>
      </c>
      <c r="G54" s="75"/>
      <c r="H54" s="67" t="e">
        <f>+(B54+D54*F54)*1000</f>
        <v>#DIV/0!</v>
      </c>
      <c r="I54" s="66" t="s">
        <v>3</v>
      </c>
      <c r="J54" s="47"/>
      <c r="K54" s="46"/>
    </row>
    <row r="55" spans="1:21" s="46" customFormat="1" ht="15" customHeight="1" x14ac:dyDescent="0.2">
      <c r="A55" s="47"/>
      <c r="B55" s="47"/>
      <c r="C55" s="47"/>
      <c r="D55" s="47"/>
      <c r="E55" s="47"/>
      <c r="F55" s="47"/>
      <c r="G55" s="47"/>
      <c r="H55" s="47"/>
      <c r="I55" s="47"/>
      <c r="J55" s="47"/>
      <c r="K55" s="48"/>
    </row>
    <row r="56" spans="1:21" s="48" customFormat="1" ht="31.5" customHeight="1" x14ac:dyDescent="0.2">
      <c r="A56" s="1348" t="s">
        <v>45</v>
      </c>
      <c r="B56" s="1349"/>
      <c r="C56" s="1349"/>
      <c r="D56" s="1349"/>
      <c r="E56" s="1349"/>
      <c r="F56" s="1349"/>
      <c r="G56" s="1349"/>
      <c r="H56" s="1349"/>
      <c r="I56" s="1349"/>
      <c r="J56" s="1349"/>
      <c r="K56" s="46"/>
    </row>
    <row r="57" spans="1:21" s="46" customFormat="1" ht="15" customHeight="1" thickBot="1" x14ac:dyDescent="0.25">
      <c r="A57" s="47"/>
      <c r="B57" s="47"/>
      <c r="C57" s="47"/>
      <c r="D57" s="47"/>
      <c r="E57" s="47"/>
      <c r="K57" s="48"/>
    </row>
    <row r="58" spans="1:21" s="48" customFormat="1" ht="31.5" customHeight="1" thickBot="1" x14ac:dyDescent="0.25">
      <c r="A58" s="1350" t="s">
        <v>38</v>
      </c>
      <c r="B58" s="1351"/>
      <c r="C58" s="1352" t="s">
        <v>46</v>
      </c>
      <c r="D58" s="1353"/>
      <c r="E58" s="1354" t="s">
        <v>238</v>
      </c>
      <c r="F58" s="1379"/>
      <c r="G58" s="1061" t="s">
        <v>553</v>
      </c>
      <c r="J58" s="114"/>
      <c r="L58" s="46"/>
      <c r="Q58" s="47"/>
      <c r="R58" s="47"/>
      <c r="S58" s="47"/>
      <c r="T58" s="47"/>
      <c r="U58" s="47"/>
    </row>
    <row r="59" spans="1:21" s="48" customFormat="1" ht="57.95" customHeight="1" thickBot="1" x14ac:dyDescent="0.25">
      <c r="A59" s="1024" t="s">
        <v>47</v>
      </c>
      <c r="B59" s="1025"/>
      <c r="C59" s="1026" t="e">
        <f>+C44/B26^0.5*1000</f>
        <v>#DIV/0!</v>
      </c>
      <c r="D59" s="1017" t="s">
        <v>3</v>
      </c>
      <c r="E59" s="1027" t="s">
        <v>240</v>
      </c>
      <c r="F59" s="139">
        <f>$B$26-1</f>
        <v>3</v>
      </c>
      <c r="G59" s="1111" t="e">
        <f>(C59/$G$70)^2</f>
        <v>#DIV/0!</v>
      </c>
      <c r="H59" s="47"/>
      <c r="K59" s="156">
        <v>0.3</v>
      </c>
      <c r="L59" s="157">
        <v>1.65</v>
      </c>
      <c r="M59" s="113"/>
    </row>
    <row r="60" spans="1:21" s="48" customFormat="1" ht="57.95" customHeight="1" thickBot="1" x14ac:dyDescent="0.25">
      <c r="A60" s="1019" t="s">
        <v>343</v>
      </c>
      <c r="B60" s="1020" t="s">
        <v>48</v>
      </c>
      <c r="C60" s="1021" t="e">
        <f>+C12/2</f>
        <v>#N/A</v>
      </c>
      <c r="D60" s="1022" t="s">
        <v>3</v>
      </c>
      <c r="E60" s="1023" t="s">
        <v>239</v>
      </c>
      <c r="F60" s="146" t="s">
        <v>265</v>
      </c>
      <c r="G60" s="1112"/>
      <c r="H60" s="1380" t="s">
        <v>241</v>
      </c>
      <c r="I60" s="1356"/>
      <c r="J60" s="1356"/>
      <c r="K60" s="1356"/>
      <c r="L60" s="1356"/>
      <c r="M60" s="1357"/>
    </row>
    <row r="61" spans="1:21" s="48" customFormat="1" ht="57.95" customHeight="1" thickBot="1" x14ac:dyDescent="0.25">
      <c r="A61" s="1028" t="s">
        <v>344</v>
      </c>
      <c r="B61" s="1029"/>
      <c r="C61" s="1030" t="e">
        <f>+C12/3^0.5</f>
        <v>#N/A</v>
      </c>
      <c r="D61" s="1031" t="s">
        <v>3</v>
      </c>
      <c r="E61" s="1032" t="s">
        <v>239</v>
      </c>
      <c r="F61" s="147" t="s">
        <v>265</v>
      </c>
      <c r="G61" s="1112"/>
      <c r="H61" s="132" t="s">
        <v>243</v>
      </c>
      <c r="I61" s="1015" t="e">
        <f>MAX(C59:C62,C66:C67,C68)</f>
        <v>#DIV/0!</v>
      </c>
      <c r="J61" s="151" t="e">
        <f>IF((I62)&lt;=(K59),"1,65","2")</f>
        <v>#DIV/0!</v>
      </c>
      <c r="K61" s="152" t="s">
        <v>242</v>
      </c>
      <c r="L61" s="153" t="s">
        <v>237</v>
      </c>
      <c r="M61" s="360" t="s">
        <v>328</v>
      </c>
    </row>
    <row r="62" spans="1:21" s="48" customFormat="1" ht="57.95" customHeight="1" thickBot="1" x14ac:dyDescent="0.3">
      <c r="A62" s="1024" t="s">
        <v>49</v>
      </c>
      <c r="B62" s="1035"/>
      <c r="C62" s="1036" t="e">
        <f>+SQRT(SUMSQ(C60:C61))</f>
        <v>#N/A</v>
      </c>
      <c r="D62" s="1017" t="s">
        <v>3</v>
      </c>
      <c r="E62" s="1037" t="s">
        <v>240</v>
      </c>
      <c r="F62" s="139">
        <v>200</v>
      </c>
      <c r="G62" s="1112" t="e">
        <f t="shared" ref="G62:G68" si="0">(C62/$G$70)^2</f>
        <v>#N/A</v>
      </c>
      <c r="H62" s="133" t="s">
        <v>244</v>
      </c>
      <c r="I62" s="150" t="e">
        <f>SQRT((C59)^2+(C66)^2+(C67)^2)/I61</f>
        <v>#DIV/0!</v>
      </c>
      <c r="J62" s="126"/>
      <c r="K62" s="154" t="s">
        <v>242</v>
      </c>
      <c r="L62" s="155" t="s">
        <v>252</v>
      </c>
      <c r="M62" s="361" t="s">
        <v>329</v>
      </c>
    </row>
    <row r="63" spans="1:21" s="48" customFormat="1" ht="57.95" customHeight="1" x14ac:dyDescent="0.2">
      <c r="A63" s="1019" t="s">
        <v>345</v>
      </c>
      <c r="B63" s="1020"/>
      <c r="C63" s="1033" t="e">
        <f>+I49</f>
        <v>#DIV/0!</v>
      </c>
      <c r="D63" s="1021" t="s">
        <v>73</v>
      </c>
      <c r="E63" s="1034" t="s">
        <v>239</v>
      </c>
      <c r="F63" s="146" t="s">
        <v>265</v>
      </c>
      <c r="G63" s="1112"/>
      <c r="L63" s="46"/>
      <c r="T63" s="46"/>
      <c r="U63" s="46"/>
    </row>
    <row r="64" spans="1:21" s="48" customFormat="1" ht="57.95" customHeight="1" x14ac:dyDescent="0.2">
      <c r="A64" s="426" t="s">
        <v>50</v>
      </c>
      <c r="B64" s="1018"/>
      <c r="C64" s="425" t="e">
        <f>+H11/2</f>
        <v>#N/A</v>
      </c>
      <c r="D64" s="424" t="s">
        <v>73</v>
      </c>
      <c r="E64" s="423" t="s">
        <v>239</v>
      </c>
      <c r="F64" s="148" t="s">
        <v>265</v>
      </c>
      <c r="G64" s="1112"/>
      <c r="H64" s="130"/>
      <c r="J64" s="130"/>
      <c r="K64" s="130"/>
      <c r="L64" s="130"/>
      <c r="M64" s="130"/>
      <c r="Q64" s="47"/>
      <c r="R64" s="47"/>
      <c r="S64" s="47"/>
      <c r="T64" s="47"/>
      <c r="U64" s="47"/>
    </row>
    <row r="65" spans="1:21" s="48" customFormat="1" ht="57.95" customHeight="1" thickBot="1" x14ac:dyDescent="0.25">
      <c r="A65" s="1028" t="s">
        <v>346</v>
      </c>
      <c r="B65" s="1038"/>
      <c r="C65" s="1039" t="e">
        <f>+C14/2</f>
        <v>#N/A</v>
      </c>
      <c r="D65" s="1031" t="s">
        <v>73</v>
      </c>
      <c r="E65" s="1040" t="s">
        <v>239</v>
      </c>
      <c r="F65" s="147" t="s">
        <v>265</v>
      </c>
      <c r="G65" s="1112"/>
      <c r="H65" s="130"/>
      <c r="I65" s="130"/>
      <c r="J65" s="130"/>
      <c r="K65" s="130"/>
      <c r="L65" s="130"/>
      <c r="M65" s="130"/>
      <c r="Q65" s="46"/>
      <c r="R65" s="46"/>
      <c r="S65" s="46"/>
      <c r="T65" s="46"/>
      <c r="U65" s="46"/>
    </row>
    <row r="66" spans="1:21" s="48" customFormat="1" ht="57.95" customHeight="1" thickBot="1" x14ac:dyDescent="0.3">
      <c r="A66" s="1024" t="s">
        <v>347</v>
      </c>
      <c r="B66" s="1035"/>
      <c r="C66" s="1036" t="e">
        <f>+SQRT(ABS(((C10/1000+C11/1000000)*(C13-H10)/(C13*H10)*C63)^2+((C10/1000+C11/1000000)*(I48-I50))^2*C64^2/H10^4+(C10/1000+C11/1000000)^2*(I48-I50)*((I48-I50)-2*(C15-I50))*C65^2/C13^4))*1000000</f>
        <v>#N/A</v>
      </c>
      <c r="D66" s="1051" t="s">
        <v>3</v>
      </c>
      <c r="E66" s="1037" t="s">
        <v>240</v>
      </c>
      <c r="F66" s="139">
        <v>200</v>
      </c>
      <c r="G66" s="1112" t="e">
        <f t="shared" si="0"/>
        <v>#N/A</v>
      </c>
      <c r="H66" s="130"/>
      <c r="I66" s="1093" t="s">
        <v>554</v>
      </c>
      <c r="J66" s="1095" t="s">
        <v>556</v>
      </c>
      <c r="K66" s="1094" t="s">
        <v>555</v>
      </c>
      <c r="L66" s="130"/>
      <c r="M66" s="130"/>
      <c r="Q66" s="47"/>
      <c r="R66" s="47"/>
      <c r="S66" s="47"/>
      <c r="T66" s="47"/>
      <c r="U66" s="47"/>
    </row>
    <row r="67" spans="1:21" s="48" customFormat="1" ht="57.95" customHeight="1" thickBot="1" x14ac:dyDescent="0.3">
      <c r="A67" s="1047" t="s">
        <v>52</v>
      </c>
      <c r="B67" s="1048"/>
      <c r="C67" s="1049" t="e">
        <f>+(G15/2/3^0.5)*2^0.5*1000</f>
        <v>#N/A</v>
      </c>
      <c r="D67" s="1044" t="s">
        <v>3</v>
      </c>
      <c r="E67" s="1045" t="s">
        <v>239</v>
      </c>
      <c r="F67" s="1050">
        <v>200</v>
      </c>
      <c r="G67" s="1112" t="e">
        <f t="shared" si="0"/>
        <v>#N/A</v>
      </c>
      <c r="H67" s="130"/>
      <c r="I67" s="1096" t="e">
        <f>G70^4/((C59^4/F59)+(C62^4/F62)+(C66^4/F66)+(C67^4/F67)+(C68^4/F68))</f>
        <v>#DIV/0!</v>
      </c>
      <c r="J67" s="1097" t="e">
        <f>TINV(0.05,I67)</f>
        <v>#DIV/0!</v>
      </c>
      <c r="K67" s="1098" t="e">
        <f>1-TDIST(J67,I67,2)</f>
        <v>#DIV/0!</v>
      </c>
      <c r="L67" s="130"/>
      <c r="M67" s="130"/>
    </row>
    <row r="68" spans="1:21" s="46" customFormat="1" ht="65.25" customHeight="1" thickBot="1" x14ac:dyDescent="0.3">
      <c r="A68" s="1041" t="s">
        <v>551</v>
      </c>
      <c r="B68" s="1042"/>
      <c r="C68" s="1043">
        <f>0.37/SQRT(45)</f>
        <v>5.5156343444994808E-2</v>
      </c>
      <c r="D68" s="1044" t="s">
        <v>3</v>
      </c>
      <c r="E68" s="1045" t="s">
        <v>240</v>
      </c>
      <c r="F68" s="1046">
        <v>50</v>
      </c>
      <c r="G68" s="1113" t="e">
        <f t="shared" si="0"/>
        <v>#DIV/0!</v>
      </c>
      <c r="H68" s="130"/>
      <c r="I68" s="130"/>
      <c r="J68" s="130"/>
      <c r="K68" s="130"/>
      <c r="L68" s="130"/>
      <c r="M68" s="130"/>
      <c r="S68" s="48"/>
      <c r="T68" s="48"/>
      <c r="U68" s="48"/>
    </row>
    <row r="69" spans="1:21" s="106" customFormat="1" ht="51.75" customHeight="1" thickBot="1" x14ac:dyDescent="0.25">
      <c r="G69" s="1114" t="e">
        <f>SUM(G59,G62,G66,G67,G68)</f>
        <v>#DIV/0!</v>
      </c>
      <c r="L69" s="130"/>
      <c r="M69" s="130"/>
      <c r="S69" s="48"/>
      <c r="T69" s="48"/>
      <c r="U69" s="48"/>
    </row>
    <row r="70" spans="1:21" s="106" customFormat="1" ht="35.1" customHeight="1" thickBot="1" x14ac:dyDescent="0.3">
      <c r="D70" s="1306" t="s">
        <v>51</v>
      </c>
      <c r="E70" s="1307"/>
      <c r="F70" s="134"/>
      <c r="G70" s="140" t="e">
        <f>+SQRT(SUMSQ(C59,C62,C66,C67,C68))</f>
        <v>#DIV/0!</v>
      </c>
      <c r="H70" s="136" t="s">
        <v>3</v>
      </c>
      <c r="K70" s="130"/>
      <c r="L70" s="107"/>
      <c r="O70" s="48"/>
      <c r="P70" s="48"/>
      <c r="Q70" s="48"/>
      <c r="R70" s="48"/>
      <c r="S70" s="48"/>
      <c r="T70" s="48"/>
      <c r="U70" s="48"/>
    </row>
    <row r="71" spans="1:21" s="106" customFormat="1" ht="33.75" customHeight="1" thickBot="1" x14ac:dyDescent="4.45">
      <c r="D71" s="1306" t="s">
        <v>53</v>
      </c>
      <c r="E71" s="1307"/>
      <c r="F71" s="135"/>
      <c r="G71" s="140" t="e">
        <f>+G70*2</f>
        <v>#DIV/0!</v>
      </c>
      <c r="H71" s="137" t="s">
        <v>3</v>
      </c>
      <c r="K71" s="110"/>
      <c r="L71" s="117"/>
      <c r="O71" s="48"/>
      <c r="P71" s="48"/>
      <c r="Q71" s="48"/>
      <c r="R71" s="48"/>
      <c r="S71" s="48"/>
      <c r="T71" s="48"/>
      <c r="U71" s="48"/>
    </row>
    <row r="72" spans="1:21" s="106" customFormat="1" ht="35.1" customHeight="1" thickBot="1" x14ac:dyDescent="0.25">
      <c r="B72" s="1313" t="s">
        <v>54</v>
      </c>
      <c r="C72" s="1314"/>
      <c r="D72" s="1314"/>
      <c r="E72" s="1314"/>
      <c r="F72" s="1314"/>
      <c r="G72" s="1314"/>
      <c r="H72" s="1314"/>
      <c r="I72" s="1314"/>
      <c r="J72" s="1314"/>
      <c r="K72" s="1315"/>
      <c r="O72" s="48"/>
      <c r="P72" s="48"/>
      <c r="Q72" s="48"/>
      <c r="R72" s="48"/>
      <c r="S72" s="48"/>
      <c r="T72" s="48"/>
      <c r="U72" s="48"/>
    </row>
    <row r="73" spans="1:21" s="106" customFormat="1" ht="40.5" customHeight="1" thickBot="1" x14ac:dyDescent="0.25">
      <c r="B73" s="1368" t="s">
        <v>255</v>
      </c>
      <c r="C73" s="1369"/>
      <c r="D73" s="1369"/>
      <c r="E73" s="1370"/>
      <c r="F73" s="79"/>
      <c r="G73" s="80"/>
      <c r="H73" s="1371"/>
      <c r="I73" s="1372"/>
      <c r="J73" s="1372"/>
      <c r="K73" s="1373"/>
      <c r="O73" s="48"/>
      <c r="P73" s="48"/>
      <c r="Q73" s="48"/>
      <c r="R73" s="48"/>
      <c r="S73" s="48"/>
      <c r="T73" s="48"/>
      <c r="U73" s="48"/>
    </row>
    <row r="74" spans="1:21" s="106" customFormat="1" ht="35.1" customHeight="1" x14ac:dyDescent="0.2">
      <c r="B74" s="118"/>
      <c r="C74" s="362" t="s">
        <v>348</v>
      </c>
      <c r="D74" s="119" t="s">
        <v>253</v>
      </c>
      <c r="E74" s="120"/>
      <c r="F74" s="1358"/>
      <c r="G74" s="1358"/>
      <c r="H74" s="1359" t="s">
        <v>266</v>
      </c>
      <c r="I74" s="1381" t="s">
        <v>254</v>
      </c>
      <c r="J74" s="1381"/>
      <c r="K74" s="1382"/>
      <c r="O74" s="48"/>
      <c r="P74" s="48"/>
      <c r="Q74" s="48"/>
      <c r="R74" s="48"/>
      <c r="S74" s="48"/>
      <c r="T74" s="48"/>
      <c r="U74" s="48"/>
    </row>
    <row r="75" spans="1:21" s="106" customFormat="1" ht="35.1" customHeight="1" x14ac:dyDescent="0.2">
      <c r="B75" s="81" t="e">
        <f>C10</f>
        <v>#N/A</v>
      </c>
      <c r="C75" s="77" t="e">
        <f>C11</f>
        <v>#N/A</v>
      </c>
      <c r="D75" s="78" t="e">
        <f>H54</f>
        <v>#DIV/0!</v>
      </c>
      <c r="E75" s="216" t="e">
        <f>B75+(C75/1000)+(D75/1000)</f>
        <v>#N/A</v>
      </c>
      <c r="F75" s="216" t="e">
        <f>E75*1000-B75*1000</f>
        <v>#N/A</v>
      </c>
      <c r="G75" s="61"/>
      <c r="H75" s="1360"/>
      <c r="I75" s="218" t="e">
        <f>G71</f>
        <v>#DIV/0!</v>
      </c>
      <c r="J75" s="1364"/>
      <c r="K75" s="1365"/>
      <c r="O75" s="48"/>
      <c r="P75" s="48"/>
      <c r="Q75" s="48"/>
      <c r="R75" s="48"/>
      <c r="S75" s="48"/>
      <c r="T75" s="48"/>
      <c r="U75" s="48"/>
    </row>
    <row r="76" spans="1:21" s="106" customFormat="1" ht="35.1" customHeight="1" thickBot="1" x14ac:dyDescent="0.25">
      <c r="B76" s="87" t="e">
        <f>B75</f>
        <v>#N/A</v>
      </c>
      <c r="C76" s="88" t="e">
        <f>C75</f>
        <v>#N/A</v>
      </c>
      <c r="D76" s="88" t="e">
        <f>D75</f>
        <v>#DIV/0!</v>
      </c>
      <c r="E76" s="217" t="e">
        <f>B76+(C76/1000)+(D76/1000)</f>
        <v>#N/A</v>
      </c>
      <c r="F76" s="262" t="e">
        <f>F75/1000</f>
        <v>#N/A</v>
      </c>
      <c r="G76" s="89"/>
      <c r="H76" s="1361"/>
      <c r="I76" s="263" t="e">
        <f>I75/1000</f>
        <v>#DIV/0!</v>
      </c>
      <c r="J76" s="1366"/>
      <c r="K76" s="1367"/>
      <c r="O76" s="48"/>
      <c r="P76" s="48"/>
      <c r="Q76" s="48"/>
      <c r="R76" s="48"/>
      <c r="S76" s="48"/>
      <c r="T76" s="48"/>
      <c r="U76" s="48"/>
    </row>
    <row r="77" spans="1:21" s="106" customFormat="1" ht="35.1" customHeight="1" x14ac:dyDescent="0.2">
      <c r="O77" s="48"/>
      <c r="P77" s="48"/>
      <c r="Q77" s="48"/>
      <c r="R77" s="48"/>
      <c r="S77" s="48"/>
      <c r="T77" s="48"/>
      <c r="U77" s="48"/>
    </row>
    <row r="78" spans="1:21" s="106" customFormat="1" ht="35.1" customHeight="1" x14ac:dyDescent="0.2"/>
    <row r="79" spans="1:21" s="107" customFormat="1" ht="35.1" customHeight="1" x14ac:dyDescent="0.2">
      <c r="A79" s="109"/>
    </row>
    <row r="80" spans="1:21" s="111" customFormat="1" ht="35.1" customHeight="1" x14ac:dyDescent="0.2"/>
    <row r="81" spans="7:11" s="106" customFormat="1" ht="61.5" customHeight="1" x14ac:dyDescent="0.2"/>
    <row r="82" spans="7:11" s="106" customFormat="1" ht="35.1" customHeight="1" x14ac:dyDescent="0.2"/>
    <row r="83" spans="7:11" s="106" customFormat="1" ht="35.1" customHeight="1" x14ac:dyDescent="0.2">
      <c r="G83" s="111"/>
      <c r="H83" s="111"/>
      <c r="I83" s="111"/>
      <c r="J83" s="111"/>
      <c r="K83" s="108"/>
    </row>
    <row r="84" spans="7:11" s="106" customFormat="1" ht="35.1" customHeight="1" x14ac:dyDescent="0.2"/>
    <row r="85" spans="7:11" s="106" customFormat="1" ht="50.1" customHeight="1" x14ac:dyDescent="0.2"/>
    <row r="86" spans="7:11" s="106" customFormat="1" ht="57.75" customHeight="1" x14ac:dyDescent="0.2"/>
    <row r="87" spans="7:11" s="106" customFormat="1" ht="35.1" customHeight="1" x14ac:dyDescent="0.2"/>
    <row r="88" spans="7:11" s="106" customFormat="1" ht="35.1" customHeight="1" x14ac:dyDescent="0.2"/>
    <row r="89" spans="7:11" s="106" customFormat="1" ht="35.1" customHeight="1" x14ac:dyDescent="0.2"/>
    <row r="90" spans="7:11" s="106" customFormat="1" ht="50.1" customHeight="1" x14ac:dyDescent="0.2"/>
    <row r="91" spans="7:11" s="106" customFormat="1" ht="55.5" customHeight="1" x14ac:dyDescent="0.2">
      <c r="J91" s="111"/>
    </row>
    <row r="92" spans="7:11" s="106" customFormat="1" ht="50.1" customHeight="1" x14ac:dyDescent="0.2">
      <c r="J92" s="111"/>
    </row>
    <row r="93" spans="7:11" s="107" customFormat="1" ht="31.5" customHeight="1" x14ac:dyDescent="0.2">
      <c r="J93" s="111"/>
    </row>
    <row r="94" spans="7:11" s="106" customFormat="1" ht="35.1" customHeight="1" x14ac:dyDescent="0.2">
      <c r="G94" s="111"/>
      <c r="H94" s="111"/>
      <c r="I94" s="111"/>
      <c r="J94" s="111"/>
    </row>
    <row r="95" spans="7:11" s="106" customFormat="1" ht="35.1" customHeight="1" x14ac:dyDescent="0.2">
      <c r="G95" s="111"/>
      <c r="H95" s="111"/>
      <c r="I95" s="111"/>
      <c r="J95" s="111"/>
    </row>
    <row r="96" spans="7:11" s="106" customFormat="1" ht="9.9499999999999993" customHeight="1" x14ac:dyDescent="0.2">
      <c r="G96" s="108"/>
      <c r="H96" s="108"/>
      <c r="I96" s="108"/>
      <c r="J96" s="108"/>
    </row>
    <row r="97" spans="1:12" s="106" customFormat="1" ht="35.1" customHeight="1" x14ac:dyDescent="0.2">
      <c r="J97" s="108"/>
      <c r="K97" s="108"/>
      <c r="L97" s="108"/>
    </row>
    <row r="98" spans="1:12" s="46" customFormat="1" ht="15" customHeight="1" x14ac:dyDescent="0.2">
      <c r="A98" s="47"/>
      <c r="G98" s="47"/>
      <c r="H98" s="47"/>
      <c r="I98" s="47"/>
      <c r="J98" s="47"/>
      <c r="K98" s="48"/>
    </row>
    <row r="99" spans="1:12" s="48" customFormat="1" ht="31.5" customHeight="1" x14ac:dyDescent="0.2">
      <c r="A99" s="47"/>
      <c r="B99" s="47"/>
      <c r="C99" s="47"/>
      <c r="D99" s="47"/>
      <c r="E99" s="47"/>
      <c r="F99" s="47"/>
      <c r="G99" s="47"/>
      <c r="H99" s="47"/>
      <c r="I99" s="47"/>
      <c r="J99" s="47"/>
    </row>
    <row r="100" spans="1:12" s="48" customFormat="1" ht="31.5" customHeight="1" x14ac:dyDescent="0.2"/>
    <row r="101" spans="1:12" s="48" customFormat="1" ht="31.5" customHeight="1" x14ac:dyDescent="0.2"/>
    <row r="102" spans="1:12" s="48" customFormat="1" ht="52.5" customHeight="1" x14ac:dyDescent="0.2"/>
    <row r="103" spans="1:12" s="48" customFormat="1" ht="31.5" customHeight="1" x14ac:dyDescent="0.2">
      <c r="K103" s="8"/>
    </row>
    <row r="104" spans="1:12" s="48" customFormat="1" ht="31.5" customHeight="1" x14ac:dyDescent="0.2">
      <c r="K104" s="8"/>
    </row>
    <row r="105" spans="1:12" ht="31.5" customHeight="1" x14ac:dyDescent="0.2">
      <c r="G105" s="76"/>
    </row>
    <row r="106" spans="1:12" ht="51" customHeight="1" x14ac:dyDescent="0.2"/>
    <row r="108" spans="1:12" ht="31.5" customHeight="1" x14ac:dyDescent="0.2">
      <c r="B108" s="29"/>
      <c r="C108" s="29"/>
      <c r="D108" s="29"/>
      <c r="E108" s="29"/>
      <c r="F108" s="29"/>
      <c r="G108" s="29"/>
      <c r="H108" s="29"/>
      <c r="I108" s="29"/>
      <c r="J108" s="29"/>
    </row>
    <row r="109" spans="1:12" ht="31.5" customHeight="1" x14ac:dyDescent="0.2">
      <c r="B109" s="29"/>
      <c r="C109" s="29"/>
      <c r="D109" s="29"/>
      <c r="E109" s="29"/>
      <c r="F109" s="29"/>
      <c r="G109" s="29"/>
      <c r="H109" s="29"/>
      <c r="I109" s="29"/>
      <c r="J109" s="29"/>
    </row>
    <row r="110" spans="1:12" ht="31.5" customHeight="1" x14ac:dyDescent="0.2">
      <c r="B110" s="29"/>
      <c r="C110" s="29"/>
      <c r="D110" s="29"/>
      <c r="E110" s="29"/>
      <c r="F110" s="29"/>
      <c r="G110" s="29"/>
      <c r="H110" s="29"/>
      <c r="I110" s="29"/>
      <c r="J110" s="29"/>
    </row>
    <row r="111" spans="1:12" ht="31.5" customHeight="1" x14ac:dyDescent="0.2">
      <c r="B111" s="29"/>
      <c r="C111" s="29"/>
      <c r="D111" s="29"/>
      <c r="E111" s="29"/>
      <c r="F111" s="29"/>
      <c r="G111" s="29"/>
      <c r="H111" s="29"/>
      <c r="I111" s="29"/>
      <c r="J111" s="29"/>
    </row>
    <row r="112" spans="1:12" ht="31.5" customHeight="1" x14ac:dyDescent="0.2">
      <c r="B112" s="29"/>
      <c r="C112" s="29"/>
      <c r="D112" s="29"/>
      <c r="E112" s="29"/>
      <c r="F112" s="29"/>
      <c r="G112" s="29"/>
      <c r="H112" s="29"/>
      <c r="I112" s="29"/>
      <c r="J112" s="29"/>
    </row>
    <row r="113" spans="2:10" ht="31.5" customHeight="1" x14ac:dyDescent="0.2">
      <c r="B113" s="29"/>
      <c r="C113" s="29"/>
      <c r="D113" s="29"/>
      <c r="E113" s="29"/>
      <c r="F113" s="29"/>
      <c r="G113" s="29"/>
      <c r="H113" s="29"/>
      <c r="I113" s="29"/>
      <c r="J113" s="29"/>
    </row>
    <row r="114" spans="2:10" ht="31.5" customHeight="1" x14ac:dyDescent="0.2">
      <c r="B114" s="29"/>
      <c r="C114" s="29"/>
      <c r="D114" s="29"/>
      <c r="E114" s="29"/>
      <c r="F114" s="29"/>
      <c r="G114" s="29"/>
      <c r="H114" s="29"/>
      <c r="I114" s="29"/>
      <c r="J114" s="29"/>
    </row>
  </sheetData>
  <sheetProtection password="CF5C" sheet="1" objects="1" scenarios="1"/>
  <mergeCells count="62">
    <mergeCell ref="A13:B13"/>
    <mergeCell ref="F13:I13"/>
    <mergeCell ref="A1:B1"/>
    <mergeCell ref="C1:M1"/>
    <mergeCell ref="I3:J4"/>
    <mergeCell ref="A6:D6"/>
    <mergeCell ref="F6:I6"/>
    <mergeCell ref="F9:G9"/>
    <mergeCell ref="A10:B10"/>
    <mergeCell ref="F10:G10"/>
    <mergeCell ref="A11:B11"/>
    <mergeCell ref="F11:G11"/>
    <mergeCell ref="A12:B12"/>
    <mergeCell ref="A27:B27"/>
    <mergeCell ref="G27:H27"/>
    <mergeCell ref="A14:B14"/>
    <mergeCell ref="A15:B15"/>
    <mergeCell ref="A16:B16"/>
    <mergeCell ref="C16:D16"/>
    <mergeCell ref="A18:J18"/>
    <mergeCell ref="F19:G19"/>
    <mergeCell ref="J19:J20"/>
    <mergeCell ref="A20:B20"/>
    <mergeCell ref="E20:F20"/>
    <mergeCell ref="A22:J22"/>
    <mergeCell ref="C24:D24"/>
    <mergeCell ref="F24:G24"/>
    <mergeCell ref="C26:F26"/>
    <mergeCell ref="G26:H26"/>
    <mergeCell ref="A49:B49"/>
    <mergeCell ref="G49:H49"/>
    <mergeCell ref="A28:A31"/>
    <mergeCell ref="C33:D33"/>
    <mergeCell ref="F33:G33"/>
    <mergeCell ref="A36:J36"/>
    <mergeCell ref="B38:F38"/>
    <mergeCell ref="H38:J38"/>
    <mergeCell ref="H39:J42"/>
    <mergeCell ref="A46:J46"/>
    <mergeCell ref="A47:B48"/>
    <mergeCell ref="C47:E47"/>
    <mergeCell ref="G48:H48"/>
    <mergeCell ref="A56:J56"/>
    <mergeCell ref="A58:B58"/>
    <mergeCell ref="C58:D58"/>
    <mergeCell ref="E58:F58"/>
    <mergeCell ref="H60:M60"/>
    <mergeCell ref="A50:B50"/>
    <mergeCell ref="G50:H50"/>
    <mergeCell ref="A52:J52"/>
    <mergeCell ref="D53:E53"/>
    <mergeCell ref="H53:I53"/>
    <mergeCell ref="F74:G74"/>
    <mergeCell ref="H74:H76"/>
    <mergeCell ref="I74:K74"/>
    <mergeCell ref="J75:K75"/>
    <mergeCell ref="J76:K76"/>
    <mergeCell ref="D70:E70"/>
    <mergeCell ref="D71:E71"/>
    <mergeCell ref="B72:K72"/>
    <mergeCell ref="B73:E73"/>
    <mergeCell ref="H73:K73"/>
  </mergeCells>
  <printOptions horizontalCentered="1"/>
  <pageMargins left="0.70866141732283472" right="0.70866141732283472" top="0.74803149606299213" bottom="0.74803149606299213" header="0.31496062992125984" footer="0.31496062992125984"/>
  <pageSetup scale="13" orientation="portrait" r:id="rId1"/>
  <headerFooter>
    <oddHeader xml:space="preserve">&amp;C
&amp;16   
</oddHeader>
    <oddFooter xml:space="preserve">&amp;RRT03-F13 Vr.14 (2021-05-21)
</oddFooter>
  </headerFooter>
  <rowBreaks count="1" manualBreakCount="1">
    <brk id="34" max="12" man="1"/>
  </rowBreaks>
  <drawing r:id="rId2"/>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1D00-000000000000}">
          <x14:formula1>
            <xm:f>'DATOS %'!$J$174:$J$179</xm:f>
          </x14:formula1>
          <xm:sqref>J19:J20</xm:sqref>
        </x14:dataValidation>
        <x14:dataValidation type="list" allowBlank="1" showInputMessage="1" showErrorMessage="1" xr:uid="{00000000-0002-0000-1D00-000001000000}">
          <x14:formula1>
            <xm:f>'DATOS %'!$N$121:$N$166</xm:f>
          </x14:formula1>
          <xm:sqref>F48</xm:sqref>
        </x14:dataValidation>
        <x14:dataValidation type="list" allowBlank="1" showInputMessage="1" showErrorMessage="1" xr:uid="{00000000-0002-0000-1D00-000002000000}">
          <x14:formula1>
            <xm:f>'DATOS %'!$N$29:$N$113</xm:f>
          </x14:formula1>
          <xm:sqref>E6</xm:sqref>
        </x14:dataValidation>
        <x14:dataValidation type="list" allowBlank="1" showInputMessage="1" showErrorMessage="1" xr:uid="{00000000-0002-0000-1D00-000003000000}">
          <x14:formula1>
            <xm:f>'DATOS %'!$V$120:$V$126</xm:f>
          </x14:formula1>
          <xm:sqref>J13</xm:sqref>
        </x14:dataValidation>
        <x14:dataValidation type="list" allowBlank="1" showInputMessage="1" showErrorMessage="1" xr:uid="{00000000-0002-0000-1D00-000004000000}">
          <x14:formula1>
            <xm:f>'DATOS %'!$V$161:$V$165</xm:f>
          </x14:formula1>
          <xm:sqref>H25</xm:sqref>
        </x14:dataValidation>
        <x14:dataValidation type="list" allowBlank="1" showInputMessage="1" showErrorMessage="1" xr:uid="{00000000-0002-0000-1D00-000005000000}">
          <x14:formula1>
            <xm:f>'DATOS %'!$B$7:$B$40</xm:f>
          </x14:formula1>
          <xm:sqref>I3:J4</xm:sqref>
        </x14:dataValidation>
      </x14:dataValidation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sheetPr>
  <dimension ref="A1:U115"/>
  <sheetViews>
    <sheetView showGridLines="0" view="pageBreakPreview" topLeftCell="A19" zoomScale="80" zoomScaleNormal="60" zoomScaleSheetLayoutView="80" workbookViewId="0">
      <selection activeCell="C65" sqref="C65"/>
    </sheetView>
  </sheetViews>
  <sheetFormatPr baseColWidth="10" defaultColWidth="11.42578125" defaultRowHeight="31.5" customHeight="1" x14ac:dyDescent="0.2"/>
  <cols>
    <col min="1" max="1" width="14.7109375" style="37" customWidth="1"/>
    <col min="2" max="2" width="12" style="37" customWidth="1"/>
    <col min="3" max="3" width="15.7109375" style="37" customWidth="1"/>
    <col min="4" max="4" width="17" style="37" customWidth="1"/>
    <col min="5" max="5" width="15.5703125" style="37" customWidth="1"/>
    <col min="6" max="6" width="18.5703125" style="37" customWidth="1"/>
    <col min="7" max="7" width="15.7109375" style="37" customWidth="1"/>
    <col min="8" max="8" width="24.42578125" style="37" bestFit="1" customWidth="1"/>
    <col min="9" max="9" width="13.85546875" style="37" bestFit="1" customWidth="1"/>
    <col min="10" max="10" width="13.7109375" style="37" customWidth="1"/>
    <col min="11" max="19" width="11.42578125" style="8"/>
    <col min="20" max="20" width="15.85546875" style="8" bestFit="1" customWidth="1"/>
    <col min="21" max="21" width="14.42578125" style="8" bestFit="1" customWidth="1"/>
    <col min="22" max="16384" width="11.42578125" style="8"/>
  </cols>
  <sheetData>
    <row r="1" spans="1:16" ht="60" customHeight="1" thickBot="1" x14ac:dyDescent="0.25">
      <c r="A1" s="1257"/>
      <c r="B1" s="1258"/>
      <c r="C1" s="1259" t="s">
        <v>57</v>
      </c>
      <c r="D1" s="1260"/>
      <c r="E1" s="1260"/>
      <c r="F1" s="1260"/>
      <c r="G1" s="1260"/>
      <c r="H1" s="1260"/>
      <c r="I1" s="1260"/>
      <c r="J1" s="1260"/>
      <c r="K1" s="1260"/>
      <c r="L1" s="1260"/>
      <c r="M1" s="1261"/>
      <c r="N1" s="7"/>
      <c r="O1" s="7"/>
      <c r="P1" s="7"/>
    </row>
    <row r="2" spans="1:16" s="11" customFormat="1" ht="9.75" customHeight="1" thickBot="1" x14ac:dyDescent="0.25">
      <c r="A2" s="9"/>
      <c r="B2" s="9"/>
      <c r="C2" s="10"/>
      <c r="D2" s="10"/>
      <c r="E2" s="10"/>
      <c r="F2" s="10"/>
      <c r="G2" s="10"/>
      <c r="H2" s="10"/>
      <c r="K2" s="12"/>
      <c r="M2" s="7"/>
    </row>
    <row r="3" spans="1:16" s="12" customFormat="1" ht="35.25" customHeight="1" thickBot="1" x14ac:dyDescent="0.25">
      <c r="A3" s="13" t="s">
        <v>17</v>
      </c>
      <c r="B3" s="14" t="s">
        <v>55</v>
      </c>
      <c r="C3" s="15" t="s">
        <v>209</v>
      </c>
      <c r="D3" s="15" t="s">
        <v>56</v>
      </c>
      <c r="E3" s="15" t="s">
        <v>8</v>
      </c>
      <c r="F3" s="16" t="s">
        <v>18</v>
      </c>
      <c r="G3" s="16" t="s">
        <v>297</v>
      </c>
      <c r="H3" s="17" t="s">
        <v>24</v>
      </c>
      <c r="I3" s="1262"/>
      <c r="J3" s="1263"/>
      <c r="K3" s="11"/>
      <c r="M3" s="7"/>
    </row>
    <row r="4" spans="1:16" s="11" customFormat="1" ht="32.25" customHeight="1" thickBot="1" x14ac:dyDescent="0.25">
      <c r="A4" s="18" t="e">
        <f>VLOOKUP($I$3,'DATOS %'!B7:J40,2,FALSE)</f>
        <v>#N/A</v>
      </c>
      <c r="B4" s="212" t="e">
        <f>VLOOKUP($I$3,'DATOS %'!$B$7:$J$40,3,FALSE)</f>
        <v>#N/A</v>
      </c>
      <c r="C4" s="19" t="e">
        <f>VLOOKUP($I$3,'DATOS %'!$B$7:$J$40,8,FALSE)</f>
        <v>#N/A</v>
      </c>
      <c r="D4" s="19" t="e">
        <f>VLOOKUP($I$3,'DATOS %'!$B$7:$J$40,6,FALSE)</f>
        <v>#N/A</v>
      </c>
      <c r="E4" s="212" t="e">
        <f>VLOOKUP($I$3,'DATOS %'!$B$7:$J$40,7,FALSE)</f>
        <v>#N/A</v>
      </c>
      <c r="F4" s="18" t="e">
        <f>VLOOKUP($I$3,'DATOS %'!$B$7:$J$40,4,FALSE)</f>
        <v>#N/A</v>
      </c>
      <c r="G4" s="18" t="e">
        <f>VLOOKUP($I$3,'DATOS %'!$B$7:$J$40,5,FALSE)</f>
        <v>#N/A</v>
      </c>
      <c r="H4" s="19" t="e">
        <f>VLOOKUP($I$3,'DATOS %'!$B$7:$J$40,9,FALSE)</f>
        <v>#N/A</v>
      </c>
      <c r="I4" s="1264"/>
      <c r="J4" s="1265"/>
      <c r="K4" s="8"/>
      <c r="L4" s="20"/>
      <c r="M4" s="20"/>
    </row>
    <row r="5" spans="1:16" s="22" customFormat="1" ht="6.75" customHeight="1" thickBot="1" x14ac:dyDescent="0.25">
      <c r="A5" s="21"/>
      <c r="B5" s="21"/>
      <c r="C5" s="21"/>
      <c r="F5" s="21"/>
      <c r="G5" s="21"/>
      <c r="H5" s="21"/>
      <c r="K5" s="8"/>
    </row>
    <row r="6" spans="1:16" ht="31.5" customHeight="1" thickBot="1" x14ac:dyDescent="0.25">
      <c r="A6" s="1266" t="s">
        <v>19</v>
      </c>
      <c r="B6" s="1267"/>
      <c r="C6" s="1267"/>
      <c r="D6" s="1268"/>
      <c r="E6" s="4"/>
      <c r="F6" s="1266" t="s">
        <v>20</v>
      </c>
      <c r="G6" s="1267"/>
      <c r="H6" s="1267"/>
      <c r="I6" s="1268"/>
      <c r="J6" s="402">
        <f>I3</f>
        <v>0</v>
      </c>
    </row>
    <row r="7" spans="1:16" ht="31.5" customHeight="1" x14ac:dyDescent="0.2">
      <c r="A7" s="23" t="s">
        <v>21</v>
      </c>
      <c r="B7" s="24" t="e">
        <f>VLOOKUP($E$6,'DATOS %'!N11:AA113,2,FALSE)</f>
        <v>#N/A</v>
      </c>
      <c r="C7" s="25" t="s">
        <v>10</v>
      </c>
      <c r="D7" s="26" t="e">
        <f>VLOOKUP($E$6,'DATOS %'!N11:AA113,3,FALSE)</f>
        <v>#N/A</v>
      </c>
      <c r="E7" s="27"/>
      <c r="F7" s="23" t="s">
        <v>21</v>
      </c>
      <c r="G7" s="24" t="e">
        <f>VLOOKUP($J$6,'DATOS %'!B47:I79,2,FALSE)</f>
        <v>#N/A</v>
      </c>
      <c r="H7" s="28" t="s">
        <v>10</v>
      </c>
      <c r="I7" s="26" t="e">
        <f>VLOOKUP($J$6,'DATOS %'!B47:I79,3,FALSE)</f>
        <v>#N/A</v>
      </c>
      <c r="J7" s="29"/>
    </row>
    <row r="8" spans="1:16" ht="31.5" customHeight="1" x14ac:dyDescent="0.2">
      <c r="A8" s="30" t="s">
        <v>22</v>
      </c>
      <c r="B8" s="31" t="e">
        <f>VLOOKUP($E$6,'DATOS %'!N11:AA113,4,FALSE)</f>
        <v>#N/A</v>
      </c>
      <c r="C8" s="32" t="s">
        <v>23</v>
      </c>
      <c r="D8" s="33" t="e">
        <f>VLOOKUP($E$6,'DATOS %'!N11:AA113,5,FALSE)</f>
        <v>#N/A</v>
      </c>
      <c r="E8" s="27"/>
      <c r="F8" s="30" t="s">
        <v>22</v>
      </c>
      <c r="G8" s="31" t="e">
        <f>VLOOKUP($J$6,'DATOS %'!B47:I79,4,FALSE)</f>
        <v>#N/A</v>
      </c>
      <c r="H8" s="32" t="s">
        <v>23</v>
      </c>
      <c r="I8" s="297" t="e">
        <f>VLOOKUP($J$6,'DATOS %'!B47:I79,5,FALSE)</f>
        <v>#N/A</v>
      </c>
      <c r="J8" s="29"/>
    </row>
    <row r="9" spans="1:16" ht="31.5" customHeight="1" x14ac:dyDescent="0.2">
      <c r="A9" s="34" t="s">
        <v>24</v>
      </c>
      <c r="B9" s="31" t="e">
        <f>VLOOKUP($E$6,'DATOS %'!N11:AA113,6,FALSE)</f>
        <v>#N/A</v>
      </c>
      <c r="C9" s="35" t="s">
        <v>15</v>
      </c>
      <c r="D9" s="36" t="e">
        <f>VLOOKUP($E$6,'DATOS %'!N11:AA113,7,FALSE)</f>
        <v>#N/A</v>
      </c>
      <c r="F9" s="1252" t="s">
        <v>62</v>
      </c>
      <c r="G9" s="1253"/>
      <c r="H9" s="31" t="e">
        <f>VLOOKUP($J$6,'DATOS %'!B47:I79,6,FALSE)</f>
        <v>#N/A</v>
      </c>
      <c r="I9" s="33" t="s">
        <v>1</v>
      </c>
      <c r="J9" s="29"/>
      <c r="K9" s="208"/>
    </row>
    <row r="10" spans="1:16" s="38" customFormat="1" ht="31.5" customHeight="1" x14ac:dyDescent="0.25">
      <c r="A10" s="1252" t="s">
        <v>63</v>
      </c>
      <c r="B10" s="1253"/>
      <c r="C10" s="223" t="e">
        <f>VLOOKUP($E$6,'DATOS %'!N11:AA113,8,FALSE)</f>
        <v>#N/A</v>
      </c>
      <c r="D10" s="33" t="s">
        <v>1</v>
      </c>
      <c r="F10" s="1252" t="s">
        <v>64</v>
      </c>
      <c r="G10" s="1253"/>
      <c r="H10" s="213" t="e">
        <f>VLOOKUP($J$6,'DATOS %'!B47:I79,7,FALSE)</f>
        <v>#N/A</v>
      </c>
      <c r="I10" s="33" t="s">
        <v>76</v>
      </c>
      <c r="J10" s="39"/>
    </row>
    <row r="11" spans="1:16" s="38" customFormat="1" ht="31.5" customHeight="1" thickBot="1" x14ac:dyDescent="0.3">
      <c r="A11" s="1252" t="s">
        <v>65</v>
      </c>
      <c r="B11" s="1253"/>
      <c r="C11" s="31" t="e">
        <f>VLOOKUP($E$6,'DATOS %'!N11:AA113,9,FALSE)</f>
        <v>#N/A</v>
      </c>
      <c r="D11" s="33" t="s">
        <v>3</v>
      </c>
      <c r="E11" s="40"/>
      <c r="F11" s="1271" t="s">
        <v>66</v>
      </c>
      <c r="G11" s="1272"/>
      <c r="H11" s="41" t="e">
        <f>VLOOKUP($J$6,'DATOS %'!B47:I79,8,FALSE)</f>
        <v>#N/A</v>
      </c>
      <c r="I11" s="45" t="s">
        <v>76</v>
      </c>
      <c r="J11" s="39"/>
    </row>
    <row r="12" spans="1:16" s="38" customFormat="1" ht="31.5" customHeight="1" thickBot="1" x14ac:dyDescent="0.3">
      <c r="A12" s="1252" t="s">
        <v>67</v>
      </c>
      <c r="B12" s="1253"/>
      <c r="C12" s="31" t="e">
        <f>VLOOKUP($E$6,'DATOS %'!N11:AA113,10,FALSE)</f>
        <v>#N/A</v>
      </c>
      <c r="D12" s="33" t="s">
        <v>3</v>
      </c>
      <c r="E12" s="39"/>
      <c r="F12" s="39"/>
      <c r="G12" s="39"/>
      <c r="H12" s="39"/>
    </row>
    <row r="13" spans="1:16" s="38" customFormat="1" ht="31.5" customHeight="1" thickBot="1" x14ac:dyDescent="0.3">
      <c r="A13" s="1252" t="s">
        <v>68</v>
      </c>
      <c r="B13" s="1253"/>
      <c r="C13" s="213" t="e">
        <f>VLOOKUP($E$6,'DATOS %'!N11:AA113,11,FALSE)</f>
        <v>#N/A</v>
      </c>
      <c r="D13" s="33" t="s">
        <v>76</v>
      </c>
      <c r="E13" s="39"/>
      <c r="F13" s="1254" t="s">
        <v>559</v>
      </c>
      <c r="G13" s="1255"/>
      <c r="H13" s="1255"/>
      <c r="I13" s="1256"/>
      <c r="J13" s="5"/>
    </row>
    <row r="14" spans="1:16" s="38" customFormat="1" ht="31.5" customHeight="1" x14ac:dyDescent="0.2">
      <c r="A14" s="1252" t="s">
        <v>305</v>
      </c>
      <c r="B14" s="1253"/>
      <c r="C14" s="31" t="e">
        <f>VLOOKUP($E$6,'DATOS %'!N11:AA113,12,FALSE)</f>
        <v>#N/A</v>
      </c>
      <c r="D14" s="33" t="s">
        <v>76</v>
      </c>
      <c r="E14" s="39"/>
      <c r="F14" s="23" t="s">
        <v>10</v>
      </c>
      <c r="G14" s="24" t="e">
        <f>VLOOKUP($J$13,'DATOS %'!$V$119:$Y$126,2,FALSE)</f>
        <v>#N/A</v>
      </c>
      <c r="H14" s="28" t="s">
        <v>22</v>
      </c>
      <c r="I14" s="24" t="e">
        <f>VLOOKUP($J$13,'DATOS %'!$V$119:$Z$126,3,FALSE)</f>
        <v>#N/A</v>
      </c>
      <c r="J14" s="42"/>
      <c r="K14" s="8"/>
    </row>
    <row r="15" spans="1:16" ht="31.5" customHeight="1" thickBot="1" x14ac:dyDescent="0.25">
      <c r="A15" s="1277" t="s">
        <v>69</v>
      </c>
      <c r="B15" s="1278"/>
      <c r="C15" s="31" t="e">
        <f>VLOOKUP($E$6,'DATOS %'!N11:AA113,13,FALSE)</f>
        <v>#N/A</v>
      </c>
      <c r="D15" s="33" t="s">
        <v>76</v>
      </c>
      <c r="E15" s="29"/>
      <c r="F15" s="43" t="s">
        <v>61</v>
      </c>
      <c r="G15" s="41" t="e">
        <f>VLOOKUP($J$13,'DATOS %'!$V$119:$Y$126,4,FALSE)</f>
        <v>#N/A</v>
      </c>
      <c r="H15" s="41" t="s">
        <v>1</v>
      </c>
      <c r="I15" s="240" t="s">
        <v>210</v>
      </c>
      <c r="J15" s="45" t="e">
        <f>VLOOKUP($J$13,'DATOS %'!$V$119:$Z$126,5,FALSE)</f>
        <v>#N/A</v>
      </c>
      <c r="K15" s="22"/>
    </row>
    <row r="16" spans="1:16" ht="30.95" customHeight="1" thickBot="1" x14ac:dyDescent="0.25">
      <c r="A16" s="1279" t="s">
        <v>210</v>
      </c>
      <c r="B16" s="1280"/>
      <c r="C16" s="1281" t="e">
        <f>VLOOKUP($E$6,'DATOS %'!N11:AA113,14,FALSE)</f>
        <v>#N/A</v>
      </c>
      <c r="D16" s="1282"/>
      <c r="E16" s="29"/>
      <c r="F16" s="8"/>
      <c r="G16" s="8"/>
      <c r="H16" s="8"/>
      <c r="I16" s="8"/>
      <c r="J16" s="8"/>
    </row>
    <row r="17" spans="1:11" s="22" customFormat="1" ht="30.95" customHeight="1" thickBot="1" x14ac:dyDescent="0.25">
      <c r="A17" s="29"/>
      <c r="B17" s="29"/>
      <c r="C17" s="29"/>
      <c r="D17" s="29"/>
      <c r="E17" s="29"/>
      <c r="F17" s="29"/>
      <c r="G17" s="29"/>
      <c r="H17" s="29"/>
      <c r="I17" s="29"/>
      <c r="J17" s="29"/>
      <c r="K17" s="8"/>
    </row>
    <row r="18" spans="1:11" ht="31.5" customHeight="1" thickBot="1" x14ac:dyDescent="0.25">
      <c r="A18" s="1331" t="s">
        <v>26</v>
      </c>
      <c r="B18" s="1332"/>
      <c r="C18" s="1332"/>
      <c r="D18" s="1332"/>
      <c r="E18" s="1332"/>
      <c r="F18" s="1332"/>
      <c r="G18" s="1332"/>
      <c r="H18" s="1332"/>
      <c r="I18" s="1332"/>
      <c r="J18" s="1333"/>
    </row>
    <row r="19" spans="1:11" ht="46.5" customHeight="1" thickBot="1" x14ac:dyDescent="0.25">
      <c r="A19" s="407" t="s">
        <v>10</v>
      </c>
      <c r="B19" s="101" t="e">
        <f>VLOOKUP(J19,'DATOS %'!J174:W180,2,FALSE)</f>
        <v>#N/A</v>
      </c>
      <c r="C19" s="95" t="s">
        <v>7</v>
      </c>
      <c r="D19" s="408" t="e">
        <f>VLOOKUP(J19,'DATOS %'!J174:W180,3,FALSE)</f>
        <v>#N/A</v>
      </c>
      <c r="E19" s="409" t="s">
        <v>24</v>
      </c>
      <c r="F19" s="1286" t="e">
        <f>VLOOKUP(J19,'DATOS %'!J174:W180,5,FALSE)</f>
        <v>#N/A</v>
      </c>
      <c r="G19" s="1287"/>
      <c r="H19" s="95" t="s">
        <v>25</v>
      </c>
      <c r="I19" s="212" t="e">
        <f>VLOOKUP(J19,'DATOS %'!J174:W180,4,FALSE)</f>
        <v>#N/A</v>
      </c>
      <c r="J19" s="1374"/>
    </row>
    <row r="20" spans="1:11" ht="31.5" customHeight="1" thickBot="1" x14ac:dyDescent="0.25">
      <c r="A20" s="1290" t="s">
        <v>316</v>
      </c>
      <c r="B20" s="1291"/>
      <c r="C20" s="94" t="s">
        <v>27</v>
      </c>
      <c r="D20" s="101" t="e">
        <f>VLOOKUP(J19,'DATOS %'!J174:W180,6,FALSE)</f>
        <v>#N/A</v>
      </c>
      <c r="E20" s="1292" t="s">
        <v>307</v>
      </c>
      <c r="F20" s="1293"/>
      <c r="G20" s="101" t="e">
        <f>VLOOKUP(J19,'DATOS %'!J174:W180,7,FALSE)</f>
        <v>#N/A</v>
      </c>
      <c r="H20" s="95" t="s">
        <v>9</v>
      </c>
      <c r="I20" s="214" t="e">
        <f>VLOOKUP(J19,'DATOS %'!J174:W180,8,FALSE)</f>
        <v>#N/A</v>
      </c>
      <c r="J20" s="1289"/>
    </row>
    <row r="21" spans="1:11" s="46" customFormat="1" ht="15" customHeight="1" thickBot="1" x14ac:dyDescent="0.25">
      <c r="A21" s="47"/>
      <c r="B21" s="47"/>
      <c r="C21" s="47"/>
      <c r="D21" s="47"/>
      <c r="E21" s="47"/>
      <c r="F21" s="47"/>
      <c r="G21" s="47"/>
      <c r="H21" s="47"/>
      <c r="I21" s="47"/>
      <c r="J21" s="47"/>
      <c r="K21" s="8"/>
    </row>
    <row r="22" spans="1:11" s="48" customFormat="1" ht="31.5" customHeight="1" thickBot="1" x14ac:dyDescent="0.25">
      <c r="A22" s="1294" t="s">
        <v>28</v>
      </c>
      <c r="B22" s="1295"/>
      <c r="C22" s="1295"/>
      <c r="D22" s="1295"/>
      <c r="E22" s="1295"/>
      <c r="F22" s="1295"/>
      <c r="G22" s="1295"/>
      <c r="H22" s="1295"/>
      <c r="I22" s="1295"/>
      <c r="J22" s="1296"/>
      <c r="K22" s="47"/>
    </row>
    <row r="23" spans="1:11" s="47" customFormat="1" ht="2.25" customHeight="1" thickBot="1" x14ac:dyDescent="0.25">
      <c r="A23" s="49"/>
      <c r="B23" s="50"/>
      <c r="C23" s="50"/>
      <c r="D23" s="50"/>
      <c r="E23" s="50"/>
      <c r="F23" s="50"/>
      <c r="G23" s="50"/>
      <c r="H23" s="50"/>
      <c r="I23" s="50"/>
      <c r="J23" s="51"/>
      <c r="K23" s="48"/>
    </row>
    <row r="24" spans="1:11" s="48" customFormat="1" ht="31.5" customHeight="1" thickBot="1" x14ac:dyDescent="0.25">
      <c r="A24" s="52" t="s">
        <v>29</v>
      </c>
      <c r="B24" s="916"/>
      <c r="C24" s="1297" t="s">
        <v>27</v>
      </c>
      <c r="D24" s="1298"/>
      <c r="E24" s="1"/>
      <c r="F24" s="1684" t="s">
        <v>307</v>
      </c>
      <c r="G24" s="1685"/>
      <c r="H24" s="2"/>
      <c r="I24" s="972" t="s">
        <v>9</v>
      </c>
      <c r="J24" s="215"/>
      <c r="K24" s="46"/>
    </row>
    <row r="25" spans="1:11" s="46" customFormat="1" ht="15" customHeight="1" thickBot="1" x14ac:dyDescent="0.25">
      <c r="A25" s="47"/>
      <c r="B25" s="47"/>
      <c r="C25" s="47"/>
      <c r="D25" s="47"/>
      <c r="E25" s="47"/>
      <c r="F25" s="47"/>
      <c r="G25" s="47"/>
      <c r="H25" s="6"/>
      <c r="I25" s="47"/>
      <c r="K25" s="48"/>
    </row>
    <row r="26" spans="1:11" s="48" customFormat="1" ht="29.25" customHeight="1" thickBot="1" x14ac:dyDescent="0.25">
      <c r="A26" s="115" t="s">
        <v>129</v>
      </c>
      <c r="B26" s="105">
        <v>4</v>
      </c>
      <c r="C26" s="1301" t="s">
        <v>30</v>
      </c>
      <c r="D26" s="1302"/>
      <c r="E26" s="1302"/>
      <c r="F26" s="1303"/>
      <c r="G26" s="1304" t="s">
        <v>211</v>
      </c>
      <c r="H26" s="1305"/>
    </row>
    <row r="27" spans="1:11" s="48" customFormat="1" ht="31.5" customHeight="1" thickBot="1" x14ac:dyDescent="0.25">
      <c r="A27" s="1273" t="s">
        <v>31</v>
      </c>
      <c r="B27" s="1274"/>
      <c r="C27" s="239">
        <v>1</v>
      </c>
      <c r="D27" s="239">
        <v>2</v>
      </c>
      <c r="E27" s="239">
        <v>3</v>
      </c>
      <c r="F27" s="129">
        <v>4</v>
      </c>
      <c r="G27" s="1275" t="e">
        <f>VLOOKUP($H$25,'DATOS %'!$V$161:$AA$165,2,FALSE)</f>
        <v>#N/A</v>
      </c>
      <c r="H27" s="1276"/>
    </row>
    <row r="28" spans="1:11" s="48" customFormat="1" ht="31.5" customHeight="1" x14ac:dyDescent="0.2">
      <c r="A28" s="1310" t="s">
        <v>32</v>
      </c>
      <c r="B28" s="141" t="s">
        <v>0</v>
      </c>
      <c r="C28" s="267"/>
      <c r="D28" s="267"/>
      <c r="E28" s="267"/>
      <c r="F28" s="268"/>
      <c r="G28" s="47"/>
      <c r="H28" s="47"/>
      <c r="I28" s="47"/>
      <c r="J28" s="47"/>
    </row>
    <row r="29" spans="1:11" s="48" customFormat="1" ht="31.5" customHeight="1" x14ac:dyDescent="0.2">
      <c r="A29" s="1311"/>
      <c r="B29" s="104" t="s">
        <v>2</v>
      </c>
      <c r="C29" s="267"/>
      <c r="D29" s="267"/>
      <c r="E29" s="267"/>
      <c r="F29" s="268"/>
      <c r="G29" s="47"/>
      <c r="H29" s="47"/>
      <c r="I29" s="47"/>
      <c r="J29" s="47"/>
    </row>
    <row r="30" spans="1:11" s="48" customFormat="1" ht="31.5" customHeight="1" x14ac:dyDescent="0.2">
      <c r="A30" s="1311"/>
      <c r="B30" s="104" t="s">
        <v>2</v>
      </c>
      <c r="C30" s="267"/>
      <c r="D30" s="267"/>
      <c r="E30" s="267"/>
      <c r="F30" s="268"/>
      <c r="G30" s="47"/>
      <c r="H30" s="47"/>
      <c r="I30" s="47"/>
      <c r="J30" s="47"/>
    </row>
    <row r="31" spans="1:11" s="48" customFormat="1" ht="31.5" customHeight="1" thickBot="1" x14ac:dyDescent="0.25">
      <c r="A31" s="1312"/>
      <c r="B31" s="53" t="s">
        <v>0</v>
      </c>
      <c r="C31" s="267"/>
      <c r="D31" s="267"/>
      <c r="E31" s="267"/>
      <c r="F31" s="268"/>
      <c r="G31" s="47"/>
      <c r="H31" s="47"/>
      <c r="I31" s="47"/>
      <c r="J31" s="47"/>
      <c r="K31" s="46"/>
    </row>
    <row r="32" spans="1:11" s="46" customFormat="1" ht="15" customHeight="1" thickBot="1" x14ac:dyDescent="0.25">
      <c r="A32" s="47"/>
      <c r="B32" s="47"/>
      <c r="C32" s="47"/>
      <c r="D32" s="47"/>
      <c r="E32" s="47"/>
      <c r="F32" s="47"/>
      <c r="G32" s="47"/>
      <c r="H32" s="47"/>
      <c r="I32" s="47"/>
      <c r="J32" s="47"/>
      <c r="K32" s="48"/>
    </row>
    <row r="33" spans="1:11" s="48" customFormat="1" ht="31.5" customHeight="1" thickBot="1" x14ac:dyDescent="0.25">
      <c r="A33" s="54" t="s">
        <v>33</v>
      </c>
      <c r="B33" s="916"/>
      <c r="C33" s="1297" t="s">
        <v>27</v>
      </c>
      <c r="D33" s="1298"/>
      <c r="E33" s="1"/>
      <c r="F33" s="1684" t="s">
        <v>307</v>
      </c>
      <c r="G33" s="1685"/>
      <c r="H33" s="2"/>
      <c r="I33" s="973" t="s">
        <v>9</v>
      </c>
      <c r="J33" s="3"/>
      <c r="K33" s="46"/>
    </row>
    <row r="34" spans="1:11" s="46" customFormat="1" ht="12" customHeight="1" x14ac:dyDescent="0.2">
      <c r="A34" s="55"/>
      <c r="B34" s="55"/>
      <c r="C34" s="55"/>
      <c r="D34" s="55"/>
      <c r="E34" s="55"/>
      <c r="F34" s="55"/>
      <c r="G34" s="55"/>
      <c r="H34" s="55"/>
      <c r="I34" s="55"/>
      <c r="J34" s="55"/>
      <c r="K34" s="48"/>
    </row>
    <row r="35" spans="1:11" s="48" customFormat="1" ht="15" customHeight="1" thickBot="1" x14ac:dyDescent="0.25">
      <c r="A35" s="56"/>
      <c r="B35" s="56"/>
      <c r="C35" s="56"/>
      <c r="D35" s="56"/>
      <c r="E35" s="56"/>
      <c r="F35" s="56"/>
      <c r="G35" s="56"/>
      <c r="H35" s="56"/>
      <c r="I35" s="56"/>
      <c r="J35" s="56"/>
    </row>
    <row r="36" spans="1:11" s="48" customFormat="1" ht="32.25" customHeight="1" thickBot="1" x14ac:dyDescent="0.25">
      <c r="A36" s="1294" t="s">
        <v>34</v>
      </c>
      <c r="B36" s="1295"/>
      <c r="C36" s="1295"/>
      <c r="D36" s="1295"/>
      <c r="E36" s="1295"/>
      <c r="F36" s="1295"/>
      <c r="G36" s="1295"/>
      <c r="H36" s="1295"/>
      <c r="I36" s="1295"/>
      <c r="J36" s="1296"/>
    </row>
    <row r="37" spans="1:11" s="48" customFormat="1" ht="3.75" customHeight="1" thickBot="1" x14ac:dyDescent="0.25">
      <c r="A37" s="55"/>
      <c r="B37" s="47"/>
      <c r="C37" s="47"/>
      <c r="D37" s="47"/>
      <c r="E37" s="47"/>
      <c r="F37" s="47"/>
      <c r="G37" s="47"/>
      <c r="H37" s="47"/>
      <c r="I37" s="47"/>
      <c r="J37" s="55"/>
    </row>
    <row r="38" spans="1:11" s="48" customFormat="1" ht="31.5" customHeight="1" thickBot="1" x14ac:dyDescent="0.25">
      <c r="A38" s="47"/>
      <c r="B38" s="1316" t="s">
        <v>35</v>
      </c>
      <c r="C38" s="1317"/>
      <c r="D38" s="1317"/>
      <c r="E38" s="1317"/>
      <c r="F38" s="1318"/>
      <c r="G38" s="47"/>
      <c r="H38" s="1319" t="s">
        <v>236</v>
      </c>
      <c r="I38" s="1320"/>
      <c r="J38" s="1321"/>
    </row>
    <row r="39" spans="1:11" s="48" customFormat="1" ht="31.5" customHeight="1" thickBot="1" x14ac:dyDescent="0.25">
      <c r="A39" s="47"/>
      <c r="B39" s="57" t="s">
        <v>31</v>
      </c>
      <c r="C39" s="203">
        <v>1</v>
      </c>
      <c r="D39" s="141">
        <v>2</v>
      </c>
      <c r="E39" s="141">
        <v>3</v>
      </c>
      <c r="F39" s="204">
        <v>4</v>
      </c>
      <c r="G39" s="47"/>
      <c r="H39" s="1322"/>
      <c r="I39" s="1323"/>
      <c r="J39" s="1324"/>
    </row>
    <row r="40" spans="1:11" s="48" customFormat="1" ht="31.5" customHeight="1" x14ac:dyDescent="0.2">
      <c r="A40" s="58"/>
      <c r="B40" s="59"/>
      <c r="C40" s="271" t="e">
        <f>+AVERAGE(C28,C31)</f>
        <v>#DIV/0!</v>
      </c>
      <c r="D40" s="272" t="e">
        <f>+AVERAGE(D28,D31)</f>
        <v>#DIV/0!</v>
      </c>
      <c r="E40" s="272" t="e">
        <f>+AVERAGE(E28,E31)</f>
        <v>#DIV/0!</v>
      </c>
      <c r="F40" s="273" t="e">
        <f>+AVERAGE(F28,F31)</f>
        <v>#DIV/0!</v>
      </c>
      <c r="G40" s="47"/>
      <c r="H40" s="1325"/>
      <c r="I40" s="1326"/>
      <c r="J40" s="1327"/>
    </row>
    <row r="41" spans="1:11" s="48" customFormat="1" ht="31.5" customHeight="1" x14ac:dyDescent="0.2">
      <c r="A41" s="58"/>
      <c r="B41" s="60"/>
      <c r="C41" s="274" t="e">
        <f>+AVERAGE(C29:C30)</f>
        <v>#DIV/0!</v>
      </c>
      <c r="D41" s="275" t="e">
        <f>+AVERAGE(D29:D30)</f>
        <v>#DIV/0!</v>
      </c>
      <c r="E41" s="275" t="e">
        <f>+AVERAGE(E29:E30)</f>
        <v>#DIV/0!</v>
      </c>
      <c r="F41" s="276" t="e">
        <f>+AVERAGE(F29:F30)</f>
        <v>#DIV/0!</v>
      </c>
      <c r="G41" s="47"/>
      <c r="H41" s="1325"/>
      <c r="I41" s="1326"/>
      <c r="J41" s="1327"/>
    </row>
    <row r="42" spans="1:11" s="48" customFormat="1" ht="31.5" customHeight="1" thickBot="1" x14ac:dyDescent="0.25">
      <c r="A42" s="58"/>
      <c r="B42" s="62"/>
      <c r="C42" s="277" t="e">
        <f>+C41-C40</f>
        <v>#DIV/0!</v>
      </c>
      <c r="D42" s="278" t="e">
        <f>+D41-D40</f>
        <v>#DIV/0!</v>
      </c>
      <c r="E42" s="278" t="e">
        <f>+E41-E40</f>
        <v>#DIV/0!</v>
      </c>
      <c r="F42" s="279" t="e">
        <f>+F41-F40</f>
        <v>#DIV/0!</v>
      </c>
      <c r="G42" s="47"/>
      <c r="H42" s="1328"/>
      <c r="I42" s="1329"/>
      <c r="J42" s="1330"/>
    </row>
    <row r="43" spans="1:11" s="48" customFormat="1" ht="31.5" customHeight="1" thickBot="1" x14ac:dyDescent="0.25">
      <c r="A43" s="47"/>
      <c r="B43" s="63" t="s">
        <v>36</v>
      </c>
      <c r="C43" s="258" t="e">
        <f>+AVERAGE(C42:F42)</f>
        <v>#DIV/0!</v>
      </c>
      <c r="D43" s="280"/>
      <c r="E43" s="280"/>
      <c r="F43" s="280"/>
      <c r="G43" s="47"/>
      <c r="H43" s="47"/>
      <c r="I43" s="47"/>
      <c r="J43" s="47"/>
    </row>
    <row r="44" spans="1:11" s="48" customFormat="1" ht="31.5" customHeight="1" thickBot="1" x14ac:dyDescent="0.25">
      <c r="A44" s="47"/>
      <c r="B44" s="64" t="s">
        <v>77</v>
      </c>
      <c r="C44" s="287" t="e">
        <f>+STDEV(C42:F42)</f>
        <v>#DIV/0!</v>
      </c>
      <c r="D44" s="280"/>
      <c r="E44" s="280"/>
      <c r="F44" s="280"/>
      <c r="G44" s="47"/>
      <c r="H44" s="47"/>
      <c r="I44" s="47"/>
      <c r="J44" s="47"/>
      <c r="K44" s="46"/>
    </row>
    <row r="45" spans="1:11" s="46" customFormat="1" ht="15" customHeight="1" thickBot="1" x14ac:dyDescent="0.25">
      <c r="A45" s="47"/>
      <c r="B45" s="47"/>
      <c r="C45" s="47"/>
      <c r="D45" s="47"/>
      <c r="E45" s="47"/>
      <c r="F45" s="47"/>
      <c r="G45" s="65"/>
      <c r="H45" s="47"/>
      <c r="I45" s="47"/>
      <c r="J45" s="47"/>
      <c r="K45" s="48"/>
    </row>
    <row r="46" spans="1:11" s="48" customFormat="1" ht="31.5" customHeight="1" thickBot="1" x14ac:dyDescent="0.25">
      <c r="A46" s="1331" t="s">
        <v>37</v>
      </c>
      <c r="B46" s="1332"/>
      <c r="C46" s="1284"/>
      <c r="D46" s="1284"/>
      <c r="E46" s="1284"/>
      <c r="F46" s="1332"/>
      <c r="G46" s="1332"/>
      <c r="H46" s="1332"/>
      <c r="I46" s="1332"/>
      <c r="J46" s="1333"/>
    </row>
    <row r="47" spans="1:11" s="48" customFormat="1" ht="31.5" customHeight="1" thickBot="1" x14ac:dyDescent="0.25">
      <c r="A47" s="1375" t="s">
        <v>321</v>
      </c>
      <c r="B47" s="1376"/>
      <c r="C47" s="1338" t="s">
        <v>38</v>
      </c>
      <c r="D47" s="1339"/>
      <c r="E47" s="1340"/>
      <c r="F47" s="47"/>
      <c r="G47" s="47"/>
      <c r="H47" s="47"/>
      <c r="I47" s="47"/>
      <c r="J47" s="47"/>
    </row>
    <row r="48" spans="1:11" s="48" customFormat="1" ht="36.75" customHeight="1" thickBot="1" x14ac:dyDescent="0.25">
      <c r="A48" s="1377"/>
      <c r="B48" s="1378"/>
      <c r="C48" s="82" t="s">
        <v>27</v>
      </c>
      <c r="D48" s="93" t="s">
        <v>307</v>
      </c>
      <c r="E48" s="83" t="s">
        <v>9</v>
      </c>
      <c r="G48" s="1341" t="s">
        <v>70</v>
      </c>
      <c r="H48" s="1342"/>
      <c r="I48" s="102" t="e">
        <f>+(0.34848*E50-0.009*D50*EXP(0.061*C50))/(273.15+C50)</f>
        <v>#DIV/0!</v>
      </c>
      <c r="J48" s="103" t="s">
        <v>73</v>
      </c>
    </row>
    <row r="49" spans="1:21" s="48" customFormat="1" ht="33" customHeight="1" thickBot="1" x14ac:dyDescent="0.25">
      <c r="A49" s="1306" t="s">
        <v>39</v>
      </c>
      <c r="B49" s="1307"/>
      <c r="C49" s="90" t="e">
        <f>+AVERAGE(E33,E24)</f>
        <v>#DIV/0!</v>
      </c>
      <c r="D49" s="91" t="e">
        <f>+AVERAGE(H33,H24)</f>
        <v>#DIV/0!</v>
      </c>
      <c r="E49" s="92" t="e">
        <f>+AVERAGE(J33,J24)</f>
        <v>#DIV/0!</v>
      </c>
      <c r="G49" s="1308" t="s">
        <v>71</v>
      </c>
      <c r="H49" s="1309"/>
      <c r="I49" s="422" t="e">
        <f>I48*((0.0001)^2+(0.001*I20/2)^2+(-0.0034*D20/2)^2+(-0.01*G20/2)^2)^0.5</f>
        <v>#DIV/0!</v>
      </c>
      <c r="J49" s="66" t="s">
        <v>73</v>
      </c>
    </row>
    <row r="50" spans="1:21" s="48" customFormat="1" ht="36.75" customHeight="1" thickBot="1" x14ac:dyDescent="0.25">
      <c r="A50" s="1343" t="s">
        <v>322</v>
      </c>
      <c r="B50" s="1344"/>
      <c r="C50" s="84" t="e">
        <f>C49+(VLOOKUP(J19,'DATOS %'!J174:W180,9,FALSE))*C49+(VLOOKUP(J19,'DATOS %'!J174:W180,10,FALSE))</f>
        <v>#DIV/0!</v>
      </c>
      <c r="D50" s="85" t="e">
        <f>D49+(VLOOKUP(J19,'DATOS %'!J174:W180,11,FALSE))*D49+(VLOOKUP(J19,'DATOS %'!J174:W180,12,FALSE))</f>
        <v>#DIV/0!</v>
      </c>
      <c r="E50" s="86" t="e">
        <f>E49+(VLOOKUP(J19,'DATOS %'!J174:W180,13,FALSE))*E49+(VLOOKUP(J19,'DATOS %'!J174:W180,14,FALSE))</f>
        <v>#DIV/0!</v>
      </c>
      <c r="G50" s="1341" t="s">
        <v>72</v>
      </c>
      <c r="H50" s="1342"/>
      <c r="I50" s="67">
        <v>1.2</v>
      </c>
      <c r="J50" s="66" t="s">
        <v>73</v>
      </c>
    </row>
    <row r="51" spans="1:21" s="46" customFormat="1" ht="15" customHeight="1" thickBot="1" x14ac:dyDescent="0.25">
      <c r="A51" s="47"/>
      <c r="B51" s="47"/>
      <c r="C51" s="47"/>
      <c r="D51" s="47"/>
      <c r="E51" s="47"/>
      <c r="F51" s="47"/>
      <c r="G51" s="47"/>
      <c r="H51" s="47"/>
      <c r="I51" s="47"/>
      <c r="J51" s="47"/>
      <c r="K51" s="48"/>
    </row>
    <row r="52" spans="1:21" s="48" customFormat="1" ht="31.5" customHeight="1" thickBot="1" x14ac:dyDescent="0.25">
      <c r="A52" s="1331" t="s">
        <v>40</v>
      </c>
      <c r="B52" s="1332"/>
      <c r="C52" s="1332"/>
      <c r="D52" s="1332"/>
      <c r="E52" s="1332"/>
      <c r="F52" s="1332"/>
      <c r="G52" s="1332"/>
      <c r="H52" s="1332"/>
      <c r="I52" s="1332"/>
      <c r="J52" s="1333"/>
    </row>
    <row r="53" spans="1:21" s="48" customFormat="1" ht="31.5" customHeight="1" x14ac:dyDescent="0.35">
      <c r="A53" s="47"/>
      <c r="B53" s="68" t="s">
        <v>41</v>
      </c>
      <c r="C53" s="69"/>
      <c r="D53" s="1345" t="s">
        <v>74</v>
      </c>
      <c r="E53" s="1345"/>
      <c r="F53" s="70" t="s">
        <v>42</v>
      </c>
      <c r="G53" s="71" t="s">
        <v>43</v>
      </c>
      <c r="H53" s="1346" t="s">
        <v>44</v>
      </c>
      <c r="I53" s="1347"/>
      <c r="J53" s="47"/>
    </row>
    <row r="54" spans="1:21" s="48" customFormat="1" ht="31.5" customHeight="1" thickBot="1" x14ac:dyDescent="0.25">
      <c r="A54" s="47"/>
      <c r="B54" s="72" t="e">
        <f>+C43</f>
        <v>#DIV/0!</v>
      </c>
      <c r="C54" s="73" t="s">
        <v>1</v>
      </c>
      <c r="D54" s="261" t="e">
        <f>+C10+C11/1000</f>
        <v>#N/A</v>
      </c>
      <c r="E54" s="73" t="s">
        <v>1</v>
      </c>
      <c r="F54" s="74" t="e">
        <f>+(I48-I50)*(1/H10-1/C13)</f>
        <v>#DIV/0!</v>
      </c>
      <c r="G54" s="75"/>
      <c r="H54" s="67" t="e">
        <f>+(B54+D54*F54)*1000</f>
        <v>#DIV/0!</v>
      </c>
      <c r="I54" s="66" t="s">
        <v>3</v>
      </c>
      <c r="J54" s="47"/>
      <c r="K54" s="46"/>
    </row>
    <row r="55" spans="1:21" s="46" customFormat="1" ht="15" customHeight="1" x14ac:dyDescent="0.2">
      <c r="A55" s="47"/>
      <c r="B55" s="47"/>
      <c r="C55" s="47"/>
      <c r="D55" s="47"/>
      <c r="E55" s="47"/>
      <c r="F55" s="47"/>
      <c r="G55" s="47"/>
      <c r="H55" s="47"/>
      <c r="I55" s="47"/>
      <c r="J55" s="47"/>
      <c r="K55" s="48"/>
    </row>
    <row r="56" spans="1:21" s="48" customFormat="1" ht="31.5" customHeight="1" x14ac:dyDescent="0.2">
      <c r="A56" s="1348" t="s">
        <v>45</v>
      </c>
      <c r="B56" s="1349"/>
      <c r="C56" s="1349"/>
      <c r="D56" s="1349"/>
      <c r="E56" s="1349"/>
      <c r="F56" s="1349"/>
      <c r="G56" s="1349"/>
      <c r="H56" s="1349"/>
      <c r="I56" s="1349"/>
      <c r="J56" s="1349"/>
      <c r="K56" s="46"/>
    </row>
    <row r="57" spans="1:21" s="46" customFormat="1" ht="15" customHeight="1" thickBot="1" x14ac:dyDescent="0.25">
      <c r="A57" s="47"/>
      <c r="B57" s="47"/>
      <c r="C57" s="47"/>
      <c r="D57" s="47"/>
      <c r="E57" s="47"/>
      <c r="K57" s="48"/>
    </row>
    <row r="58" spans="1:21" s="48" customFormat="1" ht="31.5" customHeight="1" thickBot="1" x14ac:dyDescent="0.25">
      <c r="A58" s="1350" t="s">
        <v>38</v>
      </c>
      <c r="B58" s="1351"/>
      <c r="C58" s="1352" t="s">
        <v>46</v>
      </c>
      <c r="D58" s="1353"/>
      <c r="E58" s="1354" t="s">
        <v>238</v>
      </c>
      <c r="F58" s="1379"/>
      <c r="G58" s="1061" t="s">
        <v>553</v>
      </c>
      <c r="J58" s="114"/>
      <c r="L58" s="46"/>
      <c r="Q58" s="47"/>
      <c r="R58" s="47"/>
      <c r="S58" s="47"/>
      <c r="T58" s="47"/>
      <c r="U58" s="47"/>
    </row>
    <row r="59" spans="1:21" s="48" customFormat="1" ht="57.95" customHeight="1" thickBot="1" x14ac:dyDescent="0.25">
      <c r="A59" s="1024" t="s">
        <v>47</v>
      </c>
      <c r="B59" s="1025"/>
      <c r="C59" s="1026" t="e">
        <f>+C44/B26^0.5*1000</f>
        <v>#DIV/0!</v>
      </c>
      <c r="D59" s="1017" t="s">
        <v>3</v>
      </c>
      <c r="E59" s="1027" t="s">
        <v>240</v>
      </c>
      <c r="F59" s="139">
        <f>$B$26-1</f>
        <v>3</v>
      </c>
      <c r="G59" s="1111" t="e">
        <f>(C59/$G$70)^2</f>
        <v>#DIV/0!</v>
      </c>
      <c r="H59" s="47"/>
      <c r="K59" s="156">
        <v>0.3</v>
      </c>
      <c r="L59" s="157">
        <v>1.65</v>
      </c>
      <c r="M59" s="113"/>
    </row>
    <row r="60" spans="1:21" s="48" customFormat="1" ht="57.95" customHeight="1" thickBot="1" x14ac:dyDescent="0.25">
      <c r="A60" s="1019" t="s">
        <v>343</v>
      </c>
      <c r="B60" s="1020" t="s">
        <v>48</v>
      </c>
      <c r="C60" s="1021" t="e">
        <f>+C12/2</f>
        <v>#N/A</v>
      </c>
      <c r="D60" s="1022" t="s">
        <v>3</v>
      </c>
      <c r="E60" s="1023" t="s">
        <v>239</v>
      </c>
      <c r="F60" s="146" t="s">
        <v>265</v>
      </c>
      <c r="G60" s="1112"/>
      <c r="H60" s="1380" t="s">
        <v>241</v>
      </c>
      <c r="I60" s="1356"/>
      <c r="J60" s="1356"/>
      <c r="K60" s="1356"/>
      <c r="L60" s="1356"/>
      <c r="M60" s="1357"/>
    </row>
    <row r="61" spans="1:21" s="48" customFormat="1" ht="57.95" customHeight="1" thickBot="1" x14ac:dyDescent="0.25">
      <c r="A61" s="1028" t="s">
        <v>344</v>
      </c>
      <c r="B61" s="1029"/>
      <c r="C61" s="1030" t="e">
        <f>+C12/3^0.5</f>
        <v>#N/A</v>
      </c>
      <c r="D61" s="1031" t="s">
        <v>3</v>
      </c>
      <c r="E61" s="1032" t="s">
        <v>239</v>
      </c>
      <c r="F61" s="147" t="s">
        <v>265</v>
      </c>
      <c r="G61" s="1112"/>
      <c r="H61" s="132" t="s">
        <v>243</v>
      </c>
      <c r="I61" s="149" t="e">
        <f>MAX(C59:C62,C66:C67,C68)</f>
        <v>#DIV/0!</v>
      </c>
      <c r="J61" s="151" t="e">
        <f>IF((I62)&lt;=(K59),"1,65","2")</f>
        <v>#DIV/0!</v>
      </c>
      <c r="K61" s="152" t="s">
        <v>242</v>
      </c>
      <c r="L61" s="153" t="s">
        <v>237</v>
      </c>
      <c r="M61" s="360" t="s">
        <v>328</v>
      </c>
    </row>
    <row r="62" spans="1:21" s="48" customFormat="1" ht="57.95" customHeight="1" thickBot="1" x14ac:dyDescent="0.3">
      <c r="A62" s="1024" t="s">
        <v>49</v>
      </c>
      <c r="B62" s="1035"/>
      <c r="C62" s="1036" t="e">
        <f>+SQRT(SUMSQ(C60:C61))</f>
        <v>#N/A</v>
      </c>
      <c r="D62" s="1017" t="s">
        <v>3</v>
      </c>
      <c r="E62" s="1037" t="s">
        <v>240</v>
      </c>
      <c r="F62" s="139">
        <v>200</v>
      </c>
      <c r="G62" s="1112" t="e">
        <f t="shared" ref="G62:G68" si="0">(C62/$G$70)^2</f>
        <v>#N/A</v>
      </c>
      <c r="H62" s="133" t="s">
        <v>244</v>
      </c>
      <c r="I62" s="150" t="e">
        <f>SQRT((C59)^2+(C66)^2+(C67)^2)/I61</f>
        <v>#DIV/0!</v>
      </c>
      <c r="J62" s="126"/>
      <c r="K62" s="154" t="s">
        <v>242</v>
      </c>
      <c r="L62" s="155" t="s">
        <v>252</v>
      </c>
      <c r="M62" s="361" t="s">
        <v>329</v>
      </c>
    </row>
    <row r="63" spans="1:21" s="48" customFormat="1" ht="57.95" customHeight="1" x14ac:dyDescent="0.2">
      <c r="A63" s="1019" t="s">
        <v>345</v>
      </c>
      <c r="B63" s="1020"/>
      <c r="C63" s="1033" t="e">
        <f>+I49</f>
        <v>#DIV/0!</v>
      </c>
      <c r="D63" s="1021" t="s">
        <v>73</v>
      </c>
      <c r="E63" s="1034" t="s">
        <v>239</v>
      </c>
      <c r="F63" s="146" t="s">
        <v>265</v>
      </c>
      <c r="G63" s="1112"/>
      <c r="L63" s="46"/>
      <c r="T63" s="46"/>
      <c r="U63" s="46"/>
    </row>
    <row r="64" spans="1:21" s="48" customFormat="1" ht="57.95" customHeight="1" x14ac:dyDescent="0.2">
      <c r="A64" s="426" t="s">
        <v>50</v>
      </c>
      <c r="B64" s="1018"/>
      <c r="C64" s="425" t="e">
        <f>+H11/2</f>
        <v>#N/A</v>
      </c>
      <c r="D64" s="424" t="s">
        <v>73</v>
      </c>
      <c r="E64" s="423" t="s">
        <v>239</v>
      </c>
      <c r="F64" s="148" t="s">
        <v>265</v>
      </c>
      <c r="G64" s="1112"/>
      <c r="H64" s="130"/>
      <c r="J64" s="130"/>
      <c r="K64" s="130"/>
      <c r="L64" s="130"/>
      <c r="M64" s="130"/>
      <c r="Q64" s="47"/>
      <c r="R64" s="47"/>
      <c r="S64" s="47"/>
      <c r="T64" s="47"/>
      <c r="U64" s="47"/>
    </row>
    <row r="65" spans="1:21" s="48" customFormat="1" ht="57.95" customHeight="1" thickBot="1" x14ac:dyDescent="0.25">
      <c r="A65" s="1028" t="s">
        <v>346</v>
      </c>
      <c r="B65" s="1038"/>
      <c r="C65" s="1039" t="e">
        <f>+C14/2</f>
        <v>#N/A</v>
      </c>
      <c r="D65" s="1031" t="s">
        <v>73</v>
      </c>
      <c r="E65" s="1040" t="s">
        <v>239</v>
      </c>
      <c r="F65" s="147" t="s">
        <v>265</v>
      </c>
      <c r="G65" s="1112"/>
      <c r="H65" s="130"/>
      <c r="I65" s="130"/>
      <c r="J65" s="130"/>
      <c r="K65" s="130"/>
      <c r="L65" s="130"/>
      <c r="M65" s="130"/>
      <c r="Q65" s="46"/>
      <c r="R65" s="46"/>
      <c r="S65" s="46"/>
      <c r="T65" s="46"/>
      <c r="U65" s="46"/>
    </row>
    <row r="66" spans="1:21" s="48" customFormat="1" ht="57.95" customHeight="1" thickBot="1" x14ac:dyDescent="0.3">
      <c r="A66" s="1024" t="s">
        <v>347</v>
      </c>
      <c r="B66" s="1035"/>
      <c r="C66" s="1036" t="e">
        <f>+SQRT(ABS(((C10/1000+C11/1000000)*(C13-H10)/(C13*H10)*C63)^2+((C10/1000+C11/1000000)*(I48-I50))^2*C64^2/H10^4+(C10/1000+C11/1000000)^2*(I48-I50)*((I48-I50)-2*(C15-I50))*C65^2/C13^4))*1000000</f>
        <v>#N/A</v>
      </c>
      <c r="D66" s="1051" t="s">
        <v>3</v>
      </c>
      <c r="E66" s="1037" t="s">
        <v>240</v>
      </c>
      <c r="F66" s="139">
        <v>200</v>
      </c>
      <c r="G66" s="1112" t="e">
        <f t="shared" si="0"/>
        <v>#N/A</v>
      </c>
      <c r="H66" s="130"/>
      <c r="I66" s="1093" t="s">
        <v>554</v>
      </c>
      <c r="J66" s="1095" t="s">
        <v>556</v>
      </c>
      <c r="K66" s="1094" t="s">
        <v>555</v>
      </c>
      <c r="L66" s="130"/>
      <c r="M66" s="130"/>
      <c r="Q66" s="47"/>
      <c r="R66" s="47"/>
      <c r="S66" s="47"/>
      <c r="T66" s="47"/>
      <c r="U66" s="47"/>
    </row>
    <row r="67" spans="1:21" s="48" customFormat="1" ht="57.95" customHeight="1" thickBot="1" x14ac:dyDescent="0.3">
      <c r="A67" s="1047" t="s">
        <v>52</v>
      </c>
      <c r="B67" s="1048"/>
      <c r="C67" s="1049" t="e">
        <f>+(G15/2/3^0.5)*2^0.5*1000</f>
        <v>#N/A</v>
      </c>
      <c r="D67" s="1044" t="s">
        <v>3</v>
      </c>
      <c r="E67" s="1045" t="s">
        <v>239</v>
      </c>
      <c r="F67" s="1050">
        <v>200</v>
      </c>
      <c r="G67" s="1112" t="e">
        <f t="shared" si="0"/>
        <v>#N/A</v>
      </c>
      <c r="H67" s="130"/>
      <c r="I67" s="1096" t="e">
        <f>G70^4/((C59^4/F59)+(C62^4/F62)+(C66^4/F66)+(C67^4/F67)+(C68^4/F68))</f>
        <v>#DIV/0!</v>
      </c>
      <c r="J67" s="1097" t="e">
        <f>TINV(0.05,I67)</f>
        <v>#DIV/0!</v>
      </c>
      <c r="K67" s="1098" t="e">
        <f>1-TDIST(J67,I67,2)</f>
        <v>#DIV/0!</v>
      </c>
      <c r="L67" s="130"/>
      <c r="M67" s="130"/>
    </row>
    <row r="68" spans="1:21" s="46" customFormat="1" ht="65.25" customHeight="1" thickBot="1" x14ac:dyDescent="0.3">
      <c r="A68" s="1041" t="s">
        <v>551</v>
      </c>
      <c r="B68" s="1042"/>
      <c r="C68" s="1043">
        <f>0.37/SQRT(45)</f>
        <v>5.5156343444994808E-2</v>
      </c>
      <c r="D68" s="1044" t="s">
        <v>3</v>
      </c>
      <c r="E68" s="1045" t="s">
        <v>240</v>
      </c>
      <c r="F68" s="1046">
        <v>50</v>
      </c>
      <c r="G68" s="1113" t="e">
        <f t="shared" si="0"/>
        <v>#DIV/0!</v>
      </c>
      <c r="H68" s="130"/>
      <c r="I68" s="130"/>
      <c r="J68" s="130"/>
      <c r="K68" s="130"/>
      <c r="L68" s="130"/>
      <c r="M68" s="130"/>
      <c r="S68" s="48"/>
      <c r="T68" s="48"/>
      <c r="U68" s="48"/>
    </row>
    <row r="69" spans="1:21" s="46" customFormat="1" ht="65.25" customHeight="1" thickBot="1" x14ac:dyDescent="0.25">
      <c r="A69" s="130"/>
      <c r="B69" s="130"/>
      <c r="C69" s="130"/>
      <c r="D69" s="130"/>
      <c r="E69" s="130"/>
      <c r="F69" s="130"/>
      <c r="G69" s="1114" t="e">
        <f>SUM(G59,G62,G66,G67,G68)</f>
        <v>#DIV/0!</v>
      </c>
      <c r="H69" s="130"/>
      <c r="I69" s="130"/>
      <c r="J69" s="130"/>
      <c r="K69" s="130"/>
      <c r="L69" s="130"/>
      <c r="M69" s="130"/>
      <c r="S69" s="48"/>
      <c r="T69" s="48"/>
      <c r="U69" s="48"/>
    </row>
    <row r="70" spans="1:21" s="106" customFormat="1" ht="51.75" customHeight="1" thickBot="1" x14ac:dyDescent="0.3">
      <c r="D70" s="1306" t="s">
        <v>51</v>
      </c>
      <c r="E70" s="1307"/>
      <c r="F70" s="134"/>
      <c r="G70" s="140" t="e">
        <f>SQRT(SUMSQ(C59,C62,C66,C67,C68))</f>
        <v>#DIV/0!</v>
      </c>
      <c r="H70" s="136" t="s">
        <v>3</v>
      </c>
      <c r="K70" s="130"/>
      <c r="L70" s="130"/>
      <c r="M70" s="130"/>
      <c r="S70" s="48"/>
      <c r="T70" s="48"/>
      <c r="U70" s="48"/>
    </row>
    <row r="71" spans="1:21" s="106" customFormat="1" ht="35.1" customHeight="1" thickBot="1" x14ac:dyDescent="0.25">
      <c r="D71" s="1306" t="s">
        <v>53</v>
      </c>
      <c r="E71" s="1307"/>
      <c r="F71" s="135"/>
      <c r="G71" s="140" t="e">
        <f>+G70*2</f>
        <v>#DIV/0!</v>
      </c>
      <c r="H71" s="137" t="s">
        <v>3</v>
      </c>
      <c r="K71" s="110"/>
      <c r="L71" s="107"/>
      <c r="O71" s="48"/>
      <c r="P71" s="48"/>
      <c r="Q71" s="48"/>
      <c r="R71" s="48"/>
      <c r="S71" s="48"/>
      <c r="T71" s="48"/>
      <c r="U71" s="48"/>
    </row>
    <row r="72" spans="1:21" s="106" customFormat="1" ht="33.75" customHeight="1" thickBot="1" x14ac:dyDescent="4.45">
      <c r="B72" s="1313" t="s">
        <v>54</v>
      </c>
      <c r="C72" s="1314"/>
      <c r="D72" s="1314"/>
      <c r="E72" s="1314"/>
      <c r="F72" s="1314"/>
      <c r="G72" s="1314"/>
      <c r="H72" s="1314"/>
      <c r="I72" s="1314"/>
      <c r="J72" s="1314"/>
      <c r="K72" s="1315"/>
      <c r="L72" s="117"/>
      <c r="O72" s="48"/>
      <c r="P72" s="48"/>
      <c r="Q72" s="48"/>
      <c r="R72" s="48"/>
      <c r="S72" s="48"/>
      <c r="T72" s="48"/>
      <c r="U72" s="48"/>
    </row>
    <row r="73" spans="1:21" s="106" customFormat="1" ht="35.1" customHeight="1" thickBot="1" x14ac:dyDescent="0.25">
      <c r="B73" s="1368" t="s">
        <v>255</v>
      </c>
      <c r="C73" s="1369"/>
      <c r="D73" s="1369"/>
      <c r="E73" s="1370"/>
      <c r="F73" s="79"/>
      <c r="G73" s="80"/>
      <c r="H73" s="1371"/>
      <c r="I73" s="1372"/>
      <c r="J73" s="1372"/>
      <c r="K73" s="1373"/>
      <c r="O73" s="48"/>
      <c r="P73" s="48"/>
      <c r="Q73" s="48"/>
      <c r="R73" s="48"/>
      <c r="S73" s="48"/>
      <c r="T73" s="48"/>
      <c r="U73" s="48"/>
    </row>
    <row r="74" spans="1:21" s="106" customFormat="1" ht="40.5" customHeight="1" x14ac:dyDescent="0.2">
      <c r="B74" s="118"/>
      <c r="C74" s="362" t="s">
        <v>348</v>
      </c>
      <c r="D74" s="119" t="s">
        <v>253</v>
      </c>
      <c r="E74" s="120"/>
      <c r="F74" s="1358"/>
      <c r="G74" s="1358"/>
      <c r="H74" s="1359" t="s">
        <v>266</v>
      </c>
      <c r="I74" s="1381" t="s">
        <v>254</v>
      </c>
      <c r="J74" s="1381"/>
      <c r="K74" s="1382"/>
      <c r="O74" s="48"/>
      <c r="P74" s="48"/>
      <c r="Q74" s="48"/>
      <c r="R74" s="48"/>
      <c r="S74" s="48"/>
      <c r="T74" s="48"/>
      <c r="U74" s="48"/>
    </row>
    <row r="75" spans="1:21" s="106" customFormat="1" ht="35.1" customHeight="1" x14ac:dyDescent="0.2">
      <c r="B75" s="81" t="e">
        <f>C10</f>
        <v>#N/A</v>
      </c>
      <c r="C75" s="77" t="e">
        <f>C11</f>
        <v>#N/A</v>
      </c>
      <c r="D75" s="78" t="e">
        <f>H54</f>
        <v>#DIV/0!</v>
      </c>
      <c r="E75" s="216" t="e">
        <f>B75+(C75/1000)+(D75/1000)</f>
        <v>#N/A</v>
      </c>
      <c r="F75" s="296" t="e">
        <f>E75*1000-B75*1000</f>
        <v>#N/A</v>
      </c>
      <c r="G75" s="61"/>
      <c r="H75" s="1360"/>
      <c r="I75" s="282" t="e">
        <f>G71</f>
        <v>#DIV/0!</v>
      </c>
      <c r="J75" s="1364"/>
      <c r="K75" s="1365"/>
      <c r="O75" s="48"/>
      <c r="P75" s="48"/>
      <c r="Q75" s="48"/>
      <c r="R75" s="48"/>
      <c r="S75" s="48"/>
      <c r="T75" s="48"/>
      <c r="U75" s="48"/>
    </row>
    <row r="76" spans="1:21" s="106" customFormat="1" ht="35.1" customHeight="1" thickBot="1" x14ac:dyDescent="0.25">
      <c r="B76" s="87" t="e">
        <f>B75</f>
        <v>#N/A</v>
      </c>
      <c r="C76" s="88" t="e">
        <f>C75</f>
        <v>#N/A</v>
      </c>
      <c r="D76" s="88" t="e">
        <f>D75</f>
        <v>#DIV/0!</v>
      </c>
      <c r="E76" s="217" t="e">
        <f>B76+(C76/1000)+(D76/1000)</f>
        <v>#N/A</v>
      </c>
      <c r="F76" s="262" t="e">
        <f>F75/1000</f>
        <v>#N/A</v>
      </c>
      <c r="G76" s="89"/>
      <c r="H76" s="1361"/>
      <c r="I76" s="295" t="e">
        <f>I75/1000</f>
        <v>#DIV/0!</v>
      </c>
      <c r="J76" s="1366"/>
      <c r="K76" s="1367"/>
      <c r="O76" s="48"/>
      <c r="P76" s="48"/>
      <c r="Q76" s="48"/>
      <c r="R76" s="48"/>
      <c r="S76" s="48"/>
      <c r="T76" s="48"/>
      <c r="U76" s="48"/>
    </row>
    <row r="77" spans="1:21" s="106" customFormat="1" ht="35.1" customHeight="1" x14ac:dyDescent="0.2">
      <c r="G77" s="47"/>
      <c r="H77" s="47"/>
      <c r="I77" s="47"/>
      <c r="J77" s="47"/>
      <c r="O77" s="48"/>
      <c r="P77" s="48"/>
      <c r="Q77" s="48"/>
      <c r="R77" s="48"/>
      <c r="S77" s="48"/>
      <c r="T77" s="48"/>
      <c r="U77" s="48"/>
    </row>
    <row r="78" spans="1:21" s="106" customFormat="1" ht="35.1" customHeight="1" x14ac:dyDescent="0.2">
      <c r="G78" s="47"/>
      <c r="H78" s="47"/>
      <c r="I78" s="47"/>
      <c r="J78" s="47"/>
      <c r="O78" s="48"/>
      <c r="P78" s="48"/>
      <c r="Q78" s="48"/>
      <c r="R78" s="48"/>
      <c r="S78" s="48"/>
      <c r="T78" s="48"/>
      <c r="U78" s="48"/>
    </row>
    <row r="79" spans="1:21" s="106" customFormat="1" ht="35.1" customHeight="1" x14ac:dyDescent="0.2">
      <c r="G79" s="47"/>
      <c r="H79" s="47"/>
      <c r="I79" s="47"/>
      <c r="J79" s="47"/>
    </row>
    <row r="80" spans="1:21" s="107" customFormat="1" ht="35.1" customHeight="1" x14ac:dyDescent="0.2">
      <c r="A80" s="109"/>
      <c r="B80" s="106"/>
      <c r="C80" s="106"/>
      <c r="D80" s="106"/>
      <c r="E80" s="106"/>
      <c r="F80" s="106"/>
      <c r="G80" s="47"/>
      <c r="H80" s="47"/>
    </row>
    <row r="81" spans="2:11" s="111" customFormat="1" ht="35.1" customHeight="1" x14ac:dyDescent="0.2">
      <c r="B81" s="106"/>
      <c r="C81" s="106"/>
      <c r="D81" s="106"/>
      <c r="E81" s="106"/>
      <c r="F81" s="106"/>
      <c r="G81" s="47"/>
      <c r="H81" s="47"/>
    </row>
    <row r="82" spans="2:11" s="106" customFormat="1" ht="61.5" customHeight="1" x14ac:dyDescent="0.2">
      <c r="H82" s="111"/>
      <c r="I82" s="111"/>
      <c r="J82" s="111"/>
      <c r="K82" s="108"/>
    </row>
    <row r="83" spans="2:11" s="106" customFormat="1" ht="35.1" customHeight="1" x14ac:dyDescent="0.2">
      <c r="G83" s="111"/>
      <c r="H83" s="111"/>
      <c r="I83" s="111"/>
      <c r="J83" s="111"/>
      <c r="K83" s="108"/>
    </row>
    <row r="84" spans="2:11" s="106" customFormat="1" ht="35.1" customHeight="1" x14ac:dyDescent="0.2">
      <c r="G84" s="111"/>
      <c r="H84" s="111"/>
      <c r="I84" s="111"/>
      <c r="J84" s="111"/>
      <c r="K84" s="108"/>
    </row>
    <row r="85" spans="2:11" s="106" customFormat="1" ht="35.1" customHeight="1" x14ac:dyDescent="0.2">
      <c r="F85" s="107"/>
      <c r="K85" s="108"/>
    </row>
    <row r="86" spans="2:11" s="106" customFormat="1" ht="50.1" customHeight="1" x14ac:dyDescent="0.2"/>
    <row r="87" spans="2:11" s="106" customFormat="1" ht="57.75" customHeight="1" x14ac:dyDescent="0.2">
      <c r="C87" s="112"/>
      <c r="D87" s="112"/>
      <c r="E87" s="112"/>
    </row>
    <row r="88" spans="2:11" s="106" customFormat="1" ht="35.1" customHeight="1" x14ac:dyDescent="0.2"/>
    <row r="89" spans="2:11" s="106" customFormat="1" ht="35.1" customHeight="1" x14ac:dyDescent="0.2">
      <c r="F89" s="108"/>
      <c r="G89" s="108"/>
      <c r="H89" s="108"/>
      <c r="I89" s="108"/>
      <c r="J89" s="108"/>
    </row>
    <row r="90" spans="2:11" s="106" customFormat="1" ht="35.1" customHeight="1" x14ac:dyDescent="0.2"/>
    <row r="91" spans="2:11" s="106" customFormat="1" ht="50.1" customHeight="1" x14ac:dyDescent="0.2">
      <c r="J91" s="47"/>
    </row>
    <row r="92" spans="2:11" s="106" customFormat="1" ht="55.5" customHeight="1" x14ac:dyDescent="0.2">
      <c r="J92" s="111"/>
    </row>
    <row r="93" spans="2:11" s="106" customFormat="1" ht="50.1" customHeight="1" x14ac:dyDescent="0.2">
      <c r="J93" s="111"/>
    </row>
    <row r="94" spans="2:11" s="107" customFormat="1" ht="31.5" customHeight="1" x14ac:dyDescent="0.2">
      <c r="J94" s="111"/>
    </row>
    <row r="95" spans="2:11" s="106" customFormat="1" ht="35.1" customHeight="1" x14ac:dyDescent="0.2">
      <c r="G95" s="111"/>
      <c r="H95" s="111"/>
      <c r="I95" s="111"/>
      <c r="J95" s="111"/>
    </row>
    <row r="96" spans="2:11" s="106" customFormat="1" ht="35.1" customHeight="1" x14ac:dyDescent="0.2">
      <c r="G96" s="111"/>
      <c r="H96" s="111"/>
      <c r="I96" s="111"/>
      <c r="J96" s="111"/>
    </row>
    <row r="97" spans="1:12" s="106" customFormat="1" ht="9.9499999999999993" customHeight="1" x14ac:dyDescent="0.2">
      <c r="G97" s="108"/>
      <c r="H97" s="108"/>
      <c r="I97" s="108"/>
      <c r="J97" s="108"/>
    </row>
    <row r="98" spans="1:12" s="106" customFormat="1" ht="35.1" customHeight="1" x14ac:dyDescent="0.2">
      <c r="J98" s="108"/>
      <c r="K98" s="108"/>
      <c r="L98" s="108"/>
    </row>
    <row r="99" spans="1:12" s="46" customFormat="1" ht="15" customHeight="1" x14ac:dyDescent="0.2">
      <c r="A99" s="47"/>
      <c r="G99" s="47"/>
      <c r="H99" s="47"/>
      <c r="I99" s="47"/>
      <c r="J99" s="47"/>
      <c r="K99" s="48"/>
    </row>
    <row r="100" spans="1:12" s="48" customFormat="1" ht="31.5" customHeight="1" x14ac:dyDescent="0.2">
      <c r="A100" s="47"/>
      <c r="B100" s="47"/>
      <c r="C100" s="47"/>
      <c r="D100" s="47"/>
      <c r="E100" s="47"/>
      <c r="F100" s="47"/>
      <c r="G100" s="47"/>
      <c r="H100" s="47"/>
      <c r="I100" s="47"/>
      <c r="J100" s="47"/>
    </row>
    <row r="101" spans="1:12" s="48" customFormat="1" ht="31.5" customHeight="1" x14ac:dyDescent="0.2"/>
    <row r="102" spans="1:12" s="48" customFormat="1" ht="31.5" customHeight="1" x14ac:dyDescent="0.2"/>
    <row r="103" spans="1:12" s="48" customFormat="1" ht="52.5" customHeight="1" x14ac:dyDescent="0.2"/>
    <row r="104" spans="1:12" s="48" customFormat="1" ht="31.5" customHeight="1" x14ac:dyDescent="0.2">
      <c r="K104" s="8"/>
    </row>
    <row r="105" spans="1:12" s="48" customFormat="1" ht="31.5" customHeight="1" x14ac:dyDescent="0.2">
      <c r="K105" s="8"/>
    </row>
    <row r="106" spans="1:12" ht="31.5" customHeight="1" x14ac:dyDescent="0.2">
      <c r="G106" s="76"/>
    </row>
    <row r="107" spans="1:12" ht="51" customHeight="1" x14ac:dyDescent="0.2"/>
    <row r="109" spans="1:12" ht="31.5" customHeight="1" x14ac:dyDescent="0.2">
      <c r="B109" s="29"/>
      <c r="C109" s="29"/>
      <c r="D109" s="29"/>
      <c r="E109" s="29"/>
      <c r="F109" s="29"/>
      <c r="G109" s="29"/>
      <c r="H109" s="29"/>
      <c r="I109" s="29"/>
      <c r="J109" s="29"/>
    </row>
    <row r="110" spans="1:12" ht="31.5" customHeight="1" x14ac:dyDescent="0.2">
      <c r="B110" s="29"/>
      <c r="C110" s="29"/>
      <c r="D110" s="29"/>
      <c r="E110" s="29"/>
      <c r="F110" s="29"/>
      <c r="G110" s="29"/>
      <c r="H110" s="29"/>
      <c r="I110" s="29"/>
      <c r="J110" s="29"/>
    </row>
    <row r="111" spans="1:12" ht="31.5" customHeight="1" x14ac:dyDescent="0.2">
      <c r="B111" s="29"/>
      <c r="C111" s="29"/>
      <c r="D111" s="29"/>
      <c r="E111" s="29"/>
      <c r="F111" s="29"/>
      <c r="G111" s="29"/>
      <c r="H111" s="29"/>
      <c r="I111" s="29"/>
      <c r="J111" s="29"/>
    </row>
    <row r="112" spans="1:12" ht="31.5" customHeight="1" x14ac:dyDescent="0.2">
      <c r="B112" s="29"/>
      <c r="C112" s="29"/>
      <c r="D112" s="29"/>
      <c r="E112" s="29"/>
      <c r="F112" s="29"/>
      <c r="G112" s="29"/>
      <c r="H112" s="29"/>
      <c r="I112" s="29"/>
      <c r="J112" s="29"/>
    </row>
    <row r="113" spans="2:10" ht="31.5" customHeight="1" x14ac:dyDescent="0.2">
      <c r="B113" s="29"/>
      <c r="C113" s="29"/>
      <c r="D113" s="29"/>
      <c r="E113" s="29"/>
      <c r="F113" s="29"/>
      <c r="G113" s="29"/>
      <c r="H113" s="29"/>
      <c r="I113" s="29"/>
      <c r="J113" s="29"/>
    </row>
    <row r="114" spans="2:10" ht="31.5" customHeight="1" x14ac:dyDescent="0.2">
      <c r="B114" s="29"/>
      <c r="C114" s="29"/>
      <c r="D114" s="29"/>
      <c r="E114" s="29"/>
      <c r="F114" s="29"/>
      <c r="G114" s="29"/>
      <c r="H114" s="29"/>
      <c r="I114" s="29"/>
      <c r="J114" s="29"/>
    </row>
    <row r="115" spans="2:10" ht="31.5" customHeight="1" x14ac:dyDescent="0.2">
      <c r="B115" s="29"/>
      <c r="C115" s="29"/>
      <c r="D115" s="29"/>
      <c r="E115" s="29"/>
      <c r="F115" s="29"/>
      <c r="G115" s="29"/>
      <c r="H115" s="29"/>
      <c r="I115" s="29"/>
      <c r="J115" s="29"/>
    </row>
  </sheetData>
  <sheetProtection password="CF5C" sheet="1" objects="1" scenarios="1"/>
  <mergeCells count="62">
    <mergeCell ref="A13:B13"/>
    <mergeCell ref="F13:I13"/>
    <mergeCell ref="A1:B1"/>
    <mergeCell ref="C1:M1"/>
    <mergeCell ref="I3:J4"/>
    <mergeCell ref="A6:D6"/>
    <mergeCell ref="F6:I6"/>
    <mergeCell ref="F9:G9"/>
    <mergeCell ref="A10:B10"/>
    <mergeCell ref="F10:G10"/>
    <mergeCell ref="A11:B11"/>
    <mergeCell ref="F11:G11"/>
    <mergeCell ref="A12:B12"/>
    <mergeCell ref="A27:B27"/>
    <mergeCell ref="G27:H27"/>
    <mergeCell ref="A14:B14"/>
    <mergeCell ref="A15:B15"/>
    <mergeCell ref="A16:B16"/>
    <mergeCell ref="C16:D16"/>
    <mergeCell ref="A18:J18"/>
    <mergeCell ref="F19:G19"/>
    <mergeCell ref="J19:J20"/>
    <mergeCell ref="A20:B20"/>
    <mergeCell ref="E20:F20"/>
    <mergeCell ref="A22:J22"/>
    <mergeCell ref="C24:D24"/>
    <mergeCell ref="F24:G24"/>
    <mergeCell ref="C26:F26"/>
    <mergeCell ref="G26:H26"/>
    <mergeCell ref="A49:B49"/>
    <mergeCell ref="G49:H49"/>
    <mergeCell ref="A28:A31"/>
    <mergeCell ref="C33:D33"/>
    <mergeCell ref="F33:G33"/>
    <mergeCell ref="A36:J36"/>
    <mergeCell ref="B38:F38"/>
    <mergeCell ref="H38:J38"/>
    <mergeCell ref="H39:J42"/>
    <mergeCell ref="A46:J46"/>
    <mergeCell ref="A47:B48"/>
    <mergeCell ref="C47:E47"/>
    <mergeCell ref="G48:H48"/>
    <mergeCell ref="A56:J56"/>
    <mergeCell ref="A58:B58"/>
    <mergeCell ref="C58:D58"/>
    <mergeCell ref="E58:F58"/>
    <mergeCell ref="H60:M60"/>
    <mergeCell ref="A50:B50"/>
    <mergeCell ref="G50:H50"/>
    <mergeCell ref="A52:J52"/>
    <mergeCell ref="D53:E53"/>
    <mergeCell ref="H53:I53"/>
    <mergeCell ref="F74:G74"/>
    <mergeCell ref="H74:H76"/>
    <mergeCell ref="I74:K74"/>
    <mergeCell ref="J75:K75"/>
    <mergeCell ref="J76:K76"/>
    <mergeCell ref="D70:E70"/>
    <mergeCell ref="D71:E71"/>
    <mergeCell ref="B72:K72"/>
    <mergeCell ref="B73:E73"/>
    <mergeCell ref="H73:K73"/>
  </mergeCells>
  <printOptions horizontalCentered="1"/>
  <pageMargins left="0.70866141732283472" right="0.70866141732283472" top="0.74803149606299213" bottom="0.74803149606299213" header="0.31496062992125984" footer="0.31496062992125984"/>
  <pageSetup scale="13" orientation="portrait" r:id="rId1"/>
  <headerFooter>
    <oddHeader xml:space="preserve">&amp;C
&amp;16   
</oddHeader>
    <oddFooter xml:space="preserve">&amp;RRT03-F13 Vr.14 (2021-05-21)
</oddFooter>
  </headerFooter>
  <rowBreaks count="1" manualBreakCount="1">
    <brk id="34" max="12" man="1"/>
  </rowBreaks>
  <drawing r:id="rId2"/>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1E00-000000000000}">
          <x14:formula1>
            <xm:f>'DATOS %'!$V$161:$V$165</xm:f>
          </x14:formula1>
          <xm:sqref>H25</xm:sqref>
        </x14:dataValidation>
        <x14:dataValidation type="list" allowBlank="1" showInputMessage="1" showErrorMessage="1" xr:uid="{00000000-0002-0000-1E00-000001000000}">
          <x14:formula1>
            <xm:f>'DATOS %'!$V$120:$V$126</xm:f>
          </x14:formula1>
          <xm:sqref>J13</xm:sqref>
        </x14:dataValidation>
        <x14:dataValidation type="list" allowBlank="1" showInputMessage="1" showErrorMessage="1" xr:uid="{00000000-0002-0000-1E00-000002000000}">
          <x14:formula1>
            <xm:f>'DATOS %'!$N$29:$N$113</xm:f>
          </x14:formula1>
          <xm:sqref>E6</xm:sqref>
        </x14:dataValidation>
        <x14:dataValidation type="list" allowBlank="1" showInputMessage="1" showErrorMessage="1" xr:uid="{00000000-0002-0000-1E00-000003000000}">
          <x14:formula1>
            <xm:f>'DATOS %'!$N$121:$N$166</xm:f>
          </x14:formula1>
          <xm:sqref>F48</xm:sqref>
        </x14:dataValidation>
        <x14:dataValidation type="list" allowBlank="1" showInputMessage="1" showErrorMessage="1" xr:uid="{00000000-0002-0000-1E00-000004000000}">
          <x14:formula1>
            <xm:f>'DATOS %'!$J$174:$J$179</xm:f>
          </x14:formula1>
          <xm:sqref>J19:J20</xm:sqref>
        </x14:dataValidation>
        <x14:dataValidation type="list" allowBlank="1" showInputMessage="1" showErrorMessage="1" xr:uid="{00000000-0002-0000-1E00-000005000000}">
          <x14:formula1>
            <xm:f>'DATOS %'!$B$7:$B$40</xm:f>
          </x14:formula1>
          <xm:sqref>I3:J4</xm:sqref>
        </x14:dataValidation>
      </x14:dataValidation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sheetPr>
  <dimension ref="A1:U115"/>
  <sheetViews>
    <sheetView showGridLines="0" view="pageBreakPreview" topLeftCell="A16" zoomScale="80" zoomScaleNormal="60" zoomScaleSheetLayoutView="80" workbookViewId="0">
      <selection activeCell="C65" sqref="C65"/>
    </sheetView>
  </sheetViews>
  <sheetFormatPr baseColWidth="10" defaultColWidth="11.42578125" defaultRowHeight="31.5" customHeight="1" x14ac:dyDescent="0.2"/>
  <cols>
    <col min="1" max="1" width="14.7109375" style="37" customWidth="1"/>
    <col min="2" max="2" width="12" style="37" customWidth="1"/>
    <col min="3" max="3" width="15.7109375" style="37" customWidth="1"/>
    <col min="4" max="4" width="17" style="37" customWidth="1"/>
    <col min="5" max="5" width="15.5703125" style="37" customWidth="1"/>
    <col min="6" max="6" width="18.5703125" style="37" customWidth="1"/>
    <col min="7" max="7" width="15.7109375" style="37" customWidth="1"/>
    <col min="8" max="8" width="24.42578125" style="37" bestFit="1" customWidth="1"/>
    <col min="9" max="9" width="13.85546875" style="37" bestFit="1" customWidth="1"/>
    <col min="10" max="10" width="13.7109375" style="37" customWidth="1"/>
    <col min="11" max="19" width="11.42578125" style="8"/>
    <col min="20" max="20" width="15.85546875" style="8" bestFit="1" customWidth="1"/>
    <col min="21" max="21" width="14.42578125" style="8" bestFit="1" customWidth="1"/>
    <col min="22" max="16384" width="11.42578125" style="8"/>
  </cols>
  <sheetData>
    <row r="1" spans="1:16" ht="60" customHeight="1" thickBot="1" x14ac:dyDescent="0.25">
      <c r="A1" s="1257"/>
      <c r="B1" s="1258"/>
      <c r="C1" s="1259" t="s">
        <v>57</v>
      </c>
      <c r="D1" s="1260"/>
      <c r="E1" s="1260"/>
      <c r="F1" s="1260"/>
      <c r="G1" s="1260"/>
      <c r="H1" s="1260"/>
      <c r="I1" s="1260"/>
      <c r="J1" s="1260"/>
      <c r="K1" s="1260"/>
      <c r="L1" s="1260"/>
      <c r="M1" s="1261"/>
      <c r="N1" s="7"/>
      <c r="O1" s="7"/>
      <c r="P1" s="7"/>
    </row>
    <row r="2" spans="1:16" s="11" customFormat="1" ht="9.75" customHeight="1" thickBot="1" x14ac:dyDescent="0.25">
      <c r="A2" s="9"/>
      <c r="B2" s="9"/>
      <c r="C2" s="10"/>
      <c r="D2" s="10"/>
      <c r="E2" s="10"/>
      <c r="F2" s="10"/>
      <c r="G2" s="10"/>
      <c r="H2" s="10"/>
      <c r="K2" s="12"/>
      <c r="M2" s="7"/>
    </row>
    <row r="3" spans="1:16" s="12" customFormat="1" ht="35.25" customHeight="1" thickBot="1" x14ac:dyDescent="0.25">
      <c r="A3" s="13" t="s">
        <v>17</v>
      </c>
      <c r="B3" s="14" t="s">
        <v>55</v>
      </c>
      <c r="C3" s="15" t="s">
        <v>209</v>
      </c>
      <c r="D3" s="15" t="s">
        <v>56</v>
      </c>
      <c r="E3" s="15" t="s">
        <v>8</v>
      </c>
      <c r="F3" s="16" t="s">
        <v>18</v>
      </c>
      <c r="G3" s="16" t="s">
        <v>297</v>
      </c>
      <c r="H3" s="17" t="s">
        <v>24</v>
      </c>
      <c r="I3" s="1262"/>
      <c r="J3" s="1263"/>
      <c r="K3" s="11"/>
      <c r="M3" s="7"/>
    </row>
    <row r="4" spans="1:16" s="11" customFormat="1" ht="32.25" customHeight="1" thickBot="1" x14ac:dyDescent="0.25">
      <c r="A4" s="18" t="e">
        <f>VLOOKUP($I$3,'DATOS %'!B7:J40,2,FALSE)</f>
        <v>#N/A</v>
      </c>
      <c r="B4" s="212" t="e">
        <f>VLOOKUP($I$3,'DATOS %'!$B$7:$J$40,3,FALSE)</f>
        <v>#N/A</v>
      </c>
      <c r="C4" s="19" t="e">
        <f>VLOOKUP($I$3,'DATOS %'!$B$7:$J$40,8,FALSE)</f>
        <v>#N/A</v>
      </c>
      <c r="D4" s="19" t="e">
        <f>VLOOKUP($I$3,'DATOS %'!$B$7:$J$40,6,FALSE)</f>
        <v>#N/A</v>
      </c>
      <c r="E4" s="212" t="e">
        <f>VLOOKUP($I$3,'DATOS %'!$B$7:$J$40,7,FALSE)</f>
        <v>#N/A</v>
      </c>
      <c r="F4" s="18" t="e">
        <f>VLOOKUP($I$3,'DATOS %'!$B$7:$J$40,4,FALSE)</f>
        <v>#N/A</v>
      </c>
      <c r="G4" s="18" t="e">
        <f>VLOOKUP($I$3,'DATOS %'!$B$7:$J$40,5,FALSE)</f>
        <v>#N/A</v>
      </c>
      <c r="H4" s="19" t="e">
        <f>VLOOKUP($I$3,'DATOS %'!$B$7:$J$40,9,FALSE)</f>
        <v>#N/A</v>
      </c>
      <c r="I4" s="1264"/>
      <c r="J4" s="1265"/>
      <c r="K4" s="8"/>
      <c r="L4" s="20"/>
      <c r="M4" s="20"/>
    </row>
    <row r="5" spans="1:16" s="22" customFormat="1" ht="6.75" customHeight="1" thickBot="1" x14ac:dyDescent="0.25">
      <c r="A5" s="21"/>
      <c r="B5" s="21"/>
      <c r="C5" s="21"/>
      <c r="F5" s="21"/>
      <c r="G5" s="21"/>
      <c r="H5" s="21"/>
      <c r="K5" s="8"/>
    </row>
    <row r="6" spans="1:16" ht="31.5" customHeight="1" thickBot="1" x14ac:dyDescent="0.25">
      <c r="A6" s="1266" t="s">
        <v>19</v>
      </c>
      <c r="B6" s="1267"/>
      <c r="C6" s="1267"/>
      <c r="D6" s="1268"/>
      <c r="E6" s="4"/>
      <c r="F6" s="1266" t="s">
        <v>20</v>
      </c>
      <c r="G6" s="1267"/>
      <c r="H6" s="1267"/>
      <c r="I6" s="1268"/>
      <c r="J6" s="402">
        <f>I3</f>
        <v>0</v>
      </c>
    </row>
    <row r="7" spans="1:16" ht="31.5" customHeight="1" x14ac:dyDescent="0.2">
      <c r="A7" s="23" t="s">
        <v>21</v>
      </c>
      <c r="B7" s="24" t="e">
        <f>VLOOKUP($E$6,'DATOS %'!N11:AA113,2,FALSE)</f>
        <v>#N/A</v>
      </c>
      <c r="C7" s="25" t="s">
        <v>10</v>
      </c>
      <c r="D7" s="26" t="e">
        <f>VLOOKUP($E$6,'DATOS %'!N11:AA113,3,FALSE)</f>
        <v>#N/A</v>
      </c>
      <c r="E7" s="27"/>
      <c r="F7" s="23" t="s">
        <v>21</v>
      </c>
      <c r="G7" s="24" t="e">
        <f>VLOOKUP($J$6,'DATOS %'!B47:I79,2,FALSE)</f>
        <v>#N/A</v>
      </c>
      <c r="H7" s="28" t="s">
        <v>10</v>
      </c>
      <c r="I7" s="26" t="e">
        <f>VLOOKUP($J$6,'DATOS %'!B47:I79,3,FALSE)</f>
        <v>#N/A</v>
      </c>
      <c r="J7" s="29"/>
    </row>
    <row r="8" spans="1:16" ht="31.5" customHeight="1" x14ac:dyDescent="0.2">
      <c r="A8" s="30" t="s">
        <v>22</v>
      </c>
      <c r="B8" s="31" t="e">
        <f>VLOOKUP($E$6,'DATOS %'!N11:AA113,4,FALSE)</f>
        <v>#N/A</v>
      </c>
      <c r="C8" s="32" t="s">
        <v>23</v>
      </c>
      <c r="D8" s="33" t="e">
        <f>VLOOKUP($E$6,'DATOS %'!N11:AA113,5,FALSE)</f>
        <v>#N/A</v>
      </c>
      <c r="E8" s="27"/>
      <c r="F8" s="30" t="s">
        <v>22</v>
      </c>
      <c r="G8" s="31" t="e">
        <f>VLOOKUP($J$6,'DATOS %'!B47:I79,4,FALSE)</f>
        <v>#N/A</v>
      </c>
      <c r="H8" s="32" t="s">
        <v>23</v>
      </c>
      <c r="I8" s="297" t="e">
        <f>VLOOKUP($J$6,'DATOS %'!B47:I79,5,FALSE)</f>
        <v>#N/A</v>
      </c>
      <c r="J8" s="29"/>
    </row>
    <row r="9" spans="1:16" ht="31.5" customHeight="1" x14ac:dyDescent="0.2">
      <c r="A9" s="34" t="s">
        <v>24</v>
      </c>
      <c r="B9" s="31" t="e">
        <f>VLOOKUP($E$6,'DATOS %'!N11:AA113,6,FALSE)</f>
        <v>#N/A</v>
      </c>
      <c r="C9" s="35" t="s">
        <v>15</v>
      </c>
      <c r="D9" s="36" t="e">
        <f>VLOOKUP($E$6,'DATOS %'!N11:AA113,7,FALSE)</f>
        <v>#N/A</v>
      </c>
      <c r="F9" s="1252" t="s">
        <v>62</v>
      </c>
      <c r="G9" s="1253"/>
      <c r="H9" s="31" t="e">
        <f>VLOOKUP($J$6,'DATOS %'!B47:I79,6,FALSE)</f>
        <v>#N/A</v>
      </c>
      <c r="I9" s="33" t="s">
        <v>1</v>
      </c>
      <c r="J9" s="29"/>
      <c r="K9" s="208"/>
    </row>
    <row r="10" spans="1:16" s="38" customFormat="1" ht="31.5" customHeight="1" x14ac:dyDescent="0.25">
      <c r="A10" s="1252" t="s">
        <v>63</v>
      </c>
      <c r="B10" s="1253"/>
      <c r="C10" s="223" t="e">
        <f>VLOOKUP($E$6,'DATOS %'!N11:AA113,8,FALSE)</f>
        <v>#N/A</v>
      </c>
      <c r="D10" s="33" t="s">
        <v>1</v>
      </c>
      <c r="F10" s="1252" t="s">
        <v>64</v>
      </c>
      <c r="G10" s="1253"/>
      <c r="H10" s="213" t="e">
        <f>VLOOKUP($J$6,'DATOS %'!B47:I79,7,FALSE)</f>
        <v>#N/A</v>
      </c>
      <c r="I10" s="33" t="s">
        <v>76</v>
      </c>
      <c r="J10" s="39"/>
    </row>
    <row r="11" spans="1:16" s="38" customFormat="1" ht="31.5" customHeight="1" thickBot="1" x14ac:dyDescent="0.3">
      <c r="A11" s="1252" t="s">
        <v>65</v>
      </c>
      <c r="B11" s="1253"/>
      <c r="C11" s="31" t="e">
        <f>VLOOKUP($E$6,'DATOS %'!N11:AA113,9,FALSE)</f>
        <v>#N/A</v>
      </c>
      <c r="D11" s="33" t="s">
        <v>3</v>
      </c>
      <c r="E11" s="40"/>
      <c r="F11" s="1271" t="s">
        <v>66</v>
      </c>
      <c r="G11" s="1272"/>
      <c r="H11" s="41" t="e">
        <f>VLOOKUP($J$6,'DATOS %'!B47:I79,8,FALSE)</f>
        <v>#N/A</v>
      </c>
      <c r="I11" s="45" t="s">
        <v>76</v>
      </c>
      <c r="J11" s="39"/>
    </row>
    <row r="12" spans="1:16" s="38" customFormat="1" ht="31.5" customHeight="1" thickBot="1" x14ac:dyDescent="0.3">
      <c r="A12" s="1252" t="s">
        <v>67</v>
      </c>
      <c r="B12" s="1253"/>
      <c r="C12" s="31" t="e">
        <f>VLOOKUP($E$6,'DATOS %'!N11:AA113,10,FALSE)</f>
        <v>#N/A</v>
      </c>
      <c r="D12" s="33" t="s">
        <v>3</v>
      </c>
      <c r="E12" s="39"/>
      <c r="F12" s="39"/>
      <c r="G12" s="39"/>
      <c r="H12" s="39"/>
    </row>
    <row r="13" spans="1:16" s="38" customFormat="1" ht="31.5" customHeight="1" thickBot="1" x14ac:dyDescent="0.3">
      <c r="A13" s="1252" t="s">
        <v>68</v>
      </c>
      <c r="B13" s="1253"/>
      <c r="C13" s="213" t="e">
        <f>VLOOKUP($E$6,'DATOS %'!N11:AA113,11,FALSE)</f>
        <v>#N/A</v>
      </c>
      <c r="D13" s="33" t="s">
        <v>76</v>
      </c>
      <c r="E13" s="39"/>
      <c r="F13" s="1254" t="s">
        <v>559</v>
      </c>
      <c r="G13" s="1255"/>
      <c r="H13" s="1255"/>
      <c r="I13" s="1256"/>
      <c r="J13" s="5"/>
    </row>
    <row r="14" spans="1:16" s="38" customFormat="1" ht="31.5" customHeight="1" x14ac:dyDescent="0.2">
      <c r="A14" s="1252" t="s">
        <v>305</v>
      </c>
      <c r="B14" s="1253"/>
      <c r="C14" s="31" t="e">
        <f>VLOOKUP($E$6,'DATOS %'!N11:AA113,12,FALSE)</f>
        <v>#N/A</v>
      </c>
      <c r="D14" s="33" t="s">
        <v>76</v>
      </c>
      <c r="E14" s="39"/>
      <c r="F14" s="23" t="s">
        <v>10</v>
      </c>
      <c r="G14" s="24" t="e">
        <f>VLOOKUP($J$13,'DATOS %'!$V$119:$Y$126,2,FALSE)</f>
        <v>#N/A</v>
      </c>
      <c r="H14" s="28" t="s">
        <v>22</v>
      </c>
      <c r="I14" s="24" t="e">
        <f>VLOOKUP($J$13,'DATOS %'!$V$119:$Z$126,3,FALSE)</f>
        <v>#N/A</v>
      </c>
      <c r="J14" s="42"/>
      <c r="K14" s="8"/>
    </row>
    <row r="15" spans="1:16" ht="31.5" customHeight="1" thickBot="1" x14ac:dyDescent="0.25">
      <c r="A15" s="1277" t="s">
        <v>69</v>
      </c>
      <c r="B15" s="1278"/>
      <c r="C15" s="31" t="e">
        <f>VLOOKUP($E$6,'DATOS %'!N11:AA113,13,FALSE)</f>
        <v>#N/A</v>
      </c>
      <c r="D15" s="33" t="s">
        <v>76</v>
      </c>
      <c r="E15" s="29"/>
      <c r="F15" s="43" t="s">
        <v>61</v>
      </c>
      <c r="G15" s="41" t="e">
        <f>VLOOKUP($J$13,'DATOS %'!$V$119:$Y$126,4,FALSE)</f>
        <v>#N/A</v>
      </c>
      <c r="H15" s="41" t="s">
        <v>1</v>
      </c>
      <c r="I15" s="240" t="s">
        <v>210</v>
      </c>
      <c r="J15" s="45" t="e">
        <f>VLOOKUP($J$13,'DATOS %'!$V$119:$Z$126,5,FALSE)</f>
        <v>#N/A</v>
      </c>
      <c r="K15" s="22"/>
    </row>
    <row r="16" spans="1:16" ht="30.95" customHeight="1" thickBot="1" x14ac:dyDescent="0.25">
      <c r="A16" s="1279" t="s">
        <v>210</v>
      </c>
      <c r="B16" s="1280"/>
      <c r="C16" s="1281" t="e">
        <f>VLOOKUP($E$6,'DATOS %'!N11:AA113,14,FALSE)</f>
        <v>#N/A</v>
      </c>
      <c r="D16" s="1282"/>
      <c r="E16" s="29"/>
      <c r="F16" s="8"/>
      <c r="G16" s="8"/>
      <c r="H16" s="8"/>
      <c r="I16" s="8"/>
      <c r="J16" s="8"/>
    </row>
    <row r="17" spans="1:11" s="22" customFormat="1" ht="30.95" customHeight="1" thickBot="1" x14ac:dyDescent="0.25">
      <c r="A17" s="29"/>
      <c r="B17" s="29"/>
      <c r="C17" s="29"/>
      <c r="D17" s="29"/>
      <c r="E17" s="29"/>
      <c r="F17" s="29"/>
      <c r="G17" s="29"/>
      <c r="H17" s="29"/>
      <c r="I17" s="29"/>
      <c r="J17" s="29"/>
      <c r="K17" s="8"/>
    </row>
    <row r="18" spans="1:11" ht="31.5" customHeight="1" thickBot="1" x14ac:dyDescent="0.25">
      <c r="A18" s="1331" t="s">
        <v>26</v>
      </c>
      <c r="B18" s="1332"/>
      <c r="C18" s="1332"/>
      <c r="D18" s="1332"/>
      <c r="E18" s="1332"/>
      <c r="F18" s="1332"/>
      <c r="G18" s="1332"/>
      <c r="H18" s="1332"/>
      <c r="I18" s="1332"/>
      <c r="J18" s="1333"/>
    </row>
    <row r="19" spans="1:11" ht="46.5" customHeight="1" thickBot="1" x14ac:dyDescent="0.25">
      <c r="A19" s="407" t="s">
        <v>10</v>
      </c>
      <c r="B19" s="101" t="e">
        <f>VLOOKUP(J19,'DATOS %'!J174:W180,2,FALSE)</f>
        <v>#N/A</v>
      </c>
      <c r="C19" s="95" t="s">
        <v>7</v>
      </c>
      <c r="D19" s="408" t="e">
        <f>VLOOKUP(J19,'DATOS %'!J174:W180,3,FALSE)</f>
        <v>#N/A</v>
      </c>
      <c r="E19" s="409" t="s">
        <v>24</v>
      </c>
      <c r="F19" s="1286" t="e">
        <f>VLOOKUP(J19,'DATOS %'!J174:W180,5,FALSE)</f>
        <v>#N/A</v>
      </c>
      <c r="G19" s="1287"/>
      <c r="H19" s="95" t="s">
        <v>25</v>
      </c>
      <c r="I19" s="212" t="e">
        <f>VLOOKUP(J19,'DATOS %'!J174:W180,4,FALSE)</f>
        <v>#N/A</v>
      </c>
      <c r="J19" s="1374"/>
    </row>
    <row r="20" spans="1:11" ht="31.5" customHeight="1" thickBot="1" x14ac:dyDescent="0.25">
      <c r="A20" s="1290" t="s">
        <v>316</v>
      </c>
      <c r="B20" s="1291"/>
      <c r="C20" s="94" t="s">
        <v>27</v>
      </c>
      <c r="D20" s="101" t="e">
        <f>VLOOKUP(J19,'DATOS %'!J174:W180,6,FALSE)</f>
        <v>#N/A</v>
      </c>
      <c r="E20" s="1292" t="s">
        <v>326</v>
      </c>
      <c r="F20" s="1293"/>
      <c r="G20" s="101" t="e">
        <f>VLOOKUP(J19,'DATOS %'!J174:W180,7,FALSE)</f>
        <v>#N/A</v>
      </c>
      <c r="H20" s="95" t="s">
        <v>9</v>
      </c>
      <c r="I20" s="214" t="e">
        <f>VLOOKUP(J19,'DATOS %'!J174:W180,8,FALSE)</f>
        <v>#N/A</v>
      </c>
      <c r="J20" s="1289"/>
    </row>
    <row r="21" spans="1:11" s="46" customFormat="1" ht="15" customHeight="1" thickBot="1" x14ac:dyDescent="0.25">
      <c r="A21" s="47"/>
      <c r="B21" s="47"/>
      <c r="C21" s="47"/>
      <c r="D21" s="47"/>
      <c r="E21" s="47"/>
      <c r="F21" s="47"/>
      <c r="G21" s="47"/>
      <c r="H21" s="47"/>
      <c r="I21" s="47"/>
      <c r="J21" s="47"/>
      <c r="K21" s="8"/>
    </row>
    <row r="22" spans="1:11" s="48" customFormat="1" ht="31.5" customHeight="1" thickBot="1" x14ac:dyDescent="0.25">
      <c r="A22" s="1294" t="s">
        <v>28</v>
      </c>
      <c r="B22" s="1295"/>
      <c r="C22" s="1295"/>
      <c r="D22" s="1295"/>
      <c r="E22" s="1295"/>
      <c r="F22" s="1295"/>
      <c r="G22" s="1295"/>
      <c r="H22" s="1295"/>
      <c r="I22" s="1295"/>
      <c r="J22" s="1296"/>
      <c r="K22" s="47"/>
    </row>
    <row r="23" spans="1:11" s="47" customFormat="1" ht="2.25" customHeight="1" thickBot="1" x14ac:dyDescent="0.25">
      <c r="A23" s="49"/>
      <c r="B23" s="50"/>
      <c r="C23" s="50"/>
      <c r="D23" s="50"/>
      <c r="E23" s="50"/>
      <c r="F23" s="50"/>
      <c r="G23" s="50"/>
      <c r="H23" s="50"/>
      <c r="I23" s="50"/>
      <c r="J23" s="51"/>
      <c r="K23" s="48"/>
    </row>
    <row r="24" spans="1:11" s="48" customFormat="1" ht="31.5" customHeight="1" thickBot="1" x14ac:dyDescent="0.25">
      <c r="A24" s="52" t="s">
        <v>29</v>
      </c>
      <c r="B24" s="916"/>
      <c r="C24" s="1297" t="s">
        <v>27</v>
      </c>
      <c r="D24" s="1298"/>
      <c r="E24" s="1"/>
      <c r="F24" s="1684" t="s">
        <v>307</v>
      </c>
      <c r="G24" s="1685"/>
      <c r="H24" s="2"/>
      <c r="I24" s="972" t="s">
        <v>9</v>
      </c>
      <c r="J24" s="215"/>
      <c r="K24" s="46"/>
    </row>
    <row r="25" spans="1:11" s="46" customFormat="1" ht="15" customHeight="1" thickBot="1" x14ac:dyDescent="0.25">
      <c r="A25" s="47"/>
      <c r="B25" s="47"/>
      <c r="C25" s="47"/>
      <c r="D25" s="47"/>
      <c r="E25" s="47"/>
      <c r="F25" s="47"/>
      <c r="G25" s="47"/>
      <c r="H25" s="6"/>
      <c r="I25" s="47"/>
      <c r="K25" s="48"/>
    </row>
    <row r="26" spans="1:11" s="48" customFormat="1" ht="29.25" customHeight="1" thickBot="1" x14ac:dyDescent="0.25">
      <c r="A26" s="115" t="s">
        <v>129</v>
      </c>
      <c r="B26" s="105">
        <v>4</v>
      </c>
      <c r="C26" s="1301" t="s">
        <v>30</v>
      </c>
      <c r="D26" s="1302"/>
      <c r="E26" s="1302"/>
      <c r="F26" s="1303"/>
      <c r="G26" s="1304" t="s">
        <v>211</v>
      </c>
      <c r="H26" s="1305"/>
    </row>
    <row r="27" spans="1:11" s="48" customFormat="1" ht="31.5" customHeight="1" thickBot="1" x14ac:dyDescent="0.25">
      <c r="A27" s="1273" t="s">
        <v>31</v>
      </c>
      <c r="B27" s="1274"/>
      <c r="C27" s="239">
        <v>1</v>
      </c>
      <c r="D27" s="239">
        <v>2</v>
      </c>
      <c r="E27" s="239">
        <v>3</v>
      </c>
      <c r="F27" s="129">
        <v>4</v>
      </c>
      <c r="G27" s="1275" t="e">
        <f>VLOOKUP($H$25,'DATOS %'!$V$161:$AA$165,2,FALSE)</f>
        <v>#N/A</v>
      </c>
      <c r="H27" s="1276"/>
    </row>
    <row r="28" spans="1:11" s="48" customFormat="1" ht="31.5" customHeight="1" x14ac:dyDescent="0.2">
      <c r="A28" s="1310" t="s">
        <v>32</v>
      </c>
      <c r="B28" s="141" t="s">
        <v>0</v>
      </c>
      <c r="C28" s="265"/>
      <c r="D28" s="265"/>
      <c r="E28" s="265"/>
      <c r="F28" s="266"/>
      <c r="G28" s="47"/>
      <c r="H28" s="47"/>
      <c r="I28" s="47"/>
      <c r="J28" s="47"/>
    </row>
    <row r="29" spans="1:11" s="48" customFormat="1" ht="31.5" customHeight="1" x14ac:dyDescent="0.2">
      <c r="A29" s="1311"/>
      <c r="B29" s="104" t="s">
        <v>2</v>
      </c>
      <c r="C29" s="267"/>
      <c r="D29" s="267"/>
      <c r="E29" s="267"/>
      <c r="F29" s="268"/>
      <c r="G29" s="47"/>
      <c r="H29" s="47"/>
      <c r="I29" s="47"/>
      <c r="J29" s="47"/>
    </row>
    <row r="30" spans="1:11" s="48" customFormat="1" ht="31.5" customHeight="1" x14ac:dyDescent="0.2">
      <c r="A30" s="1311"/>
      <c r="B30" s="104" t="s">
        <v>2</v>
      </c>
      <c r="C30" s="267"/>
      <c r="D30" s="267"/>
      <c r="E30" s="267"/>
      <c r="F30" s="268"/>
      <c r="G30" s="47"/>
      <c r="H30" s="47"/>
      <c r="I30" s="47"/>
      <c r="J30" s="47"/>
    </row>
    <row r="31" spans="1:11" s="48" customFormat="1" ht="31.5" customHeight="1" thickBot="1" x14ac:dyDescent="0.25">
      <c r="A31" s="1312"/>
      <c r="B31" s="53" t="s">
        <v>0</v>
      </c>
      <c r="C31" s="269"/>
      <c r="D31" s="269"/>
      <c r="E31" s="269"/>
      <c r="F31" s="270"/>
      <c r="G31" s="47"/>
      <c r="H31" s="47"/>
      <c r="I31" s="47"/>
      <c r="J31" s="47"/>
      <c r="K31" s="46"/>
    </row>
    <row r="32" spans="1:11" s="46" customFormat="1" ht="15" customHeight="1" thickBot="1" x14ac:dyDescent="0.25">
      <c r="A32" s="47"/>
      <c r="B32" s="47"/>
      <c r="C32" s="47"/>
      <c r="D32" s="47"/>
      <c r="E32" s="47"/>
      <c r="F32" s="47"/>
      <c r="G32" s="47"/>
      <c r="H32" s="47"/>
      <c r="I32" s="47"/>
      <c r="J32" s="47"/>
      <c r="K32" s="48"/>
    </row>
    <row r="33" spans="1:11" s="48" customFormat="1" ht="31.5" customHeight="1" thickBot="1" x14ac:dyDescent="0.25">
      <c r="A33" s="54" t="s">
        <v>33</v>
      </c>
      <c r="B33" s="916"/>
      <c r="C33" s="1297" t="s">
        <v>27</v>
      </c>
      <c r="D33" s="1298"/>
      <c r="E33" s="1"/>
      <c r="F33" s="1684" t="s">
        <v>307</v>
      </c>
      <c r="G33" s="1685"/>
      <c r="H33" s="2"/>
      <c r="I33" s="973" t="s">
        <v>9</v>
      </c>
      <c r="J33" s="3"/>
      <c r="K33" s="46"/>
    </row>
    <row r="34" spans="1:11" s="46" customFormat="1" ht="12" customHeight="1" x14ac:dyDescent="0.2">
      <c r="A34" s="55"/>
      <c r="B34" s="55"/>
      <c r="C34" s="55"/>
      <c r="D34" s="55"/>
      <c r="E34" s="55"/>
      <c r="F34" s="55"/>
      <c r="G34" s="55"/>
      <c r="H34" s="55"/>
      <c r="I34" s="55"/>
      <c r="J34" s="55"/>
      <c r="K34" s="48"/>
    </row>
    <row r="35" spans="1:11" s="48" customFormat="1" ht="15" customHeight="1" thickBot="1" x14ac:dyDescent="0.25">
      <c r="A35" s="56"/>
      <c r="B35" s="56"/>
      <c r="C35" s="56"/>
      <c r="D35" s="56"/>
      <c r="E35" s="56"/>
      <c r="F35" s="56"/>
      <c r="G35" s="56"/>
      <c r="H35" s="56"/>
      <c r="I35" s="56"/>
      <c r="J35" s="56"/>
    </row>
    <row r="36" spans="1:11" s="48" customFormat="1" ht="32.25" customHeight="1" thickBot="1" x14ac:dyDescent="0.25">
      <c r="A36" s="1294" t="s">
        <v>34</v>
      </c>
      <c r="B36" s="1295"/>
      <c r="C36" s="1295"/>
      <c r="D36" s="1295"/>
      <c r="E36" s="1295"/>
      <c r="F36" s="1295"/>
      <c r="G36" s="1295"/>
      <c r="H36" s="1295"/>
      <c r="I36" s="1295"/>
      <c r="J36" s="1296"/>
    </row>
    <row r="37" spans="1:11" s="48" customFormat="1" ht="3.75" customHeight="1" thickBot="1" x14ac:dyDescent="0.25">
      <c r="A37" s="55"/>
      <c r="B37" s="47"/>
      <c r="C37" s="47"/>
      <c r="D37" s="47"/>
      <c r="E37" s="47"/>
      <c r="F37" s="47"/>
      <c r="G37" s="47"/>
      <c r="H37" s="47"/>
      <c r="I37" s="47"/>
      <c r="J37" s="55"/>
    </row>
    <row r="38" spans="1:11" s="48" customFormat="1" ht="31.5" customHeight="1" thickBot="1" x14ac:dyDescent="0.25">
      <c r="A38" s="47"/>
      <c r="B38" s="1316" t="s">
        <v>35</v>
      </c>
      <c r="C38" s="1317"/>
      <c r="D38" s="1317"/>
      <c r="E38" s="1317"/>
      <c r="F38" s="1318"/>
      <c r="G38" s="47"/>
      <c r="H38" s="1319" t="s">
        <v>236</v>
      </c>
      <c r="I38" s="1320"/>
      <c r="J38" s="1321"/>
    </row>
    <row r="39" spans="1:11" s="48" customFormat="1" ht="31.5" customHeight="1" thickBot="1" x14ac:dyDescent="0.25">
      <c r="A39" s="47"/>
      <c r="B39" s="57" t="s">
        <v>31</v>
      </c>
      <c r="C39" s="203">
        <v>1</v>
      </c>
      <c r="D39" s="141">
        <v>2</v>
      </c>
      <c r="E39" s="141">
        <v>3</v>
      </c>
      <c r="F39" s="204">
        <v>4</v>
      </c>
      <c r="G39" s="47"/>
      <c r="H39" s="1322"/>
      <c r="I39" s="1323"/>
      <c r="J39" s="1324"/>
    </row>
    <row r="40" spans="1:11" s="48" customFormat="1" ht="31.5" customHeight="1" x14ac:dyDescent="0.2">
      <c r="A40" s="58"/>
      <c r="B40" s="59"/>
      <c r="C40" s="271" t="e">
        <f>+AVERAGE(C28,C31)</f>
        <v>#DIV/0!</v>
      </c>
      <c r="D40" s="272" t="e">
        <f>+AVERAGE(D28,D31)</f>
        <v>#DIV/0!</v>
      </c>
      <c r="E40" s="272" t="e">
        <f>+AVERAGE(E28,E31)</f>
        <v>#DIV/0!</v>
      </c>
      <c r="F40" s="273" t="e">
        <f>+AVERAGE(F28,F31)</f>
        <v>#DIV/0!</v>
      </c>
      <c r="G40" s="47"/>
      <c r="H40" s="1325"/>
      <c r="I40" s="1326"/>
      <c r="J40" s="1327"/>
    </row>
    <row r="41" spans="1:11" s="48" customFormat="1" ht="31.5" customHeight="1" x14ac:dyDescent="0.2">
      <c r="A41" s="58"/>
      <c r="B41" s="60"/>
      <c r="C41" s="274" t="e">
        <f>+AVERAGE(C29:C30)</f>
        <v>#DIV/0!</v>
      </c>
      <c r="D41" s="275" t="e">
        <f>+AVERAGE(D29:D30)</f>
        <v>#DIV/0!</v>
      </c>
      <c r="E41" s="275" t="e">
        <f>+AVERAGE(E29:E30)</f>
        <v>#DIV/0!</v>
      </c>
      <c r="F41" s="276" t="e">
        <f>+AVERAGE(F29:F30)</f>
        <v>#DIV/0!</v>
      </c>
      <c r="G41" s="47"/>
      <c r="H41" s="1325"/>
      <c r="I41" s="1326"/>
      <c r="J41" s="1327"/>
    </row>
    <row r="42" spans="1:11" s="48" customFormat="1" ht="31.5" customHeight="1" thickBot="1" x14ac:dyDescent="0.25">
      <c r="A42" s="58"/>
      <c r="B42" s="62"/>
      <c r="C42" s="277" t="e">
        <f>+C41-C40</f>
        <v>#DIV/0!</v>
      </c>
      <c r="D42" s="278" t="e">
        <f>+D41-D40</f>
        <v>#DIV/0!</v>
      </c>
      <c r="E42" s="278" t="e">
        <f>+E41-E40</f>
        <v>#DIV/0!</v>
      </c>
      <c r="F42" s="279" t="e">
        <f>+F41-F40</f>
        <v>#DIV/0!</v>
      </c>
      <c r="G42" s="47"/>
      <c r="H42" s="1328"/>
      <c r="I42" s="1329"/>
      <c r="J42" s="1330"/>
    </row>
    <row r="43" spans="1:11" s="48" customFormat="1" ht="31.5" customHeight="1" thickBot="1" x14ac:dyDescent="0.25">
      <c r="A43" s="47"/>
      <c r="B43" s="63" t="s">
        <v>36</v>
      </c>
      <c r="C43" s="258" t="e">
        <f>+AVERAGE(C42:F42)</f>
        <v>#DIV/0!</v>
      </c>
      <c r="D43" s="280"/>
      <c r="E43" s="280"/>
      <c r="F43" s="280"/>
      <c r="G43" s="47"/>
      <c r="H43" s="47"/>
      <c r="I43" s="47"/>
      <c r="J43" s="47"/>
    </row>
    <row r="44" spans="1:11" s="48" customFormat="1" ht="31.5" customHeight="1" thickBot="1" x14ac:dyDescent="0.25">
      <c r="A44" s="47"/>
      <c r="B44" s="64" t="s">
        <v>77</v>
      </c>
      <c r="C44" s="259" t="e">
        <f>+STDEV(C42:F42)</f>
        <v>#DIV/0!</v>
      </c>
      <c r="D44" s="280"/>
      <c r="E44" s="280"/>
      <c r="F44" s="280"/>
      <c r="G44" s="47"/>
      <c r="H44" s="47"/>
      <c r="I44" s="47"/>
      <c r="J44" s="47"/>
      <c r="K44" s="46"/>
    </row>
    <row r="45" spans="1:11" s="46" customFormat="1" ht="15" customHeight="1" thickBot="1" x14ac:dyDescent="0.25">
      <c r="A45" s="47"/>
      <c r="B45" s="47"/>
      <c r="C45" s="47"/>
      <c r="D45" s="47"/>
      <c r="E45" s="47"/>
      <c r="F45" s="47"/>
      <c r="G45" s="65"/>
      <c r="H45" s="47"/>
      <c r="I45" s="47"/>
      <c r="J45" s="47"/>
      <c r="K45" s="48"/>
    </row>
    <row r="46" spans="1:11" s="48" customFormat="1" ht="31.5" customHeight="1" thickBot="1" x14ac:dyDescent="0.25">
      <c r="A46" s="1331" t="s">
        <v>37</v>
      </c>
      <c r="B46" s="1332"/>
      <c r="C46" s="1284"/>
      <c r="D46" s="1284"/>
      <c r="E46" s="1284"/>
      <c r="F46" s="1332"/>
      <c r="G46" s="1332"/>
      <c r="H46" s="1332"/>
      <c r="I46" s="1332"/>
      <c r="J46" s="1333"/>
    </row>
    <row r="47" spans="1:11" s="48" customFormat="1" ht="31.5" customHeight="1" thickBot="1" x14ac:dyDescent="0.25">
      <c r="A47" s="1375" t="s">
        <v>321</v>
      </c>
      <c r="B47" s="1376"/>
      <c r="C47" s="1338" t="s">
        <v>38</v>
      </c>
      <c r="D47" s="1339"/>
      <c r="E47" s="1340"/>
      <c r="F47" s="47"/>
      <c r="G47" s="47"/>
      <c r="H47" s="47"/>
      <c r="I47" s="47"/>
      <c r="J47" s="47"/>
    </row>
    <row r="48" spans="1:11" s="48" customFormat="1" ht="36.75" customHeight="1" thickBot="1" x14ac:dyDescent="0.25">
      <c r="A48" s="1377"/>
      <c r="B48" s="1378"/>
      <c r="C48" s="82" t="s">
        <v>27</v>
      </c>
      <c r="D48" s="93" t="s">
        <v>307</v>
      </c>
      <c r="E48" s="83" t="s">
        <v>9</v>
      </c>
      <c r="G48" s="1341" t="s">
        <v>70</v>
      </c>
      <c r="H48" s="1342"/>
      <c r="I48" s="102" t="e">
        <f>+(0.34848*E50-0.009*D50*EXP(0.061*C50))/(273.15+C50)</f>
        <v>#DIV/0!</v>
      </c>
      <c r="J48" s="103" t="s">
        <v>73</v>
      </c>
    </row>
    <row r="49" spans="1:21" s="48" customFormat="1" ht="33" customHeight="1" thickBot="1" x14ac:dyDescent="0.25">
      <c r="A49" s="1306" t="s">
        <v>39</v>
      </c>
      <c r="B49" s="1307"/>
      <c r="C49" s="90" t="e">
        <f>+AVERAGE(E33,E24)</f>
        <v>#DIV/0!</v>
      </c>
      <c r="D49" s="91" t="e">
        <f>+AVERAGE(H33,H24)</f>
        <v>#DIV/0!</v>
      </c>
      <c r="E49" s="92" t="e">
        <f>+AVERAGE(J33,J24)</f>
        <v>#DIV/0!</v>
      </c>
      <c r="G49" s="1308" t="s">
        <v>71</v>
      </c>
      <c r="H49" s="1309"/>
      <c r="I49" s="422" t="e">
        <f>I48*((0.0001)^2+(0.001*I20/2)^2+(-0.0034*D20/2)^2+(-0.01*G20/2)^2)^0.5</f>
        <v>#DIV/0!</v>
      </c>
      <c r="J49" s="66" t="s">
        <v>73</v>
      </c>
    </row>
    <row r="50" spans="1:21" s="48" customFormat="1" ht="36.75" customHeight="1" thickBot="1" x14ac:dyDescent="0.25">
      <c r="A50" s="1343" t="s">
        <v>322</v>
      </c>
      <c r="B50" s="1344"/>
      <c r="C50" s="84" t="e">
        <f>C49+(VLOOKUP(J19,'DATOS %'!J174:W180,9,FALSE))*C49+(VLOOKUP(J19,'DATOS %'!J174:W180,10,FALSE))</f>
        <v>#DIV/0!</v>
      </c>
      <c r="D50" s="85" t="e">
        <f>D49+(VLOOKUP(J19,'DATOS %'!J174:W180,11,FALSE))*D49+(VLOOKUP(J19,'DATOS %'!J174:W180,12,FALSE))</f>
        <v>#DIV/0!</v>
      </c>
      <c r="E50" s="86" t="e">
        <f>E49+(VLOOKUP(J19,'DATOS %'!J174:W180,13,FALSE))*E49+(VLOOKUP(J19,'DATOS %'!J174:W180,14,FALSE))</f>
        <v>#DIV/0!</v>
      </c>
      <c r="G50" s="1341" t="s">
        <v>72</v>
      </c>
      <c r="H50" s="1342"/>
      <c r="I50" s="67">
        <v>1.2</v>
      </c>
      <c r="J50" s="66" t="s">
        <v>73</v>
      </c>
    </row>
    <row r="51" spans="1:21" s="46" customFormat="1" ht="15" customHeight="1" thickBot="1" x14ac:dyDescent="0.25">
      <c r="A51" s="47"/>
      <c r="B51" s="47"/>
      <c r="C51" s="47"/>
      <c r="D51" s="47"/>
      <c r="E51" s="47"/>
      <c r="F51" s="47"/>
      <c r="G51" s="47"/>
      <c r="H51" s="47"/>
      <c r="I51" s="47"/>
      <c r="J51" s="47"/>
      <c r="K51" s="48"/>
    </row>
    <row r="52" spans="1:21" s="48" customFormat="1" ht="31.5" customHeight="1" thickBot="1" x14ac:dyDescent="0.25">
      <c r="A52" s="1331" t="s">
        <v>40</v>
      </c>
      <c r="B52" s="1332"/>
      <c r="C52" s="1332"/>
      <c r="D52" s="1332"/>
      <c r="E52" s="1332"/>
      <c r="F52" s="1332"/>
      <c r="G52" s="1332"/>
      <c r="H52" s="1332"/>
      <c r="I52" s="1332"/>
      <c r="J52" s="1333"/>
    </row>
    <row r="53" spans="1:21" s="48" customFormat="1" ht="31.5" customHeight="1" x14ac:dyDescent="0.35">
      <c r="A53" s="47"/>
      <c r="B53" s="68" t="s">
        <v>41</v>
      </c>
      <c r="C53" s="69"/>
      <c r="D53" s="1345" t="s">
        <v>74</v>
      </c>
      <c r="E53" s="1345"/>
      <c r="F53" s="70" t="s">
        <v>42</v>
      </c>
      <c r="G53" s="71" t="s">
        <v>43</v>
      </c>
      <c r="H53" s="1346" t="s">
        <v>44</v>
      </c>
      <c r="I53" s="1347"/>
      <c r="J53" s="47"/>
    </row>
    <row r="54" spans="1:21" s="48" customFormat="1" ht="31.5" customHeight="1" thickBot="1" x14ac:dyDescent="0.25">
      <c r="A54" s="47"/>
      <c r="B54" s="72" t="e">
        <f>+C43</f>
        <v>#DIV/0!</v>
      </c>
      <c r="C54" s="73" t="s">
        <v>1</v>
      </c>
      <c r="D54" s="261" t="e">
        <f>+C10+C11/1000</f>
        <v>#N/A</v>
      </c>
      <c r="E54" s="73" t="s">
        <v>1</v>
      </c>
      <c r="F54" s="74" t="e">
        <f>+(I48-I50)*(1/H10-1/C13)</f>
        <v>#DIV/0!</v>
      </c>
      <c r="G54" s="75"/>
      <c r="H54" s="67" t="e">
        <f>+(B54+D54*F54)*1000</f>
        <v>#DIV/0!</v>
      </c>
      <c r="I54" s="66" t="s">
        <v>3</v>
      </c>
      <c r="J54" s="47"/>
      <c r="K54" s="46"/>
    </row>
    <row r="55" spans="1:21" s="46" customFormat="1" ht="15" customHeight="1" x14ac:dyDescent="0.2">
      <c r="A55" s="47"/>
      <c r="B55" s="47"/>
      <c r="C55" s="47"/>
      <c r="D55" s="47"/>
      <c r="E55" s="47"/>
      <c r="F55" s="47"/>
      <c r="G55" s="47"/>
      <c r="H55" s="47"/>
      <c r="I55" s="47"/>
      <c r="J55" s="47"/>
      <c r="K55" s="48"/>
    </row>
    <row r="56" spans="1:21" s="48" customFormat="1" ht="31.5" customHeight="1" x14ac:dyDescent="0.2">
      <c r="A56" s="1348" t="s">
        <v>45</v>
      </c>
      <c r="B56" s="1349"/>
      <c r="C56" s="1349"/>
      <c r="D56" s="1349"/>
      <c r="E56" s="1349"/>
      <c r="F56" s="1349"/>
      <c r="G56" s="1349"/>
      <c r="H56" s="1349"/>
      <c r="I56" s="1349"/>
      <c r="J56" s="1349"/>
      <c r="K56" s="46"/>
    </row>
    <row r="57" spans="1:21" s="46" customFormat="1" ht="15" customHeight="1" thickBot="1" x14ac:dyDescent="0.25">
      <c r="A57" s="47"/>
      <c r="B57" s="47"/>
      <c r="C57" s="47"/>
      <c r="D57" s="47"/>
      <c r="E57" s="47"/>
      <c r="K57" s="48"/>
    </row>
    <row r="58" spans="1:21" s="48" customFormat="1" ht="31.5" customHeight="1" thickBot="1" x14ac:dyDescent="0.25">
      <c r="A58" s="1350" t="s">
        <v>38</v>
      </c>
      <c r="B58" s="1351"/>
      <c r="C58" s="1352" t="s">
        <v>46</v>
      </c>
      <c r="D58" s="1353"/>
      <c r="E58" s="1354" t="s">
        <v>238</v>
      </c>
      <c r="F58" s="1379"/>
      <c r="G58" s="1061" t="s">
        <v>553</v>
      </c>
      <c r="J58" s="114"/>
      <c r="L58" s="46"/>
      <c r="Q58" s="47"/>
      <c r="R58" s="47"/>
      <c r="S58" s="47"/>
      <c r="T58" s="47"/>
      <c r="U58" s="47"/>
    </row>
    <row r="59" spans="1:21" s="48" customFormat="1" ht="57.95" customHeight="1" thickBot="1" x14ac:dyDescent="0.25">
      <c r="A59" s="1024" t="s">
        <v>47</v>
      </c>
      <c r="B59" s="1025"/>
      <c r="C59" s="1026" t="e">
        <f>+C44/B26^0.5*1000</f>
        <v>#DIV/0!</v>
      </c>
      <c r="D59" s="1017" t="s">
        <v>3</v>
      </c>
      <c r="E59" s="1027" t="s">
        <v>240</v>
      </c>
      <c r="F59" s="139">
        <f>$B$26-1</f>
        <v>3</v>
      </c>
      <c r="G59" s="1111" t="e">
        <f>(C59/$G$70)^2</f>
        <v>#DIV/0!</v>
      </c>
      <c r="H59" s="47"/>
      <c r="K59" s="156">
        <v>0.3</v>
      </c>
      <c r="L59" s="157">
        <v>1.65</v>
      </c>
      <c r="M59" s="113"/>
    </row>
    <row r="60" spans="1:21" s="48" customFormat="1" ht="57.95" customHeight="1" thickBot="1" x14ac:dyDescent="0.25">
      <c r="A60" s="1019" t="s">
        <v>343</v>
      </c>
      <c r="B60" s="1020" t="s">
        <v>48</v>
      </c>
      <c r="C60" s="1021" t="e">
        <f>+C12/2</f>
        <v>#N/A</v>
      </c>
      <c r="D60" s="1022" t="s">
        <v>3</v>
      </c>
      <c r="E60" s="1023" t="s">
        <v>239</v>
      </c>
      <c r="F60" s="146" t="s">
        <v>265</v>
      </c>
      <c r="G60" s="1112"/>
      <c r="H60" s="1380" t="s">
        <v>241</v>
      </c>
      <c r="I60" s="1356"/>
      <c r="J60" s="1356"/>
      <c r="K60" s="1356"/>
      <c r="L60" s="1356"/>
      <c r="M60" s="1357"/>
    </row>
    <row r="61" spans="1:21" s="48" customFormat="1" ht="57.95" customHeight="1" thickBot="1" x14ac:dyDescent="0.25">
      <c r="A61" s="1028" t="s">
        <v>344</v>
      </c>
      <c r="B61" s="1029"/>
      <c r="C61" s="1030" t="e">
        <f>+C12/3^0.5</f>
        <v>#N/A</v>
      </c>
      <c r="D61" s="1031" t="s">
        <v>3</v>
      </c>
      <c r="E61" s="1032" t="s">
        <v>239</v>
      </c>
      <c r="F61" s="147" t="s">
        <v>265</v>
      </c>
      <c r="G61" s="1112"/>
      <c r="H61" s="132" t="s">
        <v>243</v>
      </c>
      <c r="I61" s="149" t="e">
        <f>MAX(C59:C62,C66:C67,C68)</f>
        <v>#DIV/0!</v>
      </c>
      <c r="J61" s="151" t="e">
        <f>IF((I62)&lt;=(K59),"1,65","2")</f>
        <v>#DIV/0!</v>
      </c>
      <c r="K61" s="152" t="s">
        <v>242</v>
      </c>
      <c r="L61" s="153" t="s">
        <v>237</v>
      </c>
      <c r="M61" s="360" t="s">
        <v>328</v>
      </c>
    </row>
    <row r="62" spans="1:21" s="48" customFormat="1" ht="57.95" customHeight="1" thickBot="1" x14ac:dyDescent="0.3">
      <c r="A62" s="1024" t="s">
        <v>49</v>
      </c>
      <c r="B62" s="1035"/>
      <c r="C62" s="1036" t="e">
        <f>+SQRT(SUMSQ(C60:C61))</f>
        <v>#N/A</v>
      </c>
      <c r="D62" s="1017" t="s">
        <v>3</v>
      </c>
      <c r="E62" s="1037" t="s">
        <v>240</v>
      </c>
      <c r="F62" s="139">
        <v>200</v>
      </c>
      <c r="G62" s="1112" t="e">
        <f t="shared" ref="G62:G68" si="0">(C62/$G$70)^2</f>
        <v>#N/A</v>
      </c>
      <c r="H62" s="133" t="s">
        <v>244</v>
      </c>
      <c r="I62" s="150" t="e">
        <f>SQRT((C59)^2+(C66)^2+(C67)^2)/I61</f>
        <v>#DIV/0!</v>
      </c>
      <c r="J62" s="126"/>
      <c r="K62" s="154" t="s">
        <v>242</v>
      </c>
      <c r="L62" s="155" t="s">
        <v>252</v>
      </c>
      <c r="M62" s="361" t="s">
        <v>329</v>
      </c>
    </row>
    <row r="63" spans="1:21" s="48" customFormat="1" ht="57.95" customHeight="1" x14ac:dyDescent="0.2">
      <c r="A63" s="1019" t="s">
        <v>345</v>
      </c>
      <c r="B63" s="1020"/>
      <c r="C63" s="1033" t="e">
        <f>+I49</f>
        <v>#DIV/0!</v>
      </c>
      <c r="D63" s="1021" t="s">
        <v>73</v>
      </c>
      <c r="E63" s="1034" t="s">
        <v>239</v>
      </c>
      <c r="F63" s="146" t="s">
        <v>265</v>
      </c>
      <c r="G63" s="1112"/>
      <c r="L63" s="46"/>
      <c r="T63" s="46"/>
      <c r="U63" s="46"/>
    </row>
    <row r="64" spans="1:21" s="48" customFormat="1" ht="57.95" customHeight="1" x14ac:dyDescent="0.2">
      <c r="A64" s="426" t="s">
        <v>50</v>
      </c>
      <c r="B64" s="1018"/>
      <c r="C64" s="425" t="e">
        <f>+H11/2</f>
        <v>#N/A</v>
      </c>
      <c r="D64" s="424" t="s">
        <v>73</v>
      </c>
      <c r="E64" s="423" t="s">
        <v>239</v>
      </c>
      <c r="F64" s="148" t="s">
        <v>265</v>
      </c>
      <c r="G64" s="1112"/>
      <c r="H64" s="130"/>
      <c r="J64" s="130"/>
      <c r="K64" s="130"/>
      <c r="L64" s="130"/>
      <c r="M64" s="130"/>
      <c r="Q64" s="47"/>
      <c r="R64" s="47"/>
      <c r="S64" s="47"/>
      <c r="T64" s="47"/>
      <c r="U64" s="47"/>
    </row>
    <row r="65" spans="1:21" s="48" customFormat="1" ht="57.95" customHeight="1" thickBot="1" x14ac:dyDescent="0.25">
      <c r="A65" s="1028" t="s">
        <v>346</v>
      </c>
      <c r="B65" s="1038"/>
      <c r="C65" s="1039" t="e">
        <f>+C14/2</f>
        <v>#N/A</v>
      </c>
      <c r="D65" s="1031" t="s">
        <v>73</v>
      </c>
      <c r="E65" s="1040" t="s">
        <v>239</v>
      </c>
      <c r="F65" s="147" t="s">
        <v>265</v>
      </c>
      <c r="G65" s="1112"/>
      <c r="H65" s="130"/>
      <c r="I65" s="130"/>
      <c r="J65" s="130"/>
      <c r="K65" s="130"/>
      <c r="L65" s="130"/>
      <c r="M65" s="130"/>
      <c r="Q65" s="46"/>
      <c r="R65" s="46"/>
      <c r="S65" s="46"/>
      <c r="T65" s="46"/>
      <c r="U65" s="46"/>
    </row>
    <row r="66" spans="1:21" s="48" customFormat="1" ht="57.95" customHeight="1" thickBot="1" x14ac:dyDescent="0.3">
      <c r="A66" s="1024" t="s">
        <v>347</v>
      </c>
      <c r="B66" s="1035"/>
      <c r="C66" s="1036" t="e">
        <f>+SQRT(ABS(((C10/1000+C11/1000000)*(C13-H10)/(C13*H10)*C63)^2+((C10/1000+C11/1000000)*(I48-I50))^2*C64^2/H10^4+(C10/1000+C11/1000000)^2*(I48-I50)*((I48-I50)-2*(C15-I50))*C65^2/C13^4))*1000000</f>
        <v>#N/A</v>
      </c>
      <c r="D66" s="1051" t="s">
        <v>3</v>
      </c>
      <c r="E66" s="1037" t="s">
        <v>240</v>
      </c>
      <c r="F66" s="139">
        <v>200</v>
      </c>
      <c r="G66" s="1112" t="e">
        <f t="shared" si="0"/>
        <v>#N/A</v>
      </c>
      <c r="H66" s="130"/>
      <c r="I66" s="1093" t="s">
        <v>554</v>
      </c>
      <c r="J66" s="1095" t="s">
        <v>556</v>
      </c>
      <c r="K66" s="1094" t="s">
        <v>555</v>
      </c>
      <c r="L66" s="130"/>
      <c r="M66" s="130"/>
      <c r="Q66" s="47"/>
      <c r="R66" s="47"/>
      <c r="S66" s="47"/>
      <c r="T66" s="47"/>
      <c r="U66" s="47"/>
    </row>
    <row r="67" spans="1:21" s="48" customFormat="1" ht="57.95" customHeight="1" thickBot="1" x14ac:dyDescent="0.3">
      <c r="A67" s="1047" t="s">
        <v>52</v>
      </c>
      <c r="B67" s="1048"/>
      <c r="C67" s="1049" t="e">
        <f>+(G15/2/3^0.5)*2^0.5*1000</f>
        <v>#N/A</v>
      </c>
      <c r="D67" s="1044" t="s">
        <v>3</v>
      </c>
      <c r="E67" s="1045" t="s">
        <v>239</v>
      </c>
      <c r="F67" s="1050">
        <v>200</v>
      </c>
      <c r="G67" s="1112" t="e">
        <f t="shared" si="0"/>
        <v>#N/A</v>
      </c>
      <c r="H67" s="130"/>
      <c r="I67" s="1096" t="e">
        <f>G70^4/((C59^4/F59)+(C62^4/F62)+(C66^4/F66)+(C67^4/F67)+(C68^4/F68))</f>
        <v>#DIV/0!</v>
      </c>
      <c r="J67" s="1097" t="e">
        <f>TINV(0.05,I67)</f>
        <v>#DIV/0!</v>
      </c>
      <c r="K67" s="1098" t="e">
        <f>1-TDIST(J67,I67,2)</f>
        <v>#DIV/0!</v>
      </c>
      <c r="L67" s="130"/>
      <c r="M67" s="130"/>
    </row>
    <row r="68" spans="1:21" s="46" customFormat="1" ht="65.25" customHeight="1" thickBot="1" x14ac:dyDescent="0.3">
      <c r="A68" s="1041" t="s">
        <v>551</v>
      </c>
      <c r="B68" s="1042"/>
      <c r="C68" s="1043">
        <f>0.37/SQRT(45)</f>
        <v>5.5156343444994808E-2</v>
      </c>
      <c r="D68" s="1044" t="s">
        <v>3</v>
      </c>
      <c r="E68" s="1045" t="s">
        <v>240</v>
      </c>
      <c r="F68" s="1046">
        <v>50</v>
      </c>
      <c r="G68" s="1113" t="e">
        <f t="shared" si="0"/>
        <v>#DIV/0!</v>
      </c>
      <c r="H68" s="130"/>
      <c r="I68" s="130"/>
      <c r="J68" s="130"/>
      <c r="K68" s="130"/>
      <c r="L68" s="130"/>
      <c r="M68" s="130"/>
      <c r="S68" s="48"/>
      <c r="T68" s="48"/>
      <c r="U68" s="48"/>
    </row>
    <row r="69" spans="1:21" s="46" customFormat="1" ht="65.25" customHeight="1" thickBot="1" x14ac:dyDescent="0.25">
      <c r="A69" s="130"/>
      <c r="B69" s="130"/>
      <c r="C69" s="130"/>
      <c r="D69" s="130"/>
      <c r="E69" s="130"/>
      <c r="F69" s="130"/>
      <c r="G69" s="1114" t="e">
        <f>SUM(G59,G62,G66,G67,G68)</f>
        <v>#DIV/0!</v>
      </c>
      <c r="H69" s="130"/>
      <c r="I69" s="130"/>
      <c r="J69" s="130"/>
      <c r="K69" s="130"/>
      <c r="L69" s="130"/>
      <c r="M69" s="130"/>
      <c r="S69" s="48"/>
      <c r="T69" s="48"/>
      <c r="U69" s="48"/>
    </row>
    <row r="70" spans="1:21" s="106" customFormat="1" ht="51.75" customHeight="1" thickBot="1" x14ac:dyDescent="0.3">
      <c r="D70" s="1306" t="s">
        <v>51</v>
      </c>
      <c r="E70" s="1307"/>
      <c r="F70" s="134"/>
      <c r="G70" s="140" t="e">
        <f>SQRT(SUMSQ(C59,C62,C66,C67,C68))</f>
        <v>#DIV/0!</v>
      </c>
      <c r="H70" s="136" t="s">
        <v>3</v>
      </c>
      <c r="K70" s="130"/>
      <c r="L70" s="130"/>
      <c r="M70" s="130"/>
      <c r="S70" s="48"/>
      <c r="T70" s="48"/>
      <c r="U70" s="48"/>
    </row>
    <row r="71" spans="1:21" s="106" customFormat="1" ht="35.1" customHeight="1" thickBot="1" x14ac:dyDescent="0.25">
      <c r="D71" s="1306" t="s">
        <v>53</v>
      </c>
      <c r="E71" s="1307"/>
      <c r="F71" s="135"/>
      <c r="G71" s="140" t="e">
        <f>+G70*2</f>
        <v>#DIV/0!</v>
      </c>
      <c r="H71" s="137" t="s">
        <v>3</v>
      </c>
      <c r="K71" s="110"/>
      <c r="L71" s="107"/>
      <c r="O71" s="48"/>
      <c r="P71" s="48"/>
      <c r="Q71" s="48"/>
      <c r="R71" s="48"/>
      <c r="S71" s="48"/>
      <c r="T71" s="48"/>
      <c r="U71" s="48"/>
    </row>
    <row r="72" spans="1:21" s="106" customFormat="1" ht="33.75" customHeight="1" thickBot="1" x14ac:dyDescent="4.45">
      <c r="B72" s="1313" t="s">
        <v>54</v>
      </c>
      <c r="C72" s="1314"/>
      <c r="D72" s="1314"/>
      <c r="E72" s="1314"/>
      <c r="F72" s="1314"/>
      <c r="G72" s="1314"/>
      <c r="H72" s="1314"/>
      <c r="I72" s="1314"/>
      <c r="J72" s="1314"/>
      <c r="K72" s="1315"/>
      <c r="L72" s="117"/>
      <c r="O72" s="48"/>
      <c r="P72" s="48"/>
      <c r="Q72" s="48"/>
      <c r="R72" s="48"/>
      <c r="S72" s="48"/>
      <c r="T72" s="48"/>
      <c r="U72" s="48"/>
    </row>
    <row r="73" spans="1:21" s="106" customFormat="1" ht="35.1" customHeight="1" thickBot="1" x14ac:dyDescent="0.25">
      <c r="B73" s="1368" t="s">
        <v>255</v>
      </c>
      <c r="C73" s="1369"/>
      <c r="D73" s="1369"/>
      <c r="E73" s="1370"/>
      <c r="F73" s="79"/>
      <c r="G73" s="80"/>
      <c r="H73" s="1371"/>
      <c r="I73" s="1372"/>
      <c r="J73" s="1372"/>
      <c r="K73" s="1373"/>
      <c r="O73" s="48"/>
      <c r="P73" s="48"/>
      <c r="Q73" s="48"/>
      <c r="R73" s="48"/>
      <c r="S73" s="48"/>
      <c r="T73" s="48"/>
      <c r="U73" s="48"/>
    </row>
    <row r="74" spans="1:21" s="106" customFormat="1" ht="40.5" customHeight="1" x14ac:dyDescent="0.2">
      <c r="B74" s="118"/>
      <c r="C74" s="362" t="s">
        <v>348</v>
      </c>
      <c r="D74" s="119" t="s">
        <v>253</v>
      </c>
      <c r="E74" s="120"/>
      <c r="F74" s="1358"/>
      <c r="G74" s="1358"/>
      <c r="H74" s="1359" t="s">
        <v>266</v>
      </c>
      <c r="I74" s="1381" t="s">
        <v>254</v>
      </c>
      <c r="J74" s="1381"/>
      <c r="K74" s="1382"/>
      <c r="O74" s="48"/>
      <c r="P74" s="48"/>
      <c r="Q74" s="48"/>
      <c r="R74" s="48"/>
      <c r="S74" s="48"/>
      <c r="T74" s="48"/>
      <c r="U74" s="48"/>
    </row>
    <row r="75" spans="1:21" s="106" customFormat="1" ht="35.1" customHeight="1" x14ac:dyDescent="0.2">
      <c r="B75" s="81" t="e">
        <f>C10</f>
        <v>#N/A</v>
      </c>
      <c r="C75" s="77" t="e">
        <f>C11</f>
        <v>#N/A</v>
      </c>
      <c r="D75" s="78" t="e">
        <f>H54</f>
        <v>#DIV/0!</v>
      </c>
      <c r="E75" s="216" t="e">
        <f>B75+(C75/1000)+(D75/1000)</f>
        <v>#N/A</v>
      </c>
      <c r="F75" s="296" t="e">
        <f>E75*1000-B75*1000</f>
        <v>#N/A</v>
      </c>
      <c r="G75" s="61"/>
      <c r="H75" s="1360"/>
      <c r="I75" s="282" t="e">
        <f>G71</f>
        <v>#DIV/0!</v>
      </c>
      <c r="J75" s="1364"/>
      <c r="K75" s="1365"/>
      <c r="O75" s="48"/>
      <c r="P75" s="48"/>
      <c r="Q75" s="48"/>
      <c r="R75" s="48"/>
      <c r="S75" s="48"/>
      <c r="T75" s="48"/>
      <c r="U75" s="48"/>
    </row>
    <row r="76" spans="1:21" s="106" customFormat="1" ht="35.1" customHeight="1" thickBot="1" x14ac:dyDescent="0.25">
      <c r="B76" s="87" t="e">
        <f>B75</f>
        <v>#N/A</v>
      </c>
      <c r="C76" s="88" t="e">
        <f>C75</f>
        <v>#N/A</v>
      </c>
      <c r="D76" s="88" t="e">
        <f>D75</f>
        <v>#DIV/0!</v>
      </c>
      <c r="E76" s="217" t="e">
        <f>B76+(C76/1000)+(D76/1000)</f>
        <v>#N/A</v>
      </c>
      <c r="F76" s="262" t="e">
        <f>F75/1000</f>
        <v>#N/A</v>
      </c>
      <c r="G76" s="89"/>
      <c r="H76" s="1361"/>
      <c r="I76" s="289" t="e">
        <f>I75/1000</f>
        <v>#DIV/0!</v>
      </c>
      <c r="J76" s="1366"/>
      <c r="K76" s="1367"/>
      <c r="O76" s="48"/>
      <c r="P76" s="48"/>
      <c r="Q76" s="48"/>
      <c r="R76" s="48"/>
      <c r="S76" s="48"/>
      <c r="T76" s="48"/>
      <c r="U76" s="48"/>
    </row>
    <row r="77" spans="1:21" s="106" customFormat="1" ht="35.1" customHeight="1" x14ac:dyDescent="0.2">
      <c r="G77" s="47"/>
      <c r="H77" s="47"/>
      <c r="I77" s="47"/>
      <c r="J77" s="47"/>
      <c r="O77" s="48"/>
      <c r="P77" s="48"/>
      <c r="Q77" s="48"/>
      <c r="R77" s="48"/>
      <c r="S77" s="48"/>
      <c r="T77" s="48"/>
      <c r="U77" s="48"/>
    </row>
    <row r="78" spans="1:21" s="106" customFormat="1" ht="35.1" customHeight="1" x14ac:dyDescent="0.2">
      <c r="G78" s="47"/>
      <c r="H78" s="47"/>
      <c r="I78" s="47"/>
      <c r="J78" s="47"/>
      <c r="O78" s="48"/>
      <c r="P78" s="48"/>
      <c r="Q78" s="48"/>
      <c r="R78" s="48"/>
      <c r="S78" s="48"/>
      <c r="T78" s="48"/>
      <c r="U78" s="48"/>
    </row>
    <row r="79" spans="1:21" s="106" customFormat="1" ht="35.1" customHeight="1" x14ac:dyDescent="0.2">
      <c r="G79" s="47"/>
      <c r="H79" s="47"/>
      <c r="I79" s="47"/>
      <c r="J79" s="47"/>
    </row>
    <row r="80" spans="1:21" s="107" customFormat="1" ht="35.1" customHeight="1" x14ac:dyDescent="0.2">
      <c r="A80" s="109"/>
      <c r="B80" s="106"/>
      <c r="C80" s="106"/>
      <c r="D80" s="106"/>
      <c r="E80" s="106"/>
      <c r="F80" s="106"/>
      <c r="G80" s="47"/>
      <c r="H80" s="47"/>
    </row>
    <row r="81" spans="2:11" s="111" customFormat="1" ht="35.1" customHeight="1" x14ac:dyDescent="0.2">
      <c r="B81" s="106"/>
      <c r="C81" s="106"/>
      <c r="D81" s="106"/>
      <c r="E81" s="106"/>
      <c r="F81" s="106"/>
      <c r="G81" s="47"/>
      <c r="H81" s="47"/>
    </row>
    <row r="82" spans="2:11" s="106" customFormat="1" ht="61.5" customHeight="1" x14ac:dyDescent="0.2">
      <c r="H82" s="111"/>
      <c r="I82" s="111"/>
      <c r="J82" s="111"/>
      <c r="K82" s="108"/>
    </row>
    <row r="83" spans="2:11" s="106" customFormat="1" ht="35.1" customHeight="1" x14ac:dyDescent="0.2">
      <c r="G83" s="111"/>
      <c r="H83" s="111"/>
      <c r="I83" s="111"/>
      <c r="J83" s="111"/>
      <c r="K83" s="108"/>
    </row>
    <row r="84" spans="2:11" s="106" customFormat="1" ht="35.1" customHeight="1" x14ac:dyDescent="0.2">
      <c r="G84" s="111"/>
      <c r="H84" s="111"/>
      <c r="I84" s="111"/>
      <c r="J84" s="111"/>
      <c r="K84" s="108"/>
    </row>
    <row r="85" spans="2:11" s="106" customFormat="1" ht="35.1" customHeight="1" x14ac:dyDescent="0.2">
      <c r="F85" s="107"/>
      <c r="K85" s="108"/>
    </row>
    <row r="86" spans="2:11" s="106" customFormat="1" ht="50.1" customHeight="1" x14ac:dyDescent="0.2"/>
    <row r="87" spans="2:11" s="106" customFormat="1" ht="57.75" customHeight="1" x14ac:dyDescent="0.2">
      <c r="C87" s="112"/>
      <c r="D87" s="112"/>
      <c r="E87" s="112"/>
    </row>
    <row r="88" spans="2:11" s="106" customFormat="1" ht="35.1" customHeight="1" x14ac:dyDescent="0.2"/>
    <row r="89" spans="2:11" s="106" customFormat="1" ht="35.1" customHeight="1" x14ac:dyDescent="0.2">
      <c r="F89" s="108"/>
      <c r="G89" s="108"/>
      <c r="H89" s="108"/>
      <c r="I89" s="108"/>
      <c r="J89" s="108"/>
    </row>
    <row r="90" spans="2:11" s="106" customFormat="1" ht="35.1" customHeight="1" x14ac:dyDescent="0.2"/>
    <row r="91" spans="2:11" s="106" customFormat="1" ht="50.1" customHeight="1" x14ac:dyDescent="0.2">
      <c r="J91" s="47"/>
    </row>
    <row r="92" spans="2:11" s="106" customFormat="1" ht="55.5" customHeight="1" x14ac:dyDescent="0.2">
      <c r="J92" s="111"/>
    </row>
    <row r="93" spans="2:11" s="106" customFormat="1" ht="50.1" customHeight="1" x14ac:dyDescent="0.2">
      <c r="J93" s="111"/>
    </row>
    <row r="94" spans="2:11" s="107" customFormat="1" ht="31.5" customHeight="1" x14ac:dyDescent="0.2">
      <c r="J94" s="111"/>
    </row>
    <row r="95" spans="2:11" s="106" customFormat="1" ht="35.1" customHeight="1" x14ac:dyDescent="0.2">
      <c r="G95" s="111"/>
      <c r="H95" s="111"/>
      <c r="I95" s="111"/>
      <c r="J95" s="111"/>
    </row>
    <row r="96" spans="2:11" s="106" customFormat="1" ht="35.1" customHeight="1" x14ac:dyDescent="0.2">
      <c r="G96" s="111"/>
      <c r="H96" s="111"/>
      <c r="I96" s="111"/>
      <c r="J96" s="111"/>
    </row>
    <row r="97" spans="1:12" s="106" customFormat="1" ht="9.9499999999999993" customHeight="1" x14ac:dyDescent="0.2">
      <c r="G97" s="108"/>
      <c r="H97" s="108"/>
      <c r="I97" s="108"/>
      <c r="J97" s="108"/>
    </row>
    <row r="98" spans="1:12" s="106" customFormat="1" ht="35.1" customHeight="1" x14ac:dyDescent="0.2">
      <c r="J98" s="108"/>
      <c r="K98" s="108"/>
      <c r="L98" s="108"/>
    </row>
    <row r="99" spans="1:12" s="46" customFormat="1" ht="15" customHeight="1" x14ac:dyDescent="0.2">
      <c r="A99" s="47"/>
      <c r="G99" s="47"/>
      <c r="H99" s="47"/>
      <c r="I99" s="47"/>
      <c r="J99" s="47"/>
      <c r="K99" s="48"/>
    </row>
    <row r="100" spans="1:12" s="48" customFormat="1" ht="31.5" customHeight="1" x14ac:dyDescent="0.2">
      <c r="A100" s="47"/>
      <c r="B100" s="47"/>
      <c r="C100" s="47"/>
      <c r="D100" s="47"/>
      <c r="E100" s="47"/>
      <c r="F100" s="47"/>
      <c r="G100" s="47"/>
      <c r="H100" s="47"/>
      <c r="I100" s="47"/>
      <c r="J100" s="47"/>
    </row>
    <row r="101" spans="1:12" s="48" customFormat="1" ht="31.5" customHeight="1" x14ac:dyDescent="0.2"/>
    <row r="102" spans="1:12" s="48" customFormat="1" ht="31.5" customHeight="1" x14ac:dyDescent="0.2"/>
    <row r="103" spans="1:12" s="48" customFormat="1" ht="52.5" customHeight="1" x14ac:dyDescent="0.2"/>
    <row r="104" spans="1:12" s="48" customFormat="1" ht="31.5" customHeight="1" x14ac:dyDescent="0.2">
      <c r="K104" s="8"/>
    </row>
    <row r="105" spans="1:12" s="48" customFormat="1" ht="31.5" customHeight="1" x14ac:dyDescent="0.2">
      <c r="K105" s="8"/>
    </row>
    <row r="106" spans="1:12" ht="31.5" customHeight="1" x14ac:dyDescent="0.2">
      <c r="G106" s="76"/>
    </row>
    <row r="107" spans="1:12" ht="51" customHeight="1" x14ac:dyDescent="0.2"/>
    <row r="109" spans="1:12" ht="31.5" customHeight="1" x14ac:dyDescent="0.2">
      <c r="B109" s="29"/>
      <c r="C109" s="29"/>
      <c r="D109" s="29"/>
      <c r="E109" s="29"/>
      <c r="F109" s="29"/>
      <c r="G109" s="29"/>
      <c r="H109" s="29"/>
      <c r="I109" s="29"/>
      <c r="J109" s="29"/>
    </row>
    <row r="110" spans="1:12" ht="31.5" customHeight="1" x14ac:dyDescent="0.2">
      <c r="B110" s="29"/>
      <c r="C110" s="29"/>
      <c r="D110" s="29"/>
      <c r="E110" s="29"/>
      <c r="F110" s="29"/>
      <c r="G110" s="29"/>
      <c r="H110" s="29"/>
      <c r="I110" s="29"/>
      <c r="J110" s="29"/>
    </row>
    <row r="111" spans="1:12" ht="31.5" customHeight="1" x14ac:dyDescent="0.2">
      <c r="B111" s="29"/>
      <c r="C111" s="29"/>
      <c r="D111" s="29"/>
      <c r="E111" s="29"/>
      <c r="F111" s="29"/>
      <c r="G111" s="29"/>
      <c r="H111" s="29"/>
      <c r="I111" s="29"/>
      <c r="J111" s="29"/>
    </row>
    <row r="112" spans="1:12" ht="31.5" customHeight="1" x14ac:dyDescent="0.2">
      <c r="B112" s="29"/>
      <c r="C112" s="29"/>
      <c r="D112" s="29"/>
      <c r="E112" s="29"/>
      <c r="F112" s="29"/>
      <c r="G112" s="29"/>
      <c r="H112" s="29"/>
      <c r="I112" s="29"/>
      <c r="J112" s="29"/>
    </row>
    <row r="113" spans="2:10" ht="31.5" customHeight="1" x14ac:dyDescent="0.2">
      <c r="B113" s="29"/>
      <c r="C113" s="29"/>
      <c r="D113" s="29"/>
      <c r="E113" s="29"/>
      <c r="F113" s="29"/>
      <c r="G113" s="29"/>
      <c r="H113" s="29"/>
      <c r="I113" s="29"/>
      <c r="J113" s="29"/>
    </row>
    <row r="114" spans="2:10" ht="31.5" customHeight="1" x14ac:dyDescent="0.2">
      <c r="B114" s="29"/>
      <c r="C114" s="29"/>
      <c r="D114" s="29"/>
      <c r="E114" s="29"/>
      <c r="F114" s="29"/>
      <c r="G114" s="29"/>
      <c r="H114" s="29"/>
      <c r="I114" s="29"/>
      <c r="J114" s="29"/>
    </row>
    <row r="115" spans="2:10" ht="31.5" customHeight="1" x14ac:dyDescent="0.2">
      <c r="B115" s="29"/>
      <c r="C115" s="29"/>
      <c r="D115" s="29"/>
      <c r="E115" s="29"/>
      <c r="F115" s="29"/>
      <c r="G115" s="29"/>
      <c r="H115" s="29"/>
      <c r="I115" s="29"/>
      <c r="J115" s="29"/>
    </row>
  </sheetData>
  <sheetProtection password="CF5C" sheet="1" objects="1" scenarios="1"/>
  <mergeCells count="62">
    <mergeCell ref="A13:B13"/>
    <mergeCell ref="F13:I13"/>
    <mergeCell ref="A1:B1"/>
    <mergeCell ref="C1:M1"/>
    <mergeCell ref="I3:J4"/>
    <mergeCell ref="A6:D6"/>
    <mergeCell ref="F6:I6"/>
    <mergeCell ref="F9:G9"/>
    <mergeCell ref="A10:B10"/>
    <mergeCell ref="F10:G10"/>
    <mergeCell ref="A11:B11"/>
    <mergeCell ref="F11:G11"/>
    <mergeCell ref="A12:B12"/>
    <mergeCell ref="A27:B27"/>
    <mergeCell ref="G27:H27"/>
    <mergeCell ref="A14:B14"/>
    <mergeCell ref="A15:B15"/>
    <mergeCell ref="A16:B16"/>
    <mergeCell ref="C16:D16"/>
    <mergeCell ref="A18:J18"/>
    <mergeCell ref="F19:G19"/>
    <mergeCell ref="J19:J20"/>
    <mergeCell ref="A20:B20"/>
    <mergeCell ref="E20:F20"/>
    <mergeCell ref="A22:J22"/>
    <mergeCell ref="C24:D24"/>
    <mergeCell ref="F24:G24"/>
    <mergeCell ref="C26:F26"/>
    <mergeCell ref="G26:H26"/>
    <mergeCell ref="A49:B49"/>
    <mergeCell ref="G49:H49"/>
    <mergeCell ref="A28:A31"/>
    <mergeCell ref="C33:D33"/>
    <mergeCell ref="F33:G33"/>
    <mergeCell ref="A36:J36"/>
    <mergeCell ref="B38:F38"/>
    <mergeCell ref="H38:J38"/>
    <mergeCell ref="H39:J42"/>
    <mergeCell ref="A46:J46"/>
    <mergeCell ref="A47:B48"/>
    <mergeCell ref="C47:E47"/>
    <mergeCell ref="G48:H48"/>
    <mergeCell ref="A56:J56"/>
    <mergeCell ref="A58:B58"/>
    <mergeCell ref="C58:D58"/>
    <mergeCell ref="E58:F58"/>
    <mergeCell ref="H60:M60"/>
    <mergeCell ref="A50:B50"/>
    <mergeCell ref="G50:H50"/>
    <mergeCell ref="A52:J52"/>
    <mergeCell ref="D53:E53"/>
    <mergeCell ref="H53:I53"/>
    <mergeCell ref="F74:G74"/>
    <mergeCell ref="H74:H76"/>
    <mergeCell ref="I74:K74"/>
    <mergeCell ref="J75:K75"/>
    <mergeCell ref="J76:K76"/>
    <mergeCell ref="D70:E70"/>
    <mergeCell ref="D71:E71"/>
    <mergeCell ref="B72:K72"/>
    <mergeCell ref="B73:E73"/>
    <mergeCell ref="H73:K73"/>
  </mergeCells>
  <printOptions horizontalCentered="1"/>
  <pageMargins left="0.70866141732283472" right="0.70866141732283472" top="0.74803149606299213" bottom="0.74803149606299213" header="0.31496062992125984" footer="0.31496062992125984"/>
  <pageSetup scale="13" orientation="portrait" r:id="rId1"/>
  <headerFooter>
    <oddHeader xml:space="preserve">&amp;C
&amp;16   
</oddHeader>
    <oddFooter xml:space="preserve">&amp;RRT03-F13 Vr.14 (2021-05-21)
</oddFooter>
  </headerFooter>
  <rowBreaks count="1" manualBreakCount="1">
    <brk id="34" max="12" man="1"/>
  </rowBreaks>
  <drawing r:id="rId2"/>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1F00-000000000000}">
          <x14:formula1>
            <xm:f>'DATOS %'!$J$174:$J$179</xm:f>
          </x14:formula1>
          <xm:sqref>J19:J20</xm:sqref>
        </x14:dataValidation>
        <x14:dataValidation type="list" allowBlank="1" showInputMessage="1" showErrorMessage="1" xr:uid="{00000000-0002-0000-1F00-000001000000}">
          <x14:formula1>
            <xm:f>'DATOS %'!$N$121:$N$166</xm:f>
          </x14:formula1>
          <xm:sqref>F48</xm:sqref>
        </x14:dataValidation>
        <x14:dataValidation type="list" allowBlank="1" showInputMessage="1" showErrorMessage="1" xr:uid="{00000000-0002-0000-1F00-000002000000}">
          <x14:formula1>
            <xm:f>'DATOS %'!$N$29:$N$113</xm:f>
          </x14:formula1>
          <xm:sqref>E6</xm:sqref>
        </x14:dataValidation>
        <x14:dataValidation type="list" allowBlank="1" showInputMessage="1" showErrorMessage="1" xr:uid="{00000000-0002-0000-1F00-000003000000}">
          <x14:formula1>
            <xm:f>'DATOS %'!$V$120:$V$126</xm:f>
          </x14:formula1>
          <xm:sqref>J13</xm:sqref>
        </x14:dataValidation>
        <x14:dataValidation type="list" allowBlank="1" showInputMessage="1" showErrorMessage="1" xr:uid="{00000000-0002-0000-1F00-000004000000}">
          <x14:formula1>
            <xm:f>'DATOS %'!$V$161:$V$165</xm:f>
          </x14:formula1>
          <xm:sqref>H25</xm:sqref>
        </x14:dataValidation>
        <x14:dataValidation type="list" allowBlank="1" showInputMessage="1" showErrorMessage="1" xr:uid="{00000000-0002-0000-1F00-000005000000}">
          <x14:formula1>
            <xm:f>'DATOS %'!$B$7:$B$40</xm:f>
          </x14:formula1>
          <xm:sqref>I3:J4</xm:sqref>
        </x14:dataValidation>
      </x14:dataValidations>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sheetPr>
  <dimension ref="A1:U115"/>
  <sheetViews>
    <sheetView showGridLines="0" view="pageBreakPreview" topLeftCell="A16" zoomScale="80" zoomScaleNormal="60" zoomScaleSheetLayoutView="80" workbookViewId="0">
      <selection activeCell="C65" sqref="C65"/>
    </sheetView>
  </sheetViews>
  <sheetFormatPr baseColWidth="10" defaultColWidth="11.42578125" defaultRowHeight="31.5" customHeight="1" x14ac:dyDescent="0.2"/>
  <cols>
    <col min="1" max="1" width="14.7109375" style="37" customWidth="1"/>
    <col min="2" max="2" width="12" style="37" customWidth="1"/>
    <col min="3" max="3" width="15.7109375" style="37" customWidth="1"/>
    <col min="4" max="4" width="17" style="37" customWidth="1"/>
    <col min="5" max="5" width="15.5703125" style="37" customWidth="1"/>
    <col min="6" max="6" width="18.5703125" style="37" customWidth="1"/>
    <col min="7" max="7" width="15.7109375" style="37" customWidth="1"/>
    <col min="8" max="8" width="24.42578125" style="37" bestFit="1" customWidth="1"/>
    <col min="9" max="9" width="13.85546875" style="37" bestFit="1" customWidth="1"/>
    <col min="10" max="10" width="13.7109375" style="37" customWidth="1"/>
    <col min="11" max="19" width="11.42578125" style="8"/>
    <col min="20" max="20" width="15.85546875" style="8" bestFit="1" customWidth="1"/>
    <col min="21" max="21" width="14.42578125" style="8" bestFit="1" customWidth="1"/>
    <col min="22" max="16384" width="11.42578125" style="8"/>
  </cols>
  <sheetData>
    <row r="1" spans="1:16" ht="60" customHeight="1" thickBot="1" x14ac:dyDescent="0.25">
      <c r="A1" s="1257"/>
      <c r="B1" s="1258"/>
      <c r="C1" s="1259" t="s">
        <v>57</v>
      </c>
      <c r="D1" s="1260"/>
      <c r="E1" s="1260"/>
      <c r="F1" s="1260"/>
      <c r="G1" s="1260"/>
      <c r="H1" s="1260"/>
      <c r="I1" s="1260"/>
      <c r="J1" s="1260"/>
      <c r="K1" s="1260"/>
      <c r="L1" s="1260"/>
      <c r="M1" s="1261"/>
      <c r="N1" s="7"/>
      <c r="O1" s="7"/>
      <c r="P1" s="7"/>
    </row>
    <row r="2" spans="1:16" s="11" customFormat="1" ht="9.75" customHeight="1" thickBot="1" x14ac:dyDescent="0.25">
      <c r="A2" s="9"/>
      <c r="B2" s="9"/>
      <c r="C2" s="10"/>
      <c r="D2" s="10"/>
      <c r="E2" s="10"/>
      <c r="F2" s="10"/>
      <c r="G2" s="10"/>
      <c r="H2" s="10"/>
      <c r="K2" s="12"/>
      <c r="M2" s="7"/>
    </row>
    <row r="3" spans="1:16" s="12" customFormat="1" ht="35.25" customHeight="1" thickBot="1" x14ac:dyDescent="0.25">
      <c r="A3" s="13" t="s">
        <v>17</v>
      </c>
      <c r="B3" s="14" t="s">
        <v>55</v>
      </c>
      <c r="C3" s="15" t="s">
        <v>209</v>
      </c>
      <c r="D3" s="15" t="s">
        <v>56</v>
      </c>
      <c r="E3" s="15" t="s">
        <v>8</v>
      </c>
      <c r="F3" s="16" t="s">
        <v>18</v>
      </c>
      <c r="G3" s="16" t="s">
        <v>297</v>
      </c>
      <c r="H3" s="17" t="s">
        <v>24</v>
      </c>
      <c r="I3" s="1262"/>
      <c r="J3" s="1263"/>
      <c r="K3" s="11"/>
      <c r="M3" s="7"/>
    </row>
    <row r="4" spans="1:16" s="11" customFormat="1" ht="32.25" customHeight="1" thickBot="1" x14ac:dyDescent="0.25">
      <c r="A4" s="18" t="e">
        <f>VLOOKUP($I$3,'DATOS %'!B7:J40,2,FALSE)</f>
        <v>#N/A</v>
      </c>
      <c r="B4" s="212" t="e">
        <f>VLOOKUP($I$3,'DATOS %'!$B$7:$J$40,3,FALSE)</f>
        <v>#N/A</v>
      </c>
      <c r="C4" s="19" t="e">
        <f>VLOOKUP($I$3,'DATOS %'!$B$7:$J$40,8,FALSE)</f>
        <v>#N/A</v>
      </c>
      <c r="D4" s="19" t="e">
        <f>VLOOKUP($I$3,'DATOS %'!$B$7:$J$40,6,FALSE)</f>
        <v>#N/A</v>
      </c>
      <c r="E4" s="212" t="e">
        <f>VLOOKUP($I$3,'DATOS %'!$B$7:$J$40,7,FALSE)</f>
        <v>#N/A</v>
      </c>
      <c r="F4" s="18" t="e">
        <f>VLOOKUP($I$3,'DATOS %'!$B$7:$J$40,4,FALSE)</f>
        <v>#N/A</v>
      </c>
      <c r="G4" s="18" t="e">
        <f>VLOOKUP($I$3,'DATOS %'!$B$7:$J$40,5,FALSE)</f>
        <v>#N/A</v>
      </c>
      <c r="H4" s="19" t="e">
        <f>VLOOKUP($I$3,'DATOS %'!$B$7:$J$40,9,FALSE)</f>
        <v>#N/A</v>
      </c>
      <c r="I4" s="1264"/>
      <c r="J4" s="1265"/>
      <c r="K4" s="8"/>
      <c r="L4" s="20"/>
      <c r="M4" s="20"/>
    </row>
    <row r="5" spans="1:16" s="22" customFormat="1" ht="6.75" customHeight="1" thickBot="1" x14ac:dyDescent="0.25">
      <c r="A5" s="21"/>
      <c r="B5" s="21"/>
      <c r="C5" s="21"/>
      <c r="F5" s="21"/>
      <c r="G5" s="21"/>
      <c r="H5" s="21"/>
      <c r="K5" s="8"/>
    </row>
    <row r="6" spans="1:16" ht="31.5" customHeight="1" thickBot="1" x14ac:dyDescent="0.25">
      <c r="A6" s="1266" t="s">
        <v>19</v>
      </c>
      <c r="B6" s="1267"/>
      <c r="C6" s="1267"/>
      <c r="D6" s="1268"/>
      <c r="E6" s="4"/>
      <c r="F6" s="1266" t="s">
        <v>20</v>
      </c>
      <c r="G6" s="1267"/>
      <c r="H6" s="1267"/>
      <c r="I6" s="1268"/>
      <c r="J6" s="402">
        <f>I3</f>
        <v>0</v>
      </c>
    </row>
    <row r="7" spans="1:16" ht="31.5" customHeight="1" x14ac:dyDescent="0.2">
      <c r="A7" s="23" t="s">
        <v>21</v>
      </c>
      <c r="B7" s="24" t="e">
        <f>VLOOKUP($E$6,'DATOS %'!N11:AA113,2,FALSE)</f>
        <v>#N/A</v>
      </c>
      <c r="C7" s="25" t="s">
        <v>10</v>
      </c>
      <c r="D7" s="26" t="e">
        <f>VLOOKUP($E$6,'DATOS %'!N11:AA113,3,FALSE)</f>
        <v>#N/A</v>
      </c>
      <c r="E7" s="27"/>
      <c r="F7" s="23" t="s">
        <v>21</v>
      </c>
      <c r="G7" s="24" t="e">
        <f>VLOOKUP($J$6,'DATOS %'!B47:I79,2,FALSE)</f>
        <v>#N/A</v>
      </c>
      <c r="H7" s="28" t="s">
        <v>10</v>
      </c>
      <c r="I7" s="26" t="e">
        <f>VLOOKUP($J$6,'DATOS %'!B47:I79,3,FALSE)</f>
        <v>#N/A</v>
      </c>
      <c r="J7" s="29"/>
    </row>
    <row r="8" spans="1:16" ht="31.5" customHeight="1" x14ac:dyDescent="0.2">
      <c r="A8" s="30" t="s">
        <v>22</v>
      </c>
      <c r="B8" s="31" t="e">
        <f>VLOOKUP($E$6,'DATOS %'!N11:AA113,4,FALSE)</f>
        <v>#N/A</v>
      </c>
      <c r="C8" s="32" t="s">
        <v>23</v>
      </c>
      <c r="D8" s="33" t="e">
        <f>VLOOKUP($E$6,'DATOS %'!N11:AA113,5,FALSE)</f>
        <v>#N/A</v>
      </c>
      <c r="E8" s="27"/>
      <c r="F8" s="30" t="s">
        <v>22</v>
      </c>
      <c r="G8" s="31" t="e">
        <f>VLOOKUP($J$6,'DATOS %'!B47:I79,4,FALSE)</f>
        <v>#N/A</v>
      </c>
      <c r="H8" s="32" t="s">
        <v>23</v>
      </c>
      <c r="I8" s="297" t="e">
        <f>VLOOKUP($J$6,'DATOS %'!B47:I79,5,FALSE)</f>
        <v>#N/A</v>
      </c>
      <c r="J8" s="29"/>
    </row>
    <row r="9" spans="1:16" ht="31.5" customHeight="1" x14ac:dyDescent="0.2">
      <c r="A9" s="34" t="s">
        <v>24</v>
      </c>
      <c r="B9" s="31" t="e">
        <f>VLOOKUP($E$6,'DATOS %'!N11:AA113,6,FALSE)</f>
        <v>#N/A</v>
      </c>
      <c r="C9" s="35" t="s">
        <v>15</v>
      </c>
      <c r="D9" s="36" t="e">
        <f>VLOOKUP($E$6,'DATOS %'!N11:AA113,7,FALSE)</f>
        <v>#N/A</v>
      </c>
      <c r="F9" s="1252" t="s">
        <v>62</v>
      </c>
      <c r="G9" s="1253"/>
      <c r="H9" s="31" t="e">
        <f>VLOOKUP($J$6,'DATOS %'!B47:I79,6,FALSE)</f>
        <v>#N/A</v>
      </c>
      <c r="I9" s="33" t="s">
        <v>1</v>
      </c>
      <c r="J9" s="29"/>
      <c r="K9" s="208"/>
    </row>
    <row r="10" spans="1:16" s="38" customFormat="1" ht="31.5" customHeight="1" x14ac:dyDescent="0.25">
      <c r="A10" s="1252" t="s">
        <v>63</v>
      </c>
      <c r="B10" s="1253"/>
      <c r="C10" s="223" t="e">
        <f>VLOOKUP($E$6,'DATOS %'!N11:AA113,8,FALSE)</f>
        <v>#N/A</v>
      </c>
      <c r="D10" s="33" t="s">
        <v>1</v>
      </c>
      <c r="F10" s="1252" t="s">
        <v>64</v>
      </c>
      <c r="G10" s="1253"/>
      <c r="H10" s="213" t="e">
        <f>VLOOKUP($J$6,'DATOS %'!B47:I79,7,FALSE)</f>
        <v>#N/A</v>
      </c>
      <c r="I10" s="33" t="s">
        <v>76</v>
      </c>
      <c r="J10" s="39"/>
    </row>
    <row r="11" spans="1:16" s="38" customFormat="1" ht="31.5" customHeight="1" thickBot="1" x14ac:dyDescent="0.3">
      <c r="A11" s="1252" t="s">
        <v>65</v>
      </c>
      <c r="B11" s="1253"/>
      <c r="C11" s="31" t="e">
        <f>VLOOKUP($E$6,'DATOS %'!N11:AA113,9,FALSE)</f>
        <v>#N/A</v>
      </c>
      <c r="D11" s="33" t="s">
        <v>3</v>
      </c>
      <c r="E11" s="40"/>
      <c r="F11" s="1271" t="s">
        <v>66</v>
      </c>
      <c r="G11" s="1272"/>
      <c r="H11" s="41" t="e">
        <f>VLOOKUP($J$6,'DATOS %'!B47:I79,8,FALSE)</f>
        <v>#N/A</v>
      </c>
      <c r="I11" s="45" t="s">
        <v>76</v>
      </c>
      <c r="J11" s="39"/>
    </row>
    <row r="12" spans="1:16" s="38" customFormat="1" ht="31.5" customHeight="1" thickBot="1" x14ac:dyDescent="0.3">
      <c r="A12" s="1252" t="s">
        <v>67</v>
      </c>
      <c r="B12" s="1253"/>
      <c r="C12" s="31" t="e">
        <f>VLOOKUP($E$6,'DATOS %'!N11:AA113,10,FALSE)</f>
        <v>#N/A</v>
      </c>
      <c r="D12" s="33" t="s">
        <v>3</v>
      </c>
      <c r="E12" s="39"/>
      <c r="F12" s="39"/>
      <c r="G12" s="39"/>
      <c r="H12" s="39"/>
    </row>
    <row r="13" spans="1:16" s="38" customFormat="1" ht="31.5" customHeight="1" thickBot="1" x14ac:dyDescent="0.3">
      <c r="A13" s="1252" t="s">
        <v>68</v>
      </c>
      <c r="B13" s="1253"/>
      <c r="C13" s="213" t="e">
        <f>VLOOKUP($E$6,'DATOS %'!N11:AA113,11,FALSE)</f>
        <v>#N/A</v>
      </c>
      <c r="D13" s="33" t="s">
        <v>76</v>
      </c>
      <c r="E13" s="39"/>
      <c r="F13" s="1254" t="s">
        <v>559</v>
      </c>
      <c r="G13" s="1255"/>
      <c r="H13" s="1255"/>
      <c r="I13" s="1256"/>
      <c r="J13" s="5"/>
    </row>
    <row r="14" spans="1:16" s="38" customFormat="1" ht="31.5" customHeight="1" x14ac:dyDescent="0.2">
      <c r="A14" s="1252" t="s">
        <v>305</v>
      </c>
      <c r="B14" s="1253"/>
      <c r="C14" s="31" t="e">
        <f>VLOOKUP($E$6,'DATOS %'!N11:AA113,12,FALSE)</f>
        <v>#N/A</v>
      </c>
      <c r="D14" s="33" t="s">
        <v>76</v>
      </c>
      <c r="E14" s="39"/>
      <c r="F14" s="23" t="s">
        <v>10</v>
      </c>
      <c r="G14" s="24" t="e">
        <f>VLOOKUP($J$13,'DATOS %'!$V$119:$Y$126,2,FALSE)</f>
        <v>#N/A</v>
      </c>
      <c r="H14" s="28" t="s">
        <v>22</v>
      </c>
      <c r="I14" s="24" t="e">
        <f>VLOOKUP($J$13,'DATOS %'!$V$119:$Z$126,3,FALSE)</f>
        <v>#N/A</v>
      </c>
      <c r="J14" s="42"/>
      <c r="K14" s="8"/>
    </row>
    <row r="15" spans="1:16" ht="31.5" customHeight="1" thickBot="1" x14ac:dyDescent="0.25">
      <c r="A15" s="1277" t="s">
        <v>69</v>
      </c>
      <c r="B15" s="1278"/>
      <c r="C15" s="31" t="e">
        <f>VLOOKUP($E$6,'DATOS %'!N11:AA113,13,FALSE)</f>
        <v>#N/A</v>
      </c>
      <c r="D15" s="33" t="s">
        <v>76</v>
      </c>
      <c r="E15" s="29"/>
      <c r="F15" s="43" t="s">
        <v>61</v>
      </c>
      <c r="G15" s="41" t="e">
        <f>VLOOKUP($J$13,'DATOS %'!$V$119:$Y$126,4,FALSE)</f>
        <v>#N/A</v>
      </c>
      <c r="H15" s="41" t="s">
        <v>1</v>
      </c>
      <c r="I15" s="240" t="s">
        <v>210</v>
      </c>
      <c r="J15" s="45" t="e">
        <f>VLOOKUP($J$13,'DATOS %'!$V$119:$Z$126,5,FALSE)</f>
        <v>#N/A</v>
      </c>
      <c r="K15" s="22"/>
    </row>
    <row r="16" spans="1:16" ht="30.95" customHeight="1" thickBot="1" x14ac:dyDescent="0.25">
      <c r="A16" s="1279" t="s">
        <v>210</v>
      </c>
      <c r="B16" s="1280"/>
      <c r="C16" s="1281" t="e">
        <f>VLOOKUP($E$6,'DATOS %'!N11:AA113,14,FALSE)</f>
        <v>#N/A</v>
      </c>
      <c r="D16" s="1282"/>
      <c r="E16" s="29"/>
      <c r="F16" s="8"/>
      <c r="G16" s="8"/>
      <c r="H16" s="8"/>
      <c r="I16" s="8"/>
      <c r="J16" s="8"/>
    </row>
    <row r="17" spans="1:11" s="22" customFormat="1" ht="30.95" customHeight="1" thickBot="1" x14ac:dyDescent="0.25">
      <c r="A17" s="29"/>
      <c r="B17" s="29"/>
      <c r="C17" s="29"/>
      <c r="D17" s="29"/>
      <c r="E17" s="29"/>
      <c r="F17" s="29"/>
      <c r="G17" s="29"/>
      <c r="H17" s="29"/>
      <c r="I17" s="29"/>
      <c r="J17" s="29"/>
      <c r="K17" s="8"/>
    </row>
    <row r="18" spans="1:11" ht="31.5" customHeight="1" thickBot="1" x14ac:dyDescent="0.25">
      <c r="A18" s="1331" t="s">
        <v>26</v>
      </c>
      <c r="B18" s="1332"/>
      <c r="C18" s="1332"/>
      <c r="D18" s="1332"/>
      <c r="E18" s="1332"/>
      <c r="F18" s="1332"/>
      <c r="G18" s="1332"/>
      <c r="H18" s="1332"/>
      <c r="I18" s="1332"/>
      <c r="J18" s="1333"/>
    </row>
    <row r="19" spans="1:11" ht="46.5" customHeight="1" thickBot="1" x14ac:dyDescent="0.25">
      <c r="A19" s="407" t="s">
        <v>10</v>
      </c>
      <c r="B19" s="101" t="e">
        <f>VLOOKUP(J19,'DATOS %'!J174:W180,2,FALSE)</f>
        <v>#N/A</v>
      </c>
      <c r="C19" s="95" t="s">
        <v>7</v>
      </c>
      <c r="D19" s="408" t="e">
        <f>VLOOKUP(J19,'DATOS %'!J174:W180,3,FALSE)</f>
        <v>#N/A</v>
      </c>
      <c r="E19" s="409" t="s">
        <v>24</v>
      </c>
      <c r="F19" s="1286" t="e">
        <f>VLOOKUP(J19,'DATOS %'!J174:W180,5,FALSE)</f>
        <v>#N/A</v>
      </c>
      <c r="G19" s="1287"/>
      <c r="H19" s="95" t="s">
        <v>25</v>
      </c>
      <c r="I19" s="212" t="e">
        <f>VLOOKUP(J19,'DATOS %'!J174:W180,4,FALSE)</f>
        <v>#N/A</v>
      </c>
      <c r="J19" s="1374"/>
    </row>
    <row r="20" spans="1:11" ht="31.5" customHeight="1" thickBot="1" x14ac:dyDescent="0.25">
      <c r="A20" s="1290" t="s">
        <v>316</v>
      </c>
      <c r="B20" s="1291"/>
      <c r="C20" s="94" t="s">
        <v>27</v>
      </c>
      <c r="D20" s="101" t="e">
        <f>VLOOKUP(J19,'DATOS %'!J174:W180,6,FALSE)</f>
        <v>#N/A</v>
      </c>
      <c r="E20" s="1292" t="s">
        <v>326</v>
      </c>
      <c r="F20" s="1293"/>
      <c r="G20" s="101" t="e">
        <f>VLOOKUP(J19,'DATOS %'!J174:W180,7,FALSE)</f>
        <v>#N/A</v>
      </c>
      <c r="H20" s="95" t="s">
        <v>9</v>
      </c>
      <c r="I20" s="214" t="e">
        <f>VLOOKUP(J19,'DATOS %'!J174:W180,8,FALSE)</f>
        <v>#N/A</v>
      </c>
      <c r="J20" s="1289"/>
    </row>
    <row r="21" spans="1:11" s="46" customFormat="1" ht="15" customHeight="1" thickBot="1" x14ac:dyDescent="0.25">
      <c r="A21" s="47"/>
      <c r="B21" s="47"/>
      <c r="C21" s="47"/>
      <c r="D21" s="47"/>
      <c r="E21" s="47"/>
      <c r="F21" s="47"/>
      <c r="G21" s="47"/>
      <c r="H21" s="47"/>
      <c r="I21" s="47"/>
      <c r="J21" s="47"/>
      <c r="K21" s="8"/>
    </row>
    <row r="22" spans="1:11" s="48" customFormat="1" ht="31.5" customHeight="1" thickBot="1" x14ac:dyDescent="0.25">
      <c r="A22" s="1294" t="s">
        <v>28</v>
      </c>
      <c r="B22" s="1295"/>
      <c r="C22" s="1295"/>
      <c r="D22" s="1295"/>
      <c r="E22" s="1295"/>
      <c r="F22" s="1295"/>
      <c r="G22" s="1295"/>
      <c r="H22" s="1295"/>
      <c r="I22" s="1295"/>
      <c r="J22" s="1296"/>
      <c r="K22" s="47"/>
    </row>
    <row r="23" spans="1:11" s="47" customFormat="1" ht="2.25" customHeight="1" thickBot="1" x14ac:dyDescent="0.25">
      <c r="A23" s="49"/>
      <c r="B23" s="50"/>
      <c r="C23" s="50"/>
      <c r="D23" s="50"/>
      <c r="E23" s="50"/>
      <c r="F23" s="50"/>
      <c r="G23" s="50"/>
      <c r="H23" s="50"/>
      <c r="I23" s="50"/>
      <c r="J23" s="51"/>
      <c r="K23" s="48"/>
    </row>
    <row r="24" spans="1:11" s="48" customFormat="1" ht="31.5" customHeight="1" thickBot="1" x14ac:dyDescent="0.25">
      <c r="A24" s="52" t="s">
        <v>29</v>
      </c>
      <c r="B24" s="916"/>
      <c r="C24" s="1297" t="s">
        <v>27</v>
      </c>
      <c r="D24" s="1298"/>
      <c r="E24" s="1"/>
      <c r="F24" s="1684" t="s">
        <v>307</v>
      </c>
      <c r="G24" s="1685"/>
      <c r="H24" s="2"/>
      <c r="I24" s="972" t="s">
        <v>9</v>
      </c>
      <c r="J24" s="215"/>
      <c r="K24" s="46"/>
    </row>
    <row r="25" spans="1:11" s="46" customFormat="1" ht="15" customHeight="1" thickBot="1" x14ac:dyDescent="0.25">
      <c r="A25" s="47"/>
      <c r="B25" s="47"/>
      <c r="C25" s="47"/>
      <c r="D25" s="47"/>
      <c r="E25" s="47"/>
      <c r="F25" s="47"/>
      <c r="G25" s="47"/>
      <c r="H25" s="6"/>
      <c r="I25" s="47"/>
      <c r="K25" s="48"/>
    </row>
    <row r="26" spans="1:11" s="48" customFormat="1" ht="29.25" customHeight="1" thickBot="1" x14ac:dyDescent="0.25">
      <c r="A26" s="115" t="s">
        <v>129</v>
      </c>
      <c r="B26" s="105">
        <v>4</v>
      </c>
      <c r="C26" s="1301" t="s">
        <v>30</v>
      </c>
      <c r="D26" s="1302"/>
      <c r="E26" s="1302"/>
      <c r="F26" s="1303"/>
      <c r="G26" s="1304" t="s">
        <v>211</v>
      </c>
      <c r="H26" s="1305"/>
    </row>
    <row r="27" spans="1:11" s="48" customFormat="1" ht="31.5" customHeight="1" thickBot="1" x14ac:dyDescent="0.25">
      <c r="A27" s="1273" t="s">
        <v>31</v>
      </c>
      <c r="B27" s="1274"/>
      <c r="C27" s="239">
        <v>1</v>
      </c>
      <c r="D27" s="239">
        <v>2</v>
      </c>
      <c r="E27" s="239">
        <v>3</v>
      </c>
      <c r="F27" s="129">
        <v>4</v>
      </c>
      <c r="G27" s="1275" t="e">
        <f>VLOOKUP($H$25,'DATOS %'!$V$161:$AA$165,2,FALSE)</f>
        <v>#N/A</v>
      </c>
      <c r="H27" s="1276"/>
    </row>
    <row r="28" spans="1:11" s="48" customFormat="1" ht="31.5" customHeight="1" x14ac:dyDescent="0.2">
      <c r="A28" s="1310" t="s">
        <v>32</v>
      </c>
      <c r="B28" s="141" t="s">
        <v>0</v>
      </c>
      <c r="C28" s="265"/>
      <c r="D28" s="265"/>
      <c r="E28" s="265"/>
      <c r="F28" s="266"/>
      <c r="G28" s="47"/>
      <c r="H28" s="47"/>
      <c r="I28" s="47"/>
      <c r="J28" s="47"/>
    </row>
    <row r="29" spans="1:11" s="48" customFormat="1" ht="31.5" customHeight="1" x14ac:dyDescent="0.2">
      <c r="A29" s="1311"/>
      <c r="B29" s="104" t="s">
        <v>2</v>
      </c>
      <c r="C29" s="267"/>
      <c r="D29" s="267"/>
      <c r="E29" s="267"/>
      <c r="F29" s="268"/>
      <c r="G29" s="47"/>
      <c r="H29" s="47"/>
      <c r="I29" s="47"/>
      <c r="J29" s="47"/>
    </row>
    <row r="30" spans="1:11" s="48" customFormat="1" ht="31.5" customHeight="1" x14ac:dyDescent="0.2">
      <c r="A30" s="1311"/>
      <c r="B30" s="104" t="s">
        <v>2</v>
      </c>
      <c r="C30" s="267"/>
      <c r="D30" s="267"/>
      <c r="E30" s="267"/>
      <c r="F30" s="268"/>
      <c r="G30" s="47"/>
      <c r="H30" s="47"/>
      <c r="I30" s="47"/>
      <c r="J30" s="47"/>
    </row>
    <row r="31" spans="1:11" s="48" customFormat="1" ht="31.5" customHeight="1" thickBot="1" x14ac:dyDescent="0.25">
      <c r="A31" s="1312"/>
      <c r="B31" s="53" t="s">
        <v>0</v>
      </c>
      <c r="C31" s="269"/>
      <c r="D31" s="269"/>
      <c r="E31" s="269"/>
      <c r="F31" s="270"/>
      <c r="G31" s="47"/>
      <c r="H31" s="47"/>
      <c r="I31" s="47"/>
      <c r="J31" s="47"/>
      <c r="K31" s="46"/>
    </row>
    <row r="32" spans="1:11" s="46" customFormat="1" ht="15" customHeight="1" thickBot="1" x14ac:dyDescent="0.25">
      <c r="A32" s="47"/>
      <c r="B32" s="47"/>
      <c r="C32" s="47"/>
      <c r="D32" s="47"/>
      <c r="E32" s="47"/>
      <c r="F32" s="47"/>
      <c r="G32" s="47"/>
      <c r="H32" s="47"/>
      <c r="I32" s="47"/>
      <c r="J32" s="47"/>
      <c r="K32" s="48"/>
    </row>
    <row r="33" spans="1:11" s="48" customFormat="1" ht="31.5" customHeight="1" thickBot="1" x14ac:dyDescent="0.25">
      <c r="A33" s="54" t="s">
        <v>33</v>
      </c>
      <c r="B33" s="916"/>
      <c r="C33" s="1297" t="s">
        <v>27</v>
      </c>
      <c r="D33" s="1298"/>
      <c r="E33" s="1"/>
      <c r="F33" s="1684" t="s">
        <v>307</v>
      </c>
      <c r="G33" s="1685"/>
      <c r="H33" s="2"/>
      <c r="I33" s="973" t="s">
        <v>9</v>
      </c>
      <c r="J33" s="3"/>
      <c r="K33" s="46"/>
    </row>
    <row r="34" spans="1:11" s="46" customFormat="1" ht="12" customHeight="1" x14ac:dyDescent="0.2">
      <c r="A34" s="55"/>
      <c r="B34" s="55"/>
      <c r="C34" s="55"/>
      <c r="D34" s="55"/>
      <c r="E34" s="55"/>
      <c r="F34" s="55"/>
      <c r="G34" s="55"/>
      <c r="H34" s="55"/>
      <c r="I34" s="55"/>
      <c r="J34" s="55"/>
      <c r="K34" s="48"/>
    </row>
    <row r="35" spans="1:11" s="48" customFormat="1" ht="15" customHeight="1" thickBot="1" x14ac:dyDescent="0.25">
      <c r="A35" s="56"/>
      <c r="B35" s="56"/>
      <c r="C35" s="56"/>
      <c r="D35" s="56"/>
      <c r="E35" s="56"/>
      <c r="F35" s="56"/>
      <c r="G35" s="56"/>
      <c r="H35" s="56"/>
      <c r="I35" s="56"/>
      <c r="J35" s="56"/>
    </row>
    <row r="36" spans="1:11" s="48" customFormat="1" ht="32.25" customHeight="1" thickBot="1" x14ac:dyDescent="0.25">
      <c r="A36" s="1294" t="s">
        <v>34</v>
      </c>
      <c r="B36" s="1295"/>
      <c r="C36" s="1295"/>
      <c r="D36" s="1295"/>
      <c r="E36" s="1295"/>
      <c r="F36" s="1295"/>
      <c r="G36" s="1295"/>
      <c r="H36" s="1295"/>
      <c r="I36" s="1295"/>
      <c r="J36" s="1296"/>
    </row>
    <row r="37" spans="1:11" s="48" customFormat="1" ht="3.75" customHeight="1" thickBot="1" x14ac:dyDescent="0.25">
      <c r="A37" s="55"/>
      <c r="B37" s="47"/>
      <c r="C37" s="47"/>
      <c r="D37" s="47"/>
      <c r="E37" s="47"/>
      <c r="F37" s="47"/>
      <c r="G37" s="47"/>
      <c r="H37" s="47"/>
      <c r="I37" s="47"/>
      <c r="J37" s="55"/>
    </row>
    <row r="38" spans="1:11" s="48" customFormat="1" ht="31.5" customHeight="1" thickBot="1" x14ac:dyDescent="0.25">
      <c r="A38" s="47"/>
      <c r="B38" s="1316" t="s">
        <v>35</v>
      </c>
      <c r="C38" s="1317"/>
      <c r="D38" s="1317"/>
      <c r="E38" s="1317"/>
      <c r="F38" s="1318"/>
      <c r="G38" s="47"/>
      <c r="H38" s="1319" t="s">
        <v>236</v>
      </c>
      <c r="I38" s="1320"/>
      <c r="J38" s="1321"/>
    </row>
    <row r="39" spans="1:11" s="48" customFormat="1" ht="31.5" customHeight="1" thickBot="1" x14ac:dyDescent="0.25">
      <c r="A39" s="47"/>
      <c r="B39" s="57" t="s">
        <v>31</v>
      </c>
      <c r="C39" s="203">
        <v>1</v>
      </c>
      <c r="D39" s="141">
        <v>2</v>
      </c>
      <c r="E39" s="141">
        <v>3</v>
      </c>
      <c r="F39" s="204">
        <v>4</v>
      </c>
      <c r="G39" s="47"/>
      <c r="H39" s="1322"/>
      <c r="I39" s="1323"/>
      <c r="J39" s="1324"/>
    </row>
    <row r="40" spans="1:11" s="48" customFormat="1" ht="31.5" customHeight="1" x14ac:dyDescent="0.2">
      <c r="A40" s="58"/>
      <c r="B40" s="59"/>
      <c r="C40" s="271" t="e">
        <f>+AVERAGE(C28,C31)</f>
        <v>#DIV/0!</v>
      </c>
      <c r="D40" s="272" t="e">
        <f>+AVERAGE(D28,D31)</f>
        <v>#DIV/0!</v>
      </c>
      <c r="E40" s="272" t="e">
        <f>+AVERAGE(E28,E31)</f>
        <v>#DIV/0!</v>
      </c>
      <c r="F40" s="273" t="e">
        <f>+AVERAGE(F28,F31)</f>
        <v>#DIV/0!</v>
      </c>
      <c r="G40" s="47"/>
      <c r="H40" s="1325"/>
      <c r="I40" s="1326"/>
      <c r="J40" s="1327"/>
    </row>
    <row r="41" spans="1:11" s="48" customFormat="1" ht="31.5" customHeight="1" x14ac:dyDescent="0.2">
      <c r="A41" s="58"/>
      <c r="B41" s="60"/>
      <c r="C41" s="274" t="e">
        <f>+AVERAGE(C29:C30)</f>
        <v>#DIV/0!</v>
      </c>
      <c r="D41" s="275" t="e">
        <f>+AVERAGE(D29:D30)</f>
        <v>#DIV/0!</v>
      </c>
      <c r="E41" s="275" t="e">
        <f>+AVERAGE(E29:E30)</f>
        <v>#DIV/0!</v>
      </c>
      <c r="F41" s="276" t="e">
        <f>+AVERAGE(F29:F30)</f>
        <v>#DIV/0!</v>
      </c>
      <c r="G41" s="47"/>
      <c r="H41" s="1325"/>
      <c r="I41" s="1326"/>
      <c r="J41" s="1327"/>
    </row>
    <row r="42" spans="1:11" s="48" customFormat="1" ht="31.5" customHeight="1" thickBot="1" x14ac:dyDescent="0.25">
      <c r="A42" s="58"/>
      <c r="B42" s="62"/>
      <c r="C42" s="277" t="e">
        <f>+C41-C40</f>
        <v>#DIV/0!</v>
      </c>
      <c r="D42" s="278" t="e">
        <f>+D41-D40</f>
        <v>#DIV/0!</v>
      </c>
      <c r="E42" s="278" t="e">
        <f>+E41-E40</f>
        <v>#DIV/0!</v>
      </c>
      <c r="F42" s="279" t="e">
        <f>+F41-F40</f>
        <v>#DIV/0!</v>
      </c>
      <c r="G42" s="47"/>
      <c r="H42" s="1328"/>
      <c r="I42" s="1329"/>
      <c r="J42" s="1330"/>
    </row>
    <row r="43" spans="1:11" s="48" customFormat="1" ht="31.5" customHeight="1" thickBot="1" x14ac:dyDescent="0.25">
      <c r="A43" s="47"/>
      <c r="B43" s="63" t="s">
        <v>36</v>
      </c>
      <c r="C43" s="258" t="e">
        <f>+AVERAGE(C42:F42)</f>
        <v>#DIV/0!</v>
      </c>
      <c r="D43" s="280"/>
      <c r="E43" s="280"/>
      <c r="F43" s="280"/>
      <c r="G43" s="47"/>
      <c r="H43" s="47"/>
      <c r="I43" s="47"/>
      <c r="J43" s="47"/>
    </row>
    <row r="44" spans="1:11" s="48" customFormat="1" ht="31.5" customHeight="1" thickBot="1" x14ac:dyDescent="0.25">
      <c r="A44" s="47"/>
      <c r="B44" s="64" t="s">
        <v>77</v>
      </c>
      <c r="C44" s="259" t="e">
        <f>+STDEV(C42:F42)</f>
        <v>#DIV/0!</v>
      </c>
      <c r="D44" s="280"/>
      <c r="E44" s="280"/>
      <c r="F44" s="280"/>
      <c r="G44" s="47"/>
      <c r="H44" s="47"/>
      <c r="I44" s="47"/>
      <c r="J44" s="47"/>
      <c r="K44" s="46"/>
    </row>
    <row r="45" spans="1:11" s="46" customFormat="1" ht="15" customHeight="1" thickBot="1" x14ac:dyDescent="0.25">
      <c r="A45" s="47"/>
      <c r="B45" s="47"/>
      <c r="C45" s="47"/>
      <c r="D45" s="47"/>
      <c r="E45" s="47"/>
      <c r="F45" s="47"/>
      <c r="G45" s="65"/>
      <c r="H45" s="47"/>
      <c r="I45" s="47"/>
      <c r="J45" s="47"/>
      <c r="K45" s="48"/>
    </row>
    <row r="46" spans="1:11" s="48" customFormat="1" ht="31.5" customHeight="1" thickBot="1" x14ac:dyDescent="0.25">
      <c r="A46" s="1331" t="s">
        <v>37</v>
      </c>
      <c r="B46" s="1332"/>
      <c r="C46" s="1284"/>
      <c r="D46" s="1284"/>
      <c r="E46" s="1284"/>
      <c r="F46" s="1332"/>
      <c r="G46" s="1332"/>
      <c r="H46" s="1332"/>
      <c r="I46" s="1332"/>
      <c r="J46" s="1333"/>
    </row>
    <row r="47" spans="1:11" s="48" customFormat="1" ht="31.5" customHeight="1" thickBot="1" x14ac:dyDescent="0.25">
      <c r="A47" s="1375" t="s">
        <v>321</v>
      </c>
      <c r="B47" s="1376"/>
      <c r="C47" s="1338" t="s">
        <v>38</v>
      </c>
      <c r="D47" s="1339"/>
      <c r="E47" s="1340"/>
      <c r="F47" s="47"/>
      <c r="G47" s="47"/>
      <c r="H47" s="47"/>
      <c r="I47" s="47"/>
      <c r="J47" s="47"/>
    </row>
    <row r="48" spans="1:11" s="48" customFormat="1" ht="36.75" customHeight="1" thickBot="1" x14ac:dyDescent="0.25">
      <c r="A48" s="1377"/>
      <c r="B48" s="1378"/>
      <c r="C48" s="82" t="s">
        <v>27</v>
      </c>
      <c r="D48" s="93" t="s">
        <v>307</v>
      </c>
      <c r="E48" s="83" t="s">
        <v>9</v>
      </c>
      <c r="G48" s="1341" t="s">
        <v>70</v>
      </c>
      <c r="H48" s="1342"/>
      <c r="I48" s="102" t="e">
        <f>+(0.34848*E50-0.009*D50*EXP(0.061*C50))/(273.15+C50)</f>
        <v>#DIV/0!</v>
      </c>
      <c r="J48" s="103" t="s">
        <v>73</v>
      </c>
    </row>
    <row r="49" spans="1:21" s="48" customFormat="1" ht="33" customHeight="1" thickBot="1" x14ac:dyDescent="0.25">
      <c r="A49" s="1306" t="s">
        <v>39</v>
      </c>
      <c r="B49" s="1307"/>
      <c r="C49" s="90" t="e">
        <f>+AVERAGE(E33,E24)</f>
        <v>#DIV/0!</v>
      </c>
      <c r="D49" s="91" t="e">
        <f>+AVERAGE(H33,H24)</f>
        <v>#DIV/0!</v>
      </c>
      <c r="E49" s="92" t="e">
        <f>+AVERAGE(J33,J24)</f>
        <v>#DIV/0!</v>
      </c>
      <c r="G49" s="1308" t="s">
        <v>71</v>
      </c>
      <c r="H49" s="1309"/>
      <c r="I49" s="422" t="e">
        <f>I48*((0.0001)^2+(0.001*I20/2)^2+(-0.0034*D20/2)^2+(-0.01*G20/2)^2)^0.5</f>
        <v>#DIV/0!</v>
      </c>
      <c r="J49" s="66" t="s">
        <v>73</v>
      </c>
    </row>
    <row r="50" spans="1:21" s="48" customFormat="1" ht="36.75" customHeight="1" thickBot="1" x14ac:dyDescent="0.25">
      <c r="A50" s="1343" t="s">
        <v>322</v>
      </c>
      <c r="B50" s="1344"/>
      <c r="C50" s="84" t="e">
        <f>C49+(VLOOKUP(J19,'DATOS %'!J174:W180,9,FALSE))*C49+(VLOOKUP(J19,'DATOS %'!J174:W180,10,FALSE))</f>
        <v>#DIV/0!</v>
      </c>
      <c r="D50" s="85" t="e">
        <f>D49+(VLOOKUP(J19,'DATOS %'!J174:W180,11,FALSE))*D49+(VLOOKUP(J19,'DATOS %'!J174:W180,12,FALSE))</f>
        <v>#DIV/0!</v>
      </c>
      <c r="E50" s="86" t="e">
        <f>E49+(VLOOKUP(J19,'DATOS %'!J174:W180,13,FALSE))*E49+(VLOOKUP(J19,'DATOS %'!J174:W180,14,FALSE))</f>
        <v>#DIV/0!</v>
      </c>
      <c r="G50" s="1341" t="s">
        <v>72</v>
      </c>
      <c r="H50" s="1342"/>
      <c r="I50" s="67">
        <v>1.2</v>
      </c>
      <c r="J50" s="66" t="s">
        <v>73</v>
      </c>
    </row>
    <row r="51" spans="1:21" s="46" customFormat="1" ht="15" customHeight="1" thickBot="1" x14ac:dyDescent="0.25">
      <c r="A51" s="47"/>
      <c r="B51" s="47"/>
      <c r="C51" s="47"/>
      <c r="D51" s="47"/>
      <c r="E51" s="47"/>
      <c r="F51" s="47"/>
      <c r="G51" s="47"/>
      <c r="H51" s="47"/>
      <c r="I51" s="47"/>
      <c r="J51" s="47"/>
      <c r="K51" s="48"/>
    </row>
    <row r="52" spans="1:21" s="48" customFormat="1" ht="31.5" customHeight="1" thickBot="1" x14ac:dyDescent="0.25">
      <c r="A52" s="1331" t="s">
        <v>40</v>
      </c>
      <c r="B52" s="1332"/>
      <c r="C52" s="1332"/>
      <c r="D52" s="1332"/>
      <c r="E52" s="1332"/>
      <c r="F52" s="1332"/>
      <c r="G52" s="1332"/>
      <c r="H52" s="1332"/>
      <c r="I52" s="1332"/>
      <c r="J52" s="1333"/>
    </row>
    <row r="53" spans="1:21" s="48" customFormat="1" ht="31.5" customHeight="1" x14ac:dyDescent="0.35">
      <c r="A53" s="47"/>
      <c r="B53" s="68" t="s">
        <v>41</v>
      </c>
      <c r="C53" s="69"/>
      <c r="D53" s="1345" t="s">
        <v>74</v>
      </c>
      <c r="E53" s="1345"/>
      <c r="F53" s="70" t="s">
        <v>42</v>
      </c>
      <c r="G53" s="71" t="s">
        <v>43</v>
      </c>
      <c r="H53" s="1346" t="s">
        <v>44</v>
      </c>
      <c r="I53" s="1347"/>
      <c r="J53" s="47"/>
    </row>
    <row r="54" spans="1:21" s="48" customFormat="1" ht="31.5" customHeight="1" thickBot="1" x14ac:dyDescent="0.25">
      <c r="A54" s="47"/>
      <c r="B54" s="72" t="e">
        <f>+C43</f>
        <v>#DIV/0!</v>
      </c>
      <c r="C54" s="73" t="s">
        <v>1</v>
      </c>
      <c r="D54" s="261" t="e">
        <f>C10+C11/1000</f>
        <v>#N/A</v>
      </c>
      <c r="E54" s="73" t="s">
        <v>1</v>
      </c>
      <c r="F54" s="74" t="e">
        <f>+(I48-I50)*(1/H10-1/C13)</f>
        <v>#DIV/0!</v>
      </c>
      <c r="G54" s="75"/>
      <c r="H54" s="67" t="e">
        <f>+(B54+D54*F54)*1000</f>
        <v>#DIV/0!</v>
      </c>
      <c r="I54" s="66" t="s">
        <v>3</v>
      </c>
      <c r="J54" s="47"/>
      <c r="K54" s="46"/>
    </row>
    <row r="55" spans="1:21" s="46" customFormat="1" ht="15" customHeight="1" x14ac:dyDescent="0.2">
      <c r="A55" s="47"/>
      <c r="B55" s="47"/>
      <c r="C55" s="47"/>
      <c r="D55" s="47"/>
      <c r="E55" s="47"/>
      <c r="F55" s="47"/>
      <c r="G55" s="47"/>
      <c r="H55" s="47"/>
      <c r="I55" s="47"/>
      <c r="J55" s="47"/>
      <c r="K55" s="48"/>
    </row>
    <row r="56" spans="1:21" s="48" customFormat="1" ht="31.5" customHeight="1" x14ac:dyDescent="0.2">
      <c r="A56" s="1348" t="s">
        <v>45</v>
      </c>
      <c r="B56" s="1349"/>
      <c r="C56" s="1349"/>
      <c r="D56" s="1349"/>
      <c r="E56" s="1349"/>
      <c r="F56" s="1349"/>
      <c r="G56" s="1349"/>
      <c r="H56" s="1349"/>
      <c r="I56" s="1349"/>
      <c r="J56" s="1349"/>
      <c r="K56" s="46"/>
    </row>
    <row r="57" spans="1:21" s="46" customFormat="1" ht="15" customHeight="1" thickBot="1" x14ac:dyDescent="0.25">
      <c r="A57" s="47"/>
      <c r="B57" s="47"/>
      <c r="C57" s="47"/>
      <c r="D57" s="47"/>
      <c r="E57" s="47"/>
      <c r="K57" s="48"/>
    </row>
    <row r="58" spans="1:21" s="48" customFormat="1" ht="31.5" customHeight="1" thickBot="1" x14ac:dyDescent="0.25">
      <c r="A58" s="1350" t="s">
        <v>38</v>
      </c>
      <c r="B58" s="1351"/>
      <c r="C58" s="1352" t="s">
        <v>46</v>
      </c>
      <c r="D58" s="1353"/>
      <c r="E58" s="1354" t="s">
        <v>238</v>
      </c>
      <c r="F58" s="1379"/>
      <c r="G58" s="1061" t="s">
        <v>553</v>
      </c>
      <c r="J58" s="114"/>
      <c r="L58" s="46"/>
      <c r="Q58" s="47"/>
      <c r="R58" s="47"/>
      <c r="S58" s="47"/>
      <c r="T58" s="47"/>
      <c r="U58" s="47"/>
    </row>
    <row r="59" spans="1:21" s="48" customFormat="1" ht="57.95" customHeight="1" thickBot="1" x14ac:dyDescent="0.25">
      <c r="A59" s="1024" t="s">
        <v>47</v>
      </c>
      <c r="B59" s="1025"/>
      <c r="C59" s="1026" t="e">
        <f>+C44/B26^0.5*1000</f>
        <v>#DIV/0!</v>
      </c>
      <c r="D59" s="1017" t="s">
        <v>3</v>
      </c>
      <c r="E59" s="1027" t="s">
        <v>240</v>
      </c>
      <c r="F59" s="139">
        <f>$B$26-1</f>
        <v>3</v>
      </c>
      <c r="G59" s="1111" t="e">
        <f>(C59/$G$70)^2</f>
        <v>#DIV/0!</v>
      </c>
      <c r="H59" s="47"/>
      <c r="K59" s="156">
        <v>0.3</v>
      </c>
      <c r="L59" s="157">
        <v>1.65</v>
      </c>
      <c r="M59" s="113"/>
    </row>
    <row r="60" spans="1:21" s="48" customFormat="1" ht="57.95" customHeight="1" thickBot="1" x14ac:dyDescent="0.25">
      <c r="A60" s="1019" t="s">
        <v>343</v>
      </c>
      <c r="B60" s="1020" t="s">
        <v>48</v>
      </c>
      <c r="C60" s="1021" t="e">
        <f>+C12/2</f>
        <v>#N/A</v>
      </c>
      <c r="D60" s="1022" t="s">
        <v>3</v>
      </c>
      <c r="E60" s="1023" t="s">
        <v>239</v>
      </c>
      <c r="F60" s="146" t="s">
        <v>265</v>
      </c>
      <c r="G60" s="1112"/>
      <c r="H60" s="1380" t="s">
        <v>241</v>
      </c>
      <c r="I60" s="1356"/>
      <c r="J60" s="1356"/>
      <c r="K60" s="1356"/>
      <c r="L60" s="1356"/>
      <c r="M60" s="1357"/>
    </row>
    <row r="61" spans="1:21" s="48" customFormat="1" ht="57.95" customHeight="1" thickBot="1" x14ac:dyDescent="0.25">
      <c r="A61" s="1028" t="s">
        <v>344</v>
      </c>
      <c r="B61" s="1029"/>
      <c r="C61" s="1030" t="e">
        <f>+C12/3^0.5</f>
        <v>#N/A</v>
      </c>
      <c r="D61" s="1031" t="s">
        <v>3</v>
      </c>
      <c r="E61" s="1032" t="s">
        <v>239</v>
      </c>
      <c r="F61" s="147" t="s">
        <v>265</v>
      </c>
      <c r="G61" s="1112"/>
      <c r="H61" s="132" t="s">
        <v>243</v>
      </c>
      <c r="I61" s="149" t="e">
        <f>MAX(C59:C62,C66:C67,C68)</f>
        <v>#DIV/0!</v>
      </c>
      <c r="J61" s="151" t="e">
        <f>IF((I62)&lt;=(K59),"1,65","2")</f>
        <v>#DIV/0!</v>
      </c>
      <c r="K61" s="152" t="s">
        <v>242</v>
      </c>
      <c r="L61" s="153" t="s">
        <v>237</v>
      </c>
      <c r="M61" s="360" t="s">
        <v>328</v>
      </c>
    </row>
    <row r="62" spans="1:21" s="48" customFormat="1" ht="57.95" customHeight="1" thickBot="1" x14ac:dyDescent="0.3">
      <c r="A62" s="1024" t="s">
        <v>49</v>
      </c>
      <c r="B62" s="1035"/>
      <c r="C62" s="1036" t="e">
        <f>+SQRT(SUMSQ(C60:C61))</f>
        <v>#N/A</v>
      </c>
      <c r="D62" s="1017" t="s">
        <v>3</v>
      </c>
      <c r="E62" s="1037" t="s">
        <v>240</v>
      </c>
      <c r="F62" s="139">
        <v>200</v>
      </c>
      <c r="G62" s="1112" t="e">
        <f t="shared" ref="G62:G68" si="0">(C62/$G$70)^2</f>
        <v>#N/A</v>
      </c>
      <c r="H62" s="133" t="s">
        <v>244</v>
      </c>
      <c r="I62" s="150" t="e">
        <f>SQRT((C59)^2+(C66)^2+(C67)^2)/I61</f>
        <v>#DIV/0!</v>
      </c>
      <c r="J62" s="126"/>
      <c r="K62" s="154" t="s">
        <v>242</v>
      </c>
      <c r="L62" s="155" t="s">
        <v>252</v>
      </c>
      <c r="M62" s="361" t="s">
        <v>329</v>
      </c>
    </row>
    <row r="63" spans="1:21" s="48" customFormat="1" ht="57.95" customHeight="1" x14ac:dyDescent="0.2">
      <c r="A63" s="1019" t="s">
        <v>345</v>
      </c>
      <c r="B63" s="1020"/>
      <c r="C63" s="1033" t="e">
        <f>+I49</f>
        <v>#DIV/0!</v>
      </c>
      <c r="D63" s="1021" t="s">
        <v>73</v>
      </c>
      <c r="E63" s="1034" t="s">
        <v>239</v>
      </c>
      <c r="F63" s="146" t="s">
        <v>265</v>
      </c>
      <c r="G63" s="1112"/>
      <c r="L63" s="46"/>
      <c r="T63" s="46"/>
      <c r="U63" s="46"/>
    </row>
    <row r="64" spans="1:21" s="48" customFormat="1" ht="57.95" customHeight="1" x14ac:dyDescent="0.2">
      <c r="A64" s="426" t="s">
        <v>50</v>
      </c>
      <c r="B64" s="1018"/>
      <c r="C64" s="425" t="e">
        <f>+H11/2</f>
        <v>#N/A</v>
      </c>
      <c r="D64" s="424" t="s">
        <v>73</v>
      </c>
      <c r="E64" s="423" t="s">
        <v>239</v>
      </c>
      <c r="F64" s="148" t="s">
        <v>265</v>
      </c>
      <c r="G64" s="1112"/>
      <c r="H64" s="130"/>
      <c r="J64" s="130"/>
      <c r="K64" s="130"/>
      <c r="L64" s="130"/>
      <c r="M64" s="130"/>
      <c r="Q64" s="47"/>
      <c r="R64" s="47"/>
      <c r="S64" s="47"/>
      <c r="T64" s="47"/>
      <c r="U64" s="47"/>
    </row>
    <row r="65" spans="1:21" s="48" customFormat="1" ht="57.95" customHeight="1" thickBot="1" x14ac:dyDescent="0.25">
      <c r="A65" s="1028" t="s">
        <v>346</v>
      </c>
      <c r="B65" s="1038"/>
      <c r="C65" s="1039" t="e">
        <f>+C14/2</f>
        <v>#N/A</v>
      </c>
      <c r="D65" s="1031" t="s">
        <v>73</v>
      </c>
      <c r="E65" s="1040" t="s">
        <v>239</v>
      </c>
      <c r="F65" s="147" t="s">
        <v>265</v>
      </c>
      <c r="G65" s="1112"/>
      <c r="H65" s="130"/>
      <c r="I65" s="130"/>
      <c r="J65" s="130"/>
      <c r="K65" s="130"/>
      <c r="L65" s="130"/>
      <c r="M65" s="130"/>
      <c r="Q65" s="46"/>
      <c r="R65" s="46"/>
      <c r="S65" s="46"/>
      <c r="T65" s="46"/>
      <c r="U65" s="46"/>
    </row>
    <row r="66" spans="1:21" s="48" customFormat="1" ht="57.95" customHeight="1" thickBot="1" x14ac:dyDescent="0.3">
      <c r="A66" s="1024" t="s">
        <v>347</v>
      </c>
      <c r="B66" s="1035"/>
      <c r="C66" s="1036" t="e">
        <f>+SQRT(ABS(((C10/1000+C11/1000000)*(C13-H10)/(C13*H10)*C63)^2+((C10/1000+C11/1000000)*(I48-I50))^2*C64^2/H10^4+(C10/1000+C11/1000000)^2*(I48-I50)*((I48-I50)-2*(C15-I50))*C65^2/C13^4))*1000000</f>
        <v>#N/A</v>
      </c>
      <c r="D66" s="1051" t="s">
        <v>3</v>
      </c>
      <c r="E66" s="1037" t="s">
        <v>240</v>
      </c>
      <c r="F66" s="139">
        <v>200</v>
      </c>
      <c r="G66" s="1112" t="e">
        <f t="shared" si="0"/>
        <v>#N/A</v>
      </c>
      <c r="H66" s="130"/>
      <c r="I66" s="1093" t="s">
        <v>554</v>
      </c>
      <c r="J66" s="1095" t="s">
        <v>556</v>
      </c>
      <c r="K66" s="1094" t="s">
        <v>555</v>
      </c>
      <c r="L66" s="130"/>
      <c r="M66" s="130"/>
      <c r="Q66" s="47"/>
      <c r="R66" s="47"/>
      <c r="S66" s="47"/>
      <c r="T66" s="47"/>
      <c r="U66" s="47"/>
    </row>
    <row r="67" spans="1:21" s="48" customFormat="1" ht="57.95" customHeight="1" thickBot="1" x14ac:dyDescent="0.3">
      <c r="A67" s="1047" t="s">
        <v>52</v>
      </c>
      <c r="B67" s="1048"/>
      <c r="C67" s="1049" t="e">
        <f>+(G15/2/3^0.5)*2^0.5*1000</f>
        <v>#N/A</v>
      </c>
      <c r="D67" s="1044" t="s">
        <v>3</v>
      </c>
      <c r="E67" s="1045" t="s">
        <v>239</v>
      </c>
      <c r="F67" s="1050">
        <v>200</v>
      </c>
      <c r="G67" s="1112" t="e">
        <f t="shared" si="0"/>
        <v>#N/A</v>
      </c>
      <c r="H67" s="130"/>
      <c r="I67" s="1096" t="e">
        <f>G70^4/((C59^4/F59)+(C62^4/F62)+(C66^4/F66)+(C67^4/F67)+(C68^4/F68))</f>
        <v>#DIV/0!</v>
      </c>
      <c r="J67" s="1097" t="e">
        <f>TINV(0.05,I67)</f>
        <v>#DIV/0!</v>
      </c>
      <c r="K67" s="1098" t="e">
        <f>1-TDIST(J67,I67,2)</f>
        <v>#DIV/0!</v>
      </c>
      <c r="L67" s="130"/>
      <c r="M67" s="130"/>
    </row>
    <row r="68" spans="1:21" s="46" customFormat="1" ht="65.25" customHeight="1" thickBot="1" x14ac:dyDescent="0.3">
      <c r="A68" s="1041" t="s">
        <v>551</v>
      </c>
      <c r="B68" s="1042"/>
      <c r="C68" s="1043">
        <f>0.37/SQRT(45)</f>
        <v>5.5156343444994808E-2</v>
      </c>
      <c r="D68" s="1044" t="s">
        <v>3</v>
      </c>
      <c r="E68" s="1045" t="s">
        <v>240</v>
      </c>
      <c r="F68" s="1046">
        <v>50</v>
      </c>
      <c r="G68" s="1113" t="e">
        <f t="shared" si="0"/>
        <v>#DIV/0!</v>
      </c>
      <c r="H68" s="130"/>
      <c r="I68" s="130"/>
      <c r="J68" s="130"/>
      <c r="K68" s="130"/>
      <c r="L68" s="130"/>
      <c r="M68" s="130"/>
      <c r="S68" s="48"/>
      <c r="T68" s="48"/>
      <c r="U68" s="48"/>
    </row>
    <row r="69" spans="1:21" s="46" customFormat="1" ht="65.25" customHeight="1" thickBot="1" x14ac:dyDescent="0.25">
      <c r="A69" s="130"/>
      <c r="B69" s="130"/>
      <c r="C69" s="130"/>
      <c r="D69" s="130"/>
      <c r="E69" s="130"/>
      <c r="F69" s="130"/>
      <c r="G69" s="1114" t="e">
        <f>SUM(G59,G62,G66,G67,G68)</f>
        <v>#DIV/0!</v>
      </c>
      <c r="H69" s="130"/>
      <c r="I69" s="130"/>
      <c r="J69" s="130"/>
      <c r="K69" s="130"/>
      <c r="L69" s="130"/>
      <c r="M69" s="130"/>
      <c r="S69" s="48"/>
      <c r="T69" s="48"/>
      <c r="U69" s="48"/>
    </row>
    <row r="70" spans="1:21" s="106" customFormat="1" ht="51.75" customHeight="1" thickBot="1" x14ac:dyDescent="0.3">
      <c r="D70" s="1306" t="s">
        <v>51</v>
      </c>
      <c r="E70" s="1307"/>
      <c r="F70" s="134"/>
      <c r="G70" s="140" t="e">
        <f>+SQRT(SUMSQ(C59,C62,C66,C67,C68))</f>
        <v>#DIV/0!</v>
      </c>
      <c r="H70" s="136" t="s">
        <v>3</v>
      </c>
      <c r="K70" s="130"/>
      <c r="L70" s="130"/>
      <c r="M70" s="130"/>
      <c r="S70" s="48"/>
      <c r="T70" s="48"/>
      <c r="U70" s="48"/>
    </row>
    <row r="71" spans="1:21" s="106" customFormat="1" ht="35.1" customHeight="1" thickBot="1" x14ac:dyDescent="0.25">
      <c r="D71" s="1306" t="s">
        <v>53</v>
      </c>
      <c r="E71" s="1307"/>
      <c r="F71" s="135"/>
      <c r="G71" s="140" t="e">
        <f>+G70*2</f>
        <v>#DIV/0!</v>
      </c>
      <c r="H71" s="137" t="s">
        <v>3</v>
      </c>
      <c r="K71" s="110"/>
      <c r="L71" s="107"/>
      <c r="O71" s="48"/>
      <c r="P71" s="48"/>
      <c r="Q71" s="48"/>
      <c r="R71" s="48"/>
      <c r="S71" s="48"/>
      <c r="T71" s="48"/>
      <c r="U71" s="48"/>
    </row>
    <row r="72" spans="1:21" s="106" customFormat="1" ht="33.75" customHeight="1" thickBot="1" x14ac:dyDescent="4.45">
      <c r="B72" s="1313" t="s">
        <v>54</v>
      </c>
      <c r="C72" s="1314"/>
      <c r="D72" s="1314"/>
      <c r="E72" s="1314"/>
      <c r="F72" s="1314"/>
      <c r="G72" s="1314"/>
      <c r="H72" s="1314"/>
      <c r="I72" s="1314"/>
      <c r="J72" s="1314"/>
      <c r="K72" s="1315"/>
      <c r="L72" s="117"/>
      <c r="O72" s="48"/>
      <c r="P72" s="48"/>
      <c r="Q72" s="48"/>
      <c r="R72" s="48"/>
      <c r="S72" s="48"/>
      <c r="T72" s="48"/>
      <c r="U72" s="48"/>
    </row>
    <row r="73" spans="1:21" s="106" customFormat="1" ht="35.1" customHeight="1" thickBot="1" x14ac:dyDescent="0.25">
      <c r="B73" s="1368" t="s">
        <v>255</v>
      </c>
      <c r="C73" s="1369"/>
      <c r="D73" s="1369"/>
      <c r="E73" s="1370"/>
      <c r="F73" s="79"/>
      <c r="G73" s="80"/>
      <c r="H73" s="1371"/>
      <c r="I73" s="1372"/>
      <c r="J73" s="1372"/>
      <c r="K73" s="1373"/>
      <c r="O73" s="48"/>
      <c r="P73" s="48"/>
      <c r="Q73" s="48"/>
      <c r="R73" s="48"/>
      <c r="S73" s="48"/>
      <c r="T73" s="48"/>
      <c r="U73" s="48"/>
    </row>
    <row r="74" spans="1:21" s="106" customFormat="1" ht="40.5" customHeight="1" x14ac:dyDescent="0.2">
      <c r="B74" s="118"/>
      <c r="C74" s="362" t="s">
        <v>348</v>
      </c>
      <c r="D74" s="119" t="s">
        <v>253</v>
      </c>
      <c r="E74" s="120"/>
      <c r="F74" s="1358"/>
      <c r="G74" s="1358"/>
      <c r="H74" s="1359" t="s">
        <v>266</v>
      </c>
      <c r="I74" s="1381" t="s">
        <v>254</v>
      </c>
      <c r="J74" s="1381"/>
      <c r="K74" s="1382"/>
      <c r="O74" s="48"/>
      <c r="P74" s="48"/>
      <c r="Q74" s="48"/>
      <c r="R74" s="48"/>
      <c r="S74" s="48"/>
      <c r="T74" s="48"/>
      <c r="U74" s="48"/>
    </row>
    <row r="75" spans="1:21" s="106" customFormat="1" ht="35.1" customHeight="1" x14ac:dyDescent="0.2">
      <c r="B75" s="81" t="e">
        <f>C10</f>
        <v>#N/A</v>
      </c>
      <c r="C75" s="77" t="e">
        <f>C11</f>
        <v>#N/A</v>
      </c>
      <c r="D75" s="78" t="e">
        <f>H54</f>
        <v>#DIV/0!</v>
      </c>
      <c r="E75" s="216" t="e">
        <f>B75+(C75/1000)+(D75/1000)</f>
        <v>#N/A</v>
      </c>
      <c r="F75" s="296" t="e">
        <f>E75*1000-B75*1000</f>
        <v>#N/A</v>
      </c>
      <c r="G75" s="61"/>
      <c r="H75" s="1360"/>
      <c r="I75" s="282" t="e">
        <f>G71</f>
        <v>#DIV/0!</v>
      </c>
      <c r="J75" s="1364"/>
      <c r="K75" s="1365"/>
      <c r="O75" s="48"/>
      <c r="P75" s="48"/>
      <c r="Q75" s="48"/>
      <c r="R75" s="48"/>
      <c r="S75" s="48"/>
      <c r="T75" s="48"/>
      <c r="U75" s="48"/>
    </row>
    <row r="76" spans="1:21" s="106" customFormat="1" ht="35.1" customHeight="1" thickBot="1" x14ac:dyDescent="0.25">
      <c r="B76" s="87" t="e">
        <f>B75</f>
        <v>#N/A</v>
      </c>
      <c r="C76" s="88" t="e">
        <f>C75</f>
        <v>#N/A</v>
      </c>
      <c r="D76" s="88" t="e">
        <f>D75</f>
        <v>#DIV/0!</v>
      </c>
      <c r="E76" s="217" t="e">
        <f>B76+(C76/1000)+(D76/1000)</f>
        <v>#N/A</v>
      </c>
      <c r="F76" s="262" t="e">
        <f>F75/1000</f>
        <v>#N/A</v>
      </c>
      <c r="G76" s="89"/>
      <c r="H76" s="1361"/>
      <c r="I76" s="263" t="e">
        <f>I75/1000</f>
        <v>#DIV/0!</v>
      </c>
      <c r="J76" s="1366"/>
      <c r="K76" s="1367"/>
      <c r="O76" s="48"/>
      <c r="P76" s="48"/>
      <c r="Q76" s="48"/>
      <c r="R76" s="48"/>
      <c r="S76" s="48"/>
      <c r="T76" s="48"/>
      <c r="U76" s="48"/>
    </row>
    <row r="77" spans="1:21" s="106" customFormat="1" ht="35.1" customHeight="1" x14ac:dyDescent="0.2">
      <c r="G77" s="47"/>
      <c r="H77" s="47"/>
      <c r="I77" s="47"/>
      <c r="J77" s="47"/>
      <c r="O77" s="48"/>
      <c r="P77" s="48"/>
      <c r="Q77" s="48"/>
      <c r="R77" s="48"/>
      <c r="S77" s="48"/>
      <c r="T77" s="48"/>
      <c r="U77" s="48"/>
    </row>
    <row r="78" spans="1:21" s="106" customFormat="1" ht="35.1" customHeight="1" x14ac:dyDescent="0.2">
      <c r="G78" s="47"/>
      <c r="H78" s="47"/>
      <c r="I78" s="47"/>
      <c r="J78" s="47"/>
      <c r="O78" s="48"/>
      <c r="P78" s="48"/>
      <c r="Q78" s="48"/>
      <c r="R78" s="48"/>
      <c r="S78" s="48"/>
      <c r="T78" s="48"/>
      <c r="U78" s="48"/>
    </row>
    <row r="79" spans="1:21" s="106" customFormat="1" ht="35.1" customHeight="1" x14ac:dyDescent="0.2">
      <c r="G79" s="47"/>
      <c r="H79" s="47"/>
      <c r="I79" s="47"/>
      <c r="J79" s="47"/>
    </row>
    <row r="80" spans="1:21" s="107" customFormat="1" ht="35.1" customHeight="1" x14ac:dyDescent="0.2">
      <c r="A80" s="109"/>
      <c r="B80" s="106"/>
      <c r="C80" s="106"/>
      <c r="D80" s="106"/>
      <c r="E80" s="106"/>
      <c r="F80" s="106"/>
      <c r="G80" s="47"/>
      <c r="H80" s="47"/>
    </row>
    <row r="81" spans="2:11" s="111" customFormat="1" ht="35.1" customHeight="1" x14ac:dyDescent="0.2">
      <c r="B81" s="106"/>
      <c r="C81" s="106"/>
      <c r="D81" s="106"/>
      <c r="E81" s="106"/>
      <c r="F81" s="106"/>
      <c r="G81" s="47"/>
      <c r="H81" s="47"/>
    </row>
    <row r="82" spans="2:11" s="106" customFormat="1" ht="61.5" customHeight="1" x14ac:dyDescent="0.2">
      <c r="H82" s="111"/>
      <c r="I82" s="111"/>
      <c r="J82" s="111"/>
      <c r="K82" s="108"/>
    </row>
    <row r="83" spans="2:11" s="106" customFormat="1" ht="35.1" customHeight="1" x14ac:dyDescent="0.2">
      <c r="G83" s="111"/>
      <c r="H83" s="111"/>
      <c r="I83" s="111"/>
      <c r="J83" s="111"/>
      <c r="K83" s="108"/>
    </row>
    <row r="84" spans="2:11" s="106" customFormat="1" ht="35.1" customHeight="1" x14ac:dyDescent="0.2">
      <c r="G84" s="111"/>
      <c r="H84" s="111"/>
      <c r="I84" s="111"/>
      <c r="J84" s="111"/>
      <c r="K84" s="108"/>
    </row>
    <row r="85" spans="2:11" s="106" customFormat="1" ht="35.1" customHeight="1" x14ac:dyDescent="0.2">
      <c r="F85" s="107"/>
      <c r="K85" s="108"/>
    </row>
    <row r="86" spans="2:11" s="106" customFormat="1" ht="50.1" customHeight="1" x14ac:dyDescent="0.2"/>
    <row r="87" spans="2:11" s="106" customFormat="1" ht="57.75" customHeight="1" x14ac:dyDescent="0.2">
      <c r="C87" s="112"/>
      <c r="D87" s="112"/>
      <c r="E87" s="112"/>
    </row>
    <row r="88" spans="2:11" s="106" customFormat="1" ht="35.1" customHeight="1" x14ac:dyDescent="0.2"/>
    <row r="89" spans="2:11" s="106" customFormat="1" ht="35.1" customHeight="1" x14ac:dyDescent="0.2">
      <c r="F89" s="108"/>
      <c r="G89" s="108"/>
      <c r="H89" s="108"/>
      <c r="I89" s="108"/>
      <c r="J89" s="108"/>
    </row>
    <row r="90" spans="2:11" s="106" customFormat="1" ht="35.1" customHeight="1" x14ac:dyDescent="0.2"/>
    <row r="91" spans="2:11" s="106" customFormat="1" ht="50.1" customHeight="1" x14ac:dyDescent="0.2">
      <c r="J91" s="47"/>
    </row>
    <row r="92" spans="2:11" s="106" customFormat="1" ht="55.5" customHeight="1" x14ac:dyDescent="0.2">
      <c r="J92" s="111"/>
    </row>
    <row r="93" spans="2:11" s="106" customFormat="1" ht="50.1" customHeight="1" x14ac:dyDescent="0.2">
      <c r="J93" s="111"/>
    </row>
    <row r="94" spans="2:11" s="107" customFormat="1" ht="31.5" customHeight="1" x14ac:dyDescent="0.2">
      <c r="J94" s="111"/>
    </row>
    <row r="95" spans="2:11" s="106" customFormat="1" ht="35.1" customHeight="1" x14ac:dyDescent="0.2">
      <c r="G95" s="111"/>
      <c r="H95" s="111"/>
      <c r="I95" s="111"/>
      <c r="J95" s="111"/>
    </row>
    <row r="96" spans="2:11" s="106" customFormat="1" ht="35.1" customHeight="1" x14ac:dyDescent="0.2">
      <c r="G96" s="111"/>
      <c r="H96" s="111"/>
      <c r="I96" s="111"/>
      <c r="J96" s="111"/>
    </row>
    <row r="97" spans="1:12" s="106" customFormat="1" ht="9.9499999999999993" customHeight="1" x14ac:dyDescent="0.2">
      <c r="G97" s="108"/>
      <c r="H97" s="108"/>
      <c r="I97" s="108"/>
      <c r="J97" s="108"/>
    </row>
    <row r="98" spans="1:12" s="106" customFormat="1" ht="35.1" customHeight="1" x14ac:dyDescent="0.2">
      <c r="J98" s="108"/>
      <c r="K98" s="108"/>
      <c r="L98" s="108"/>
    </row>
    <row r="99" spans="1:12" s="46" customFormat="1" ht="15" customHeight="1" x14ac:dyDescent="0.2">
      <c r="A99" s="47"/>
      <c r="G99" s="47"/>
      <c r="H99" s="47"/>
      <c r="I99" s="47"/>
      <c r="J99" s="47"/>
      <c r="K99" s="48"/>
    </row>
    <row r="100" spans="1:12" s="48" customFormat="1" ht="31.5" customHeight="1" x14ac:dyDescent="0.2">
      <c r="A100" s="47"/>
      <c r="B100" s="47"/>
      <c r="C100" s="47"/>
      <c r="D100" s="47"/>
      <c r="E100" s="47"/>
      <c r="F100" s="47"/>
      <c r="G100" s="47"/>
      <c r="H100" s="47"/>
      <c r="I100" s="47"/>
      <c r="J100" s="47"/>
    </row>
    <row r="101" spans="1:12" s="48" customFormat="1" ht="31.5" customHeight="1" x14ac:dyDescent="0.2"/>
    <row r="102" spans="1:12" s="48" customFormat="1" ht="31.5" customHeight="1" x14ac:dyDescent="0.2"/>
    <row r="103" spans="1:12" s="48" customFormat="1" ht="52.5" customHeight="1" x14ac:dyDescent="0.2"/>
    <row r="104" spans="1:12" s="48" customFormat="1" ht="31.5" customHeight="1" x14ac:dyDescent="0.2">
      <c r="K104" s="8"/>
    </row>
    <row r="105" spans="1:12" s="48" customFormat="1" ht="31.5" customHeight="1" x14ac:dyDescent="0.2">
      <c r="K105" s="8"/>
    </row>
    <row r="106" spans="1:12" ht="31.5" customHeight="1" x14ac:dyDescent="0.2">
      <c r="G106" s="76"/>
    </row>
    <row r="107" spans="1:12" ht="51" customHeight="1" x14ac:dyDescent="0.2"/>
    <row r="109" spans="1:12" ht="31.5" customHeight="1" x14ac:dyDescent="0.2">
      <c r="B109" s="29"/>
      <c r="C109" s="29"/>
      <c r="D109" s="29"/>
      <c r="E109" s="29"/>
      <c r="F109" s="29"/>
      <c r="G109" s="29"/>
      <c r="H109" s="29"/>
      <c r="I109" s="29"/>
      <c r="J109" s="29"/>
    </row>
    <row r="110" spans="1:12" ht="31.5" customHeight="1" x14ac:dyDescent="0.2">
      <c r="B110" s="29"/>
      <c r="C110" s="29"/>
      <c r="D110" s="29"/>
      <c r="E110" s="29"/>
      <c r="F110" s="29"/>
      <c r="G110" s="29"/>
      <c r="H110" s="29"/>
      <c r="I110" s="29"/>
      <c r="J110" s="29"/>
    </row>
    <row r="111" spans="1:12" ht="31.5" customHeight="1" x14ac:dyDescent="0.2">
      <c r="B111" s="29"/>
      <c r="C111" s="29"/>
      <c r="D111" s="29"/>
      <c r="E111" s="29"/>
      <c r="F111" s="29"/>
      <c r="G111" s="29"/>
      <c r="H111" s="29"/>
      <c r="I111" s="29"/>
      <c r="J111" s="29"/>
    </row>
    <row r="112" spans="1:12" ht="31.5" customHeight="1" x14ac:dyDescent="0.2">
      <c r="B112" s="29"/>
      <c r="C112" s="29"/>
      <c r="D112" s="29"/>
      <c r="E112" s="29"/>
      <c r="F112" s="29"/>
      <c r="G112" s="29"/>
      <c r="H112" s="29"/>
      <c r="I112" s="29"/>
      <c r="J112" s="29"/>
    </row>
    <row r="113" spans="2:10" ht="31.5" customHeight="1" x14ac:dyDescent="0.2">
      <c r="B113" s="29"/>
      <c r="C113" s="29"/>
      <c r="D113" s="29"/>
      <c r="E113" s="29"/>
      <c r="F113" s="29"/>
      <c r="G113" s="29"/>
      <c r="H113" s="29"/>
      <c r="I113" s="29"/>
      <c r="J113" s="29"/>
    </row>
    <row r="114" spans="2:10" ht="31.5" customHeight="1" x14ac:dyDescent="0.2">
      <c r="B114" s="29"/>
      <c r="C114" s="29"/>
      <c r="D114" s="29"/>
      <c r="E114" s="29"/>
      <c r="F114" s="29"/>
      <c r="G114" s="29"/>
      <c r="H114" s="29"/>
      <c r="I114" s="29"/>
      <c r="J114" s="29"/>
    </row>
    <row r="115" spans="2:10" ht="31.5" customHeight="1" x14ac:dyDescent="0.2">
      <c r="B115" s="29"/>
      <c r="C115" s="29"/>
      <c r="D115" s="29"/>
      <c r="E115" s="29"/>
      <c r="F115" s="29"/>
      <c r="G115" s="29"/>
      <c r="H115" s="29"/>
      <c r="I115" s="29"/>
      <c r="J115" s="29"/>
    </row>
  </sheetData>
  <sheetProtection password="CF5C" sheet="1" objects="1" scenarios="1"/>
  <mergeCells count="62">
    <mergeCell ref="A13:B13"/>
    <mergeCell ref="F13:I13"/>
    <mergeCell ref="A1:B1"/>
    <mergeCell ref="C1:M1"/>
    <mergeCell ref="I3:J4"/>
    <mergeCell ref="A6:D6"/>
    <mergeCell ref="F6:I6"/>
    <mergeCell ref="F9:G9"/>
    <mergeCell ref="A10:B10"/>
    <mergeCell ref="F10:G10"/>
    <mergeCell ref="A11:B11"/>
    <mergeCell ref="F11:G11"/>
    <mergeCell ref="A12:B12"/>
    <mergeCell ref="A27:B27"/>
    <mergeCell ref="G27:H27"/>
    <mergeCell ref="A14:B14"/>
    <mergeCell ref="A15:B15"/>
    <mergeCell ref="A16:B16"/>
    <mergeCell ref="C16:D16"/>
    <mergeCell ref="A18:J18"/>
    <mergeCell ref="F19:G19"/>
    <mergeCell ref="J19:J20"/>
    <mergeCell ref="A20:B20"/>
    <mergeCell ref="E20:F20"/>
    <mergeCell ref="A22:J22"/>
    <mergeCell ref="C24:D24"/>
    <mergeCell ref="F24:G24"/>
    <mergeCell ref="C26:F26"/>
    <mergeCell ref="G26:H26"/>
    <mergeCell ref="A49:B49"/>
    <mergeCell ref="G49:H49"/>
    <mergeCell ref="A28:A31"/>
    <mergeCell ref="C33:D33"/>
    <mergeCell ref="F33:G33"/>
    <mergeCell ref="A36:J36"/>
    <mergeCell ref="B38:F38"/>
    <mergeCell ref="H38:J38"/>
    <mergeCell ref="H39:J42"/>
    <mergeCell ref="A46:J46"/>
    <mergeCell ref="A47:B48"/>
    <mergeCell ref="C47:E47"/>
    <mergeCell ref="G48:H48"/>
    <mergeCell ref="A56:J56"/>
    <mergeCell ref="A58:B58"/>
    <mergeCell ref="C58:D58"/>
    <mergeCell ref="E58:F58"/>
    <mergeCell ref="H60:M60"/>
    <mergeCell ref="A50:B50"/>
    <mergeCell ref="G50:H50"/>
    <mergeCell ref="A52:J52"/>
    <mergeCell ref="D53:E53"/>
    <mergeCell ref="H53:I53"/>
    <mergeCell ref="F74:G74"/>
    <mergeCell ref="H74:H76"/>
    <mergeCell ref="I74:K74"/>
    <mergeCell ref="J75:K75"/>
    <mergeCell ref="J76:K76"/>
    <mergeCell ref="D70:E70"/>
    <mergeCell ref="D71:E71"/>
    <mergeCell ref="B72:K72"/>
    <mergeCell ref="B73:E73"/>
    <mergeCell ref="H73:K73"/>
  </mergeCells>
  <printOptions horizontalCentered="1"/>
  <pageMargins left="0.70866141732283472" right="0.70866141732283472" top="0.74803149606299213" bottom="0.74803149606299213" header="0.31496062992125984" footer="0.31496062992125984"/>
  <pageSetup scale="13" orientation="portrait" r:id="rId1"/>
  <headerFooter>
    <oddHeader xml:space="preserve">&amp;C
&amp;16   
</oddHeader>
    <oddFooter xml:space="preserve">&amp;RRT03-F13 Vr.14 (2021-05-21)
</oddFooter>
  </headerFooter>
  <rowBreaks count="1" manualBreakCount="1">
    <brk id="34" max="12" man="1"/>
  </rowBreaks>
  <drawing r:id="rId2"/>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2000-000000000000}">
          <x14:formula1>
            <xm:f>'DATOS %'!$V$161:$V$165</xm:f>
          </x14:formula1>
          <xm:sqref>H25</xm:sqref>
        </x14:dataValidation>
        <x14:dataValidation type="list" allowBlank="1" showInputMessage="1" showErrorMessage="1" xr:uid="{00000000-0002-0000-2000-000001000000}">
          <x14:formula1>
            <xm:f>'DATOS %'!$V$120:$V$126</xm:f>
          </x14:formula1>
          <xm:sqref>J13</xm:sqref>
        </x14:dataValidation>
        <x14:dataValidation type="list" allowBlank="1" showInputMessage="1" showErrorMessage="1" xr:uid="{00000000-0002-0000-2000-000002000000}">
          <x14:formula1>
            <xm:f>'DATOS %'!$N$29:$N$113</xm:f>
          </x14:formula1>
          <xm:sqref>E6</xm:sqref>
        </x14:dataValidation>
        <x14:dataValidation type="list" allowBlank="1" showInputMessage="1" showErrorMessage="1" xr:uid="{00000000-0002-0000-2000-000003000000}">
          <x14:formula1>
            <xm:f>'DATOS %'!$N$121:$N$166</xm:f>
          </x14:formula1>
          <xm:sqref>F48</xm:sqref>
        </x14:dataValidation>
        <x14:dataValidation type="list" allowBlank="1" showInputMessage="1" showErrorMessage="1" xr:uid="{00000000-0002-0000-2000-000004000000}">
          <x14:formula1>
            <xm:f>'DATOS %'!$J$174:$J$179</xm:f>
          </x14:formula1>
          <xm:sqref>J19:J20</xm:sqref>
        </x14:dataValidation>
        <x14:dataValidation type="list" allowBlank="1" showInputMessage="1" showErrorMessage="1" xr:uid="{00000000-0002-0000-2000-000005000000}">
          <x14:formula1>
            <xm:f>'DATOS %'!$B$7:$B$40</xm:f>
          </x14:formula1>
          <xm:sqref>I3:J4</xm:sqref>
        </x14:dataValidation>
      </x14:dataValidations>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U115"/>
  <sheetViews>
    <sheetView showGridLines="0" view="pageBreakPreview" zoomScale="80" zoomScaleNormal="60" zoomScaleSheetLayoutView="80" workbookViewId="0">
      <selection activeCell="C65" sqref="C65"/>
    </sheetView>
  </sheetViews>
  <sheetFormatPr baseColWidth="10" defaultColWidth="11.42578125" defaultRowHeight="31.5" customHeight="1" x14ac:dyDescent="0.2"/>
  <cols>
    <col min="1" max="1" width="14.7109375" style="37" customWidth="1"/>
    <col min="2" max="2" width="12" style="37" customWidth="1"/>
    <col min="3" max="3" width="15.7109375" style="37" customWidth="1"/>
    <col min="4" max="4" width="17" style="37" customWidth="1"/>
    <col min="5" max="5" width="15.5703125" style="37" customWidth="1"/>
    <col min="6" max="6" width="18.5703125" style="37" customWidth="1"/>
    <col min="7" max="7" width="15.7109375" style="37" customWidth="1"/>
    <col min="8" max="8" width="24.42578125" style="37" bestFit="1" customWidth="1"/>
    <col min="9" max="9" width="13.85546875" style="37" bestFit="1" customWidth="1"/>
    <col min="10" max="10" width="13.7109375" style="37" customWidth="1"/>
    <col min="11" max="19" width="11.42578125" style="8"/>
    <col min="20" max="20" width="15.85546875" style="8" bestFit="1" customWidth="1"/>
    <col min="21" max="21" width="14.42578125" style="8" bestFit="1" customWidth="1"/>
    <col min="22" max="16384" width="11.42578125" style="8"/>
  </cols>
  <sheetData>
    <row r="1" spans="1:16" ht="60" customHeight="1" thickBot="1" x14ac:dyDescent="0.25">
      <c r="A1" s="1257"/>
      <c r="B1" s="1258"/>
      <c r="C1" s="1259" t="s">
        <v>57</v>
      </c>
      <c r="D1" s="1260"/>
      <c r="E1" s="1260"/>
      <c r="F1" s="1260"/>
      <c r="G1" s="1260"/>
      <c r="H1" s="1260"/>
      <c r="I1" s="1260"/>
      <c r="J1" s="1260"/>
      <c r="K1" s="1260"/>
      <c r="L1" s="1260"/>
      <c r="M1" s="1261"/>
      <c r="N1" s="7"/>
      <c r="O1" s="7"/>
      <c r="P1" s="7"/>
    </row>
    <row r="2" spans="1:16" s="11" customFormat="1" ht="9.75" customHeight="1" thickBot="1" x14ac:dyDescent="0.25">
      <c r="A2" s="9"/>
      <c r="B2" s="9"/>
      <c r="C2" s="10"/>
      <c r="D2" s="10"/>
      <c r="E2" s="10"/>
      <c r="F2" s="10"/>
      <c r="G2" s="10"/>
      <c r="H2" s="10"/>
      <c r="K2" s="12"/>
      <c r="M2" s="7"/>
    </row>
    <row r="3" spans="1:16" s="12" customFormat="1" ht="35.25" customHeight="1" thickBot="1" x14ac:dyDescent="0.25">
      <c r="A3" s="13" t="s">
        <v>17</v>
      </c>
      <c r="B3" s="14" t="s">
        <v>55</v>
      </c>
      <c r="C3" s="15" t="s">
        <v>209</v>
      </c>
      <c r="D3" s="15" t="s">
        <v>56</v>
      </c>
      <c r="E3" s="15" t="s">
        <v>8</v>
      </c>
      <c r="F3" s="16" t="s">
        <v>18</v>
      </c>
      <c r="G3" s="16" t="s">
        <v>297</v>
      </c>
      <c r="H3" s="17" t="s">
        <v>24</v>
      </c>
      <c r="I3" s="1262"/>
      <c r="J3" s="1263"/>
      <c r="K3" s="11"/>
      <c r="M3" s="7"/>
    </row>
    <row r="4" spans="1:16" s="11" customFormat="1" ht="32.25" customHeight="1" thickBot="1" x14ac:dyDescent="0.25">
      <c r="A4" s="18" t="e">
        <f>VLOOKUP($I$3,'DATOS %'!B7:J40,2,FALSE)</f>
        <v>#N/A</v>
      </c>
      <c r="B4" s="212" t="e">
        <f>VLOOKUP($I$3,'DATOS %'!$B$7:$J$40,3,FALSE)</f>
        <v>#N/A</v>
      </c>
      <c r="C4" s="19" t="e">
        <f>VLOOKUP($I$3,'DATOS %'!$B$7:$J$40,8,FALSE)</f>
        <v>#N/A</v>
      </c>
      <c r="D4" s="19" t="e">
        <f>VLOOKUP($I$3,'DATOS %'!$B$7:$J$40,6,FALSE)</f>
        <v>#N/A</v>
      </c>
      <c r="E4" s="212" t="e">
        <f>VLOOKUP($I$3,'DATOS %'!$B$7:$J$40,7,FALSE)</f>
        <v>#N/A</v>
      </c>
      <c r="F4" s="18" t="e">
        <f>VLOOKUP($I$3,'DATOS %'!$B$7:$J$40,4,FALSE)</f>
        <v>#N/A</v>
      </c>
      <c r="G4" s="18" t="e">
        <f>VLOOKUP($I$3,'DATOS %'!$B$7:$J$40,5,FALSE)</f>
        <v>#N/A</v>
      </c>
      <c r="H4" s="19" t="e">
        <f>VLOOKUP($I$3,'DATOS %'!$B$7:$J$40,9,FALSE)</f>
        <v>#N/A</v>
      </c>
      <c r="I4" s="1264"/>
      <c r="J4" s="1265"/>
      <c r="K4" s="8"/>
      <c r="L4" s="20"/>
      <c r="M4" s="20"/>
    </row>
    <row r="5" spans="1:16" s="22" customFormat="1" ht="6.75" customHeight="1" thickBot="1" x14ac:dyDescent="0.25">
      <c r="A5" s="21"/>
      <c r="B5" s="21"/>
      <c r="C5" s="21"/>
      <c r="F5" s="21"/>
      <c r="G5" s="21"/>
      <c r="H5" s="21"/>
      <c r="K5" s="8"/>
    </row>
    <row r="6" spans="1:16" ht="31.5" customHeight="1" thickBot="1" x14ac:dyDescent="0.25">
      <c r="A6" s="1266" t="s">
        <v>19</v>
      </c>
      <c r="B6" s="1267"/>
      <c r="C6" s="1267"/>
      <c r="D6" s="1268"/>
      <c r="E6" s="4"/>
      <c r="F6" s="1266" t="s">
        <v>20</v>
      </c>
      <c r="G6" s="1267"/>
      <c r="H6" s="1267"/>
      <c r="I6" s="1268"/>
      <c r="J6" s="402">
        <f>I3</f>
        <v>0</v>
      </c>
    </row>
    <row r="7" spans="1:16" ht="31.5" customHeight="1" x14ac:dyDescent="0.2">
      <c r="A7" s="23" t="s">
        <v>21</v>
      </c>
      <c r="B7" s="24" t="e">
        <f>VLOOKUP($E$6,'DATOS %'!N11:AA113,2,FALSE)</f>
        <v>#N/A</v>
      </c>
      <c r="C7" s="25" t="s">
        <v>10</v>
      </c>
      <c r="D7" s="26" t="e">
        <f>VLOOKUP($E$6,'DATOS %'!N11:AA113,3,FALSE)</f>
        <v>#N/A</v>
      </c>
      <c r="E7" s="27"/>
      <c r="F7" s="23" t="s">
        <v>21</v>
      </c>
      <c r="G7" s="24" t="e">
        <f>VLOOKUP($J$6,'DATOS %'!B47:I79,2,FALSE)</f>
        <v>#N/A</v>
      </c>
      <c r="H7" s="28" t="s">
        <v>10</v>
      </c>
      <c r="I7" s="26" t="e">
        <f>VLOOKUP($J$6,'DATOS %'!B47:I79,3,FALSE)</f>
        <v>#N/A</v>
      </c>
      <c r="J7" s="29"/>
    </row>
    <row r="8" spans="1:16" ht="31.5" customHeight="1" x14ac:dyDescent="0.2">
      <c r="A8" s="30" t="s">
        <v>22</v>
      </c>
      <c r="B8" s="31" t="e">
        <f>VLOOKUP($E$6,'DATOS %'!N11:AA113,4,FALSE)</f>
        <v>#N/A</v>
      </c>
      <c r="C8" s="32" t="s">
        <v>23</v>
      </c>
      <c r="D8" s="33" t="e">
        <f>VLOOKUP($E$6,'DATOS %'!N11:AA113,5,FALSE)</f>
        <v>#N/A</v>
      </c>
      <c r="E8" s="27"/>
      <c r="F8" s="30" t="s">
        <v>22</v>
      </c>
      <c r="G8" s="31" t="e">
        <f>VLOOKUP($J$6,'DATOS %'!B47:I79,4,FALSE)</f>
        <v>#N/A</v>
      </c>
      <c r="H8" s="32" t="s">
        <v>23</v>
      </c>
      <c r="I8" s="297" t="e">
        <f>VLOOKUP($J$6,'DATOS %'!B47:I79,5,FALSE)</f>
        <v>#N/A</v>
      </c>
      <c r="J8" s="29"/>
    </row>
    <row r="9" spans="1:16" ht="31.5" customHeight="1" x14ac:dyDescent="0.2">
      <c r="A9" s="34" t="s">
        <v>24</v>
      </c>
      <c r="B9" s="31" t="e">
        <f>VLOOKUP($E$6,'DATOS %'!N11:AA113,6,FALSE)</f>
        <v>#N/A</v>
      </c>
      <c r="C9" s="35" t="s">
        <v>15</v>
      </c>
      <c r="D9" s="36" t="e">
        <f>VLOOKUP($E$6,'DATOS %'!N11:AA113,7,FALSE)</f>
        <v>#N/A</v>
      </c>
      <c r="F9" s="1252" t="s">
        <v>62</v>
      </c>
      <c r="G9" s="1253"/>
      <c r="H9" s="31" t="e">
        <f>VLOOKUP($J$6,'DATOS %'!B47:I79,6,FALSE)</f>
        <v>#N/A</v>
      </c>
      <c r="I9" s="33" t="s">
        <v>1</v>
      </c>
      <c r="J9" s="29"/>
      <c r="K9" s="208"/>
    </row>
    <row r="10" spans="1:16" s="38" customFormat="1" ht="31.5" customHeight="1" x14ac:dyDescent="0.25">
      <c r="A10" s="1252" t="s">
        <v>63</v>
      </c>
      <c r="B10" s="1253"/>
      <c r="C10" s="223" t="e">
        <f>VLOOKUP($E$6,'DATOS %'!N11:AA113,8,FALSE)</f>
        <v>#N/A</v>
      </c>
      <c r="D10" s="33" t="s">
        <v>1</v>
      </c>
      <c r="F10" s="1252" t="s">
        <v>64</v>
      </c>
      <c r="G10" s="1253"/>
      <c r="H10" s="213" t="e">
        <f>VLOOKUP($J$6,'DATOS %'!B47:I79,7,FALSE)</f>
        <v>#N/A</v>
      </c>
      <c r="I10" s="33" t="s">
        <v>76</v>
      </c>
      <c r="J10" s="39"/>
    </row>
    <row r="11" spans="1:16" s="38" customFormat="1" ht="31.5" customHeight="1" thickBot="1" x14ac:dyDescent="0.3">
      <c r="A11" s="1252" t="s">
        <v>65</v>
      </c>
      <c r="B11" s="1253"/>
      <c r="C11" s="31" t="e">
        <f>VLOOKUP($E$6,'DATOS %'!N11:AA113,9,FALSE)</f>
        <v>#N/A</v>
      </c>
      <c r="D11" s="33" t="s">
        <v>3</v>
      </c>
      <c r="E11" s="40"/>
      <c r="F11" s="1271" t="s">
        <v>66</v>
      </c>
      <c r="G11" s="1272"/>
      <c r="H11" s="41" t="e">
        <f>VLOOKUP($J$6,'DATOS %'!B47:I79,8,FALSE)</f>
        <v>#N/A</v>
      </c>
      <c r="I11" s="45" t="s">
        <v>76</v>
      </c>
      <c r="J11" s="39"/>
    </row>
    <row r="12" spans="1:16" s="38" customFormat="1" ht="31.5" customHeight="1" thickBot="1" x14ac:dyDescent="0.3">
      <c r="A12" s="1252" t="s">
        <v>67</v>
      </c>
      <c r="B12" s="1253"/>
      <c r="C12" s="31" t="e">
        <f>VLOOKUP($E$6,'DATOS %'!N11:AA113,10,FALSE)</f>
        <v>#N/A</v>
      </c>
      <c r="D12" s="33" t="s">
        <v>3</v>
      </c>
      <c r="E12" s="39"/>
      <c r="F12" s="39"/>
      <c r="G12" s="39"/>
      <c r="H12" s="39"/>
    </row>
    <row r="13" spans="1:16" s="38" customFormat="1" ht="31.5" customHeight="1" thickBot="1" x14ac:dyDescent="0.3">
      <c r="A13" s="1252" t="s">
        <v>68</v>
      </c>
      <c r="B13" s="1253"/>
      <c r="C13" s="213" t="e">
        <f>VLOOKUP($E$6,'DATOS %'!N11:AA113,11,FALSE)</f>
        <v>#N/A</v>
      </c>
      <c r="D13" s="33" t="s">
        <v>76</v>
      </c>
      <c r="E13" s="39"/>
      <c r="F13" s="1254" t="s">
        <v>559</v>
      </c>
      <c r="G13" s="1255"/>
      <c r="H13" s="1255"/>
      <c r="I13" s="1256"/>
      <c r="J13" s="5"/>
    </row>
    <row r="14" spans="1:16" s="38" customFormat="1" ht="31.5" customHeight="1" x14ac:dyDescent="0.2">
      <c r="A14" s="1252" t="s">
        <v>305</v>
      </c>
      <c r="B14" s="1253"/>
      <c r="C14" s="31" t="e">
        <f>VLOOKUP($E$6,'DATOS %'!N11:AA113,12,FALSE)</f>
        <v>#N/A</v>
      </c>
      <c r="D14" s="33" t="s">
        <v>76</v>
      </c>
      <c r="E14" s="39"/>
      <c r="F14" s="23" t="s">
        <v>10</v>
      </c>
      <c r="G14" s="24" t="e">
        <f>VLOOKUP($J$13,'DATOS %'!$V$119:$Y$126,2,FALSE)</f>
        <v>#N/A</v>
      </c>
      <c r="H14" s="28" t="s">
        <v>22</v>
      </c>
      <c r="I14" s="24" t="e">
        <f>VLOOKUP($J$13,'DATOS %'!$V$119:$Z$126,3,FALSE)</f>
        <v>#N/A</v>
      </c>
      <c r="J14" s="42"/>
      <c r="K14" s="8"/>
    </row>
    <row r="15" spans="1:16" ht="31.5" customHeight="1" thickBot="1" x14ac:dyDescent="0.25">
      <c r="A15" s="1277" t="s">
        <v>69</v>
      </c>
      <c r="B15" s="1278"/>
      <c r="C15" s="31" t="e">
        <f>VLOOKUP($E$6,'DATOS %'!N11:AA113,13,FALSE)</f>
        <v>#N/A</v>
      </c>
      <c r="D15" s="33" t="s">
        <v>76</v>
      </c>
      <c r="E15" s="29"/>
      <c r="F15" s="43" t="s">
        <v>61</v>
      </c>
      <c r="G15" s="41" t="e">
        <f>VLOOKUP($J$13,'DATOS %'!$V$119:$Y$126,4,FALSE)</f>
        <v>#N/A</v>
      </c>
      <c r="H15" s="41" t="s">
        <v>1</v>
      </c>
      <c r="I15" s="240" t="s">
        <v>210</v>
      </c>
      <c r="J15" s="45" t="e">
        <f>VLOOKUP($J$13,'DATOS %'!$V$119:$Z$126,5,FALSE)</f>
        <v>#N/A</v>
      </c>
      <c r="K15" s="22"/>
    </row>
    <row r="16" spans="1:16" ht="30.95" customHeight="1" thickBot="1" x14ac:dyDescent="0.25">
      <c r="A16" s="1279" t="s">
        <v>210</v>
      </c>
      <c r="B16" s="1280"/>
      <c r="C16" s="1281" t="e">
        <f>VLOOKUP($E$6,'DATOS %'!N11:AA113,14,FALSE)</f>
        <v>#N/A</v>
      </c>
      <c r="D16" s="1282"/>
      <c r="E16" s="29"/>
      <c r="F16" s="8"/>
      <c r="G16" s="8"/>
      <c r="H16" s="8"/>
      <c r="I16" s="8"/>
      <c r="J16" s="8"/>
    </row>
    <row r="17" spans="1:11" s="22" customFormat="1" ht="30.95" customHeight="1" thickBot="1" x14ac:dyDescent="0.25">
      <c r="A17" s="29"/>
      <c r="B17" s="29"/>
      <c r="C17" s="29"/>
      <c r="D17" s="29"/>
      <c r="E17" s="29"/>
      <c r="F17" s="29"/>
      <c r="G17" s="29"/>
      <c r="H17" s="29"/>
      <c r="I17" s="29"/>
      <c r="J17" s="29"/>
      <c r="K17" s="8"/>
    </row>
    <row r="18" spans="1:11" ht="31.5" customHeight="1" thickBot="1" x14ac:dyDescent="0.25">
      <c r="A18" s="1331" t="s">
        <v>26</v>
      </c>
      <c r="B18" s="1332"/>
      <c r="C18" s="1332"/>
      <c r="D18" s="1332"/>
      <c r="E18" s="1332"/>
      <c r="F18" s="1332"/>
      <c r="G18" s="1332"/>
      <c r="H18" s="1332"/>
      <c r="I18" s="1332"/>
      <c r="J18" s="1333"/>
    </row>
    <row r="19" spans="1:11" ht="46.5" customHeight="1" thickBot="1" x14ac:dyDescent="0.25">
      <c r="A19" s="407" t="s">
        <v>10</v>
      </c>
      <c r="B19" s="101" t="e">
        <f>VLOOKUP(J19,'DATOS %'!J174:W180,2,FALSE)</f>
        <v>#N/A</v>
      </c>
      <c r="C19" s="95" t="s">
        <v>7</v>
      </c>
      <c r="D19" s="408" t="e">
        <f>VLOOKUP(J19,'DATOS %'!J174:W180,3,FALSE)</f>
        <v>#N/A</v>
      </c>
      <c r="E19" s="409" t="s">
        <v>24</v>
      </c>
      <c r="F19" s="1286" t="e">
        <f>VLOOKUP(J19,'DATOS %'!J174:W180,5,FALSE)</f>
        <v>#N/A</v>
      </c>
      <c r="G19" s="1287"/>
      <c r="H19" s="95" t="s">
        <v>25</v>
      </c>
      <c r="I19" s="212" t="e">
        <f>VLOOKUP(J19,'DATOS %'!J174:W180,4,FALSE)</f>
        <v>#N/A</v>
      </c>
      <c r="J19" s="1374"/>
    </row>
    <row r="20" spans="1:11" ht="31.5" customHeight="1" thickBot="1" x14ac:dyDescent="0.25">
      <c r="A20" s="1290" t="s">
        <v>316</v>
      </c>
      <c r="B20" s="1291"/>
      <c r="C20" s="94" t="s">
        <v>27</v>
      </c>
      <c r="D20" s="101" t="e">
        <f>VLOOKUP(J19,'DATOS %'!J174:W180,6,FALSE)</f>
        <v>#N/A</v>
      </c>
      <c r="E20" s="1292" t="s">
        <v>326</v>
      </c>
      <c r="F20" s="1293"/>
      <c r="G20" s="101" t="e">
        <f>VLOOKUP(J19,'DATOS %'!J174:W180,7,FALSE)</f>
        <v>#N/A</v>
      </c>
      <c r="H20" s="95" t="s">
        <v>9</v>
      </c>
      <c r="I20" s="214" t="e">
        <f>VLOOKUP(J19,'DATOS %'!J174:W180,8,FALSE)</f>
        <v>#N/A</v>
      </c>
      <c r="J20" s="1289"/>
    </row>
    <row r="21" spans="1:11" s="46" customFormat="1" ht="15" customHeight="1" thickBot="1" x14ac:dyDescent="0.25">
      <c r="A21" s="47"/>
      <c r="B21" s="47"/>
      <c r="C21" s="47"/>
      <c r="D21" s="47"/>
      <c r="E21" s="47"/>
      <c r="F21" s="47"/>
      <c r="G21" s="47"/>
      <c r="H21" s="47"/>
      <c r="I21" s="47"/>
      <c r="J21" s="47"/>
      <c r="K21" s="8"/>
    </row>
    <row r="22" spans="1:11" s="48" customFormat="1" ht="31.5" customHeight="1" thickBot="1" x14ac:dyDescent="0.25">
      <c r="A22" s="1294" t="s">
        <v>28</v>
      </c>
      <c r="B22" s="1295"/>
      <c r="C22" s="1295"/>
      <c r="D22" s="1295"/>
      <c r="E22" s="1295"/>
      <c r="F22" s="1295"/>
      <c r="G22" s="1295"/>
      <c r="H22" s="1295"/>
      <c r="I22" s="1295"/>
      <c r="J22" s="1296"/>
      <c r="K22" s="47"/>
    </row>
    <row r="23" spans="1:11" s="47" customFormat="1" ht="2.25" customHeight="1" thickBot="1" x14ac:dyDescent="0.25">
      <c r="A23" s="49"/>
      <c r="B23" s="50"/>
      <c r="C23" s="50"/>
      <c r="D23" s="50"/>
      <c r="E23" s="50"/>
      <c r="F23" s="50"/>
      <c r="G23" s="50"/>
      <c r="H23" s="50"/>
      <c r="I23" s="50"/>
      <c r="J23" s="51"/>
      <c r="K23" s="48"/>
    </row>
    <row r="24" spans="1:11" s="48" customFormat="1" ht="31.5" customHeight="1" thickBot="1" x14ac:dyDescent="0.25">
      <c r="A24" s="52" t="s">
        <v>29</v>
      </c>
      <c r="B24" s="916"/>
      <c r="C24" s="1682" t="s">
        <v>27</v>
      </c>
      <c r="D24" s="1683"/>
      <c r="E24" s="1"/>
      <c r="F24" s="1684" t="s">
        <v>307</v>
      </c>
      <c r="G24" s="1685"/>
      <c r="H24" s="2"/>
      <c r="I24" s="972" t="s">
        <v>9</v>
      </c>
      <c r="J24" s="215"/>
      <c r="K24" s="46"/>
    </row>
    <row r="25" spans="1:11" s="46" customFormat="1" ht="15" customHeight="1" thickBot="1" x14ac:dyDescent="0.25">
      <c r="A25" s="47"/>
      <c r="B25" s="47"/>
      <c r="C25" s="47"/>
      <c r="D25" s="47"/>
      <c r="E25" s="47"/>
      <c r="F25" s="47"/>
      <c r="G25" s="47"/>
      <c r="H25" s="6"/>
      <c r="I25" s="47"/>
      <c r="K25" s="48"/>
    </row>
    <row r="26" spans="1:11" s="48" customFormat="1" ht="29.25" customHeight="1" thickBot="1" x14ac:dyDescent="0.25">
      <c r="A26" s="115" t="s">
        <v>129</v>
      </c>
      <c r="B26" s="105">
        <v>4</v>
      </c>
      <c r="C26" s="1301" t="s">
        <v>30</v>
      </c>
      <c r="D26" s="1302"/>
      <c r="E26" s="1302"/>
      <c r="F26" s="1303"/>
      <c r="G26" s="1304" t="s">
        <v>211</v>
      </c>
      <c r="H26" s="1305"/>
    </row>
    <row r="27" spans="1:11" s="48" customFormat="1" ht="31.5" customHeight="1" thickBot="1" x14ac:dyDescent="0.25">
      <c r="A27" s="1273" t="s">
        <v>31</v>
      </c>
      <c r="B27" s="1274"/>
      <c r="C27" s="239">
        <v>1</v>
      </c>
      <c r="D27" s="239">
        <v>2</v>
      </c>
      <c r="E27" s="239">
        <v>3</v>
      </c>
      <c r="F27" s="129">
        <v>4</v>
      </c>
      <c r="G27" s="1275" t="e">
        <f>VLOOKUP($H$25,'DATOS %'!$V$161:$AA$165,2,FALSE)</f>
        <v>#N/A</v>
      </c>
      <c r="H27" s="1276"/>
    </row>
    <row r="28" spans="1:11" s="48" customFormat="1" ht="31.5" customHeight="1" x14ac:dyDescent="0.2">
      <c r="A28" s="1310" t="s">
        <v>32</v>
      </c>
      <c r="B28" s="141" t="s">
        <v>0</v>
      </c>
      <c r="C28" s="265"/>
      <c r="D28" s="265"/>
      <c r="E28" s="265"/>
      <c r="F28" s="266"/>
      <c r="G28" s="47"/>
      <c r="H28" s="47"/>
      <c r="I28" s="47"/>
      <c r="J28" s="47"/>
    </row>
    <row r="29" spans="1:11" s="48" customFormat="1" ht="31.5" customHeight="1" x14ac:dyDescent="0.2">
      <c r="A29" s="1311"/>
      <c r="B29" s="104" t="s">
        <v>2</v>
      </c>
      <c r="C29" s="267"/>
      <c r="D29" s="267"/>
      <c r="E29" s="267"/>
      <c r="F29" s="268"/>
      <c r="G29" s="47"/>
      <c r="H29" s="47"/>
      <c r="I29" s="47"/>
      <c r="J29" s="47"/>
    </row>
    <row r="30" spans="1:11" s="48" customFormat="1" ht="31.5" customHeight="1" x14ac:dyDescent="0.2">
      <c r="A30" s="1311"/>
      <c r="B30" s="104" t="s">
        <v>2</v>
      </c>
      <c r="C30" s="267"/>
      <c r="D30" s="267"/>
      <c r="E30" s="267"/>
      <c r="F30" s="268"/>
      <c r="G30" s="47"/>
      <c r="H30" s="47"/>
      <c r="I30" s="47"/>
      <c r="J30" s="47"/>
    </row>
    <row r="31" spans="1:11" s="48" customFormat="1" ht="31.5" customHeight="1" thickBot="1" x14ac:dyDescent="0.25">
      <c r="A31" s="1312"/>
      <c r="B31" s="53" t="s">
        <v>0</v>
      </c>
      <c r="C31" s="269"/>
      <c r="D31" s="269"/>
      <c r="E31" s="269"/>
      <c r="F31" s="270"/>
      <c r="G31" s="47"/>
      <c r="H31" s="47"/>
      <c r="I31" s="47"/>
      <c r="J31" s="47"/>
      <c r="K31" s="46"/>
    </row>
    <row r="32" spans="1:11" s="46" customFormat="1" ht="15" customHeight="1" thickBot="1" x14ac:dyDescent="0.25">
      <c r="A32" s="47"/>
      <c r="B32" s="47"/>
      <c r="C32" s="47"/>
      <c r="D32" s="47"/>
      <c r="E32" s="47"/>
      <c r="F32" s="47"/>
      <c r="G32" s="47"/>
      <c r="H32" s="47"/>
      <c r="I32" s="47"/>
      <c r="J32" s="47"/>
      <c r="K32" s="48"/>
    </row>
    <row r="33" spans="1:11" s="48" customFormat="1" ht="31.5" customHeight="1" thickBot="1" x14ac:dyDescent="0.25">
      <c r="A33" s="54" t="s">
        <v>33</v>
      </c>
      <c r="B33" s="916"/>
      <c r="C33" s="1682" t="s">
        <v>27</v>
      </c>
      <c r="D33" s="1683"/>
      <c r="E33" s="1"/>
      <c r="F33" s="1684" t="s">
        <v>307</v>
      </c>
      <c r="G33" s="1685"/>
      <c r="H33" s="2"/>
      <c r="I33" s="973" t="s">
        <v>9</v>
      </c>
      <c r="J33" s="3"/>
      <c r="K33" s="46"/>
    </row>
    <row r="34" spans="1:11" s="46" customFormat="1" ht="12" customHeight="1" x14ac:dyDescent="0.2">
      <c r="A34" s="55"/>
      <c r="B34" s="55"/>
      <c r="C34" s="55"/>
      <c r="D34" s="55"/>
      <c r="E34" s="55"/>
      <c r="F34" s="55"/>
      <c r="G34" s="55"/>
      <c r="H34" s="55"/>
      <c r="I34" s="55"/>
      <c r="J34" s="55"/>
      <c r="K34" s="48"/>
    </row>
    <row r="35" spans="1:11" s="48" customFormat="1" ht="15" customHeight="1" thickBot="1" x14ac:dyDescent="0.25">
      <c r="A35" s="56"/>
      <c r="B35" s="56"/>
      <c r="C35" s="56"/>
      <c r="D35" s="56"/>
      <c r="E35" s="56"/>
      <c r="F35" s="56"/>
      <c r="G35" s="56"/>
      <c r="H35" s="56"/>
      <c r="I35" s="56"/>
      <c r="J35" s="56"/>
    </row>
    <row r="36" spans="1:11" s="48" customFormat="1" ht="32.25" customHeight="1" thickBot="1" x14ac:dyDescent="0.25">
      <c r="A36" s="1294" t="s">
        <v>34</v>
      </c>
      <c r="B36" s="1295"/>
      <c r="C36" s="1295"/>
      <c r="D36" s="1295"/>
      <c r="E36" s="1295"/>
      <c r="F36" s="1295"/>
      <c r="G36" s="1295"/>
      <c r="H36" s="1295"/>
      <c r="I36" s="1295"/>
      <c r="J36" s="1296"/>
    </row>
    <row r="37" spans="1:11" s="48" customFormat="1" ht="3.75" customHeight="1" thickBot="1" x14ac:dyDescent="0.25">
      <c r="A37" s="55"/>
      <c r="B37" s="47"/>
      <c r="C37" s="47"/>
      <c r="D37" s="47"/>
      <c r="E37" s="47"/>
      <c r="F37" s="47"/>
      <c r="G37" s="47"/>
      <c r="H37" s="47"/>
      <c r="I37" s="47"/>
      <c r="J37" s="55"/>
    </row>
    <row r="38" spans="1:11" s="48" customFormat="1" ht="31.5" customHeight="1" thickBot="1" x14ac:dyDescent="0.25">
      <c r="A38" s="47"/>
      <c r="B38" s="1316" t="s">
        <v>35</v>
      </c>
      <c r="C38" s="1317"/>
      <c r="D38" s="1317"/>
      <c r="E38" s="1317"/>
      <c r="F38" s="1318"/>
      <c r="G38" s="47"/>
      <c r="H38" s="1319" t="s">
        <v>236</v>
      </c>
      <c r="I38" s="1320"/>
      <c r="J38" s="1321"/>
    </row>
    <row r="39" spans="1:11" s="48" customFormat="1" ht="31.5" customHeight="1" thickBot="1" x14ac:dyDescent="0.25">
      <c r="A39" s="47"/>
      <c r="B39" s="57" t="s">
        <v>31</v>
      </c>
      <c r="C39" s="203">
        <v>1</v>
      </c>
      <c r="D39" s="141">
        <v>2</v>
      </c>
      <c r="E39" s="141">
        <v>3</v>
      </c>
      <c r="F39" s="204">
        <v>4</v>
      </c>
      <c r="G39" s="47"/>
      <c r="H39" s="1322"/>
      <c r="I39" s="1323"/>
      <c r="J39" s="1324"/>
    </row>
    <row r="40" spans="1:11" s="48" customFormat="1" ht="31.5" customHeight="1" x14ac:dyDescent="0.2">
      <c r="A40" s="58"/>
      <c r="B40" s="59"/>
      <c r="C40" s="271" t="e">
        <f>+AVERAGE(C28,C31)</f>
        <v>#DIV/0!</v>
      </c>
      <c r="D40" s="272" t="e">
        <f>+AVERAGE(D28,D31)</f>
        <v>#DIV/0!</v>
      </c>
      <c r="E40" s="272" t="e">
        <f>+AVERAGE(E28,E31)</f>
        <v>#DIV/0!</v>
      </c>
      <c r="F40" s="273" t="e">
        <f>+AVERAGE(F28,F31)</f>
        <v>#DIV/0!</v>
      </c>
      <c r="G40" s="47"/>
      <c r="H40" s="1325"/>
      <c r="I40" s="1326"/>
      <c r="J40" s="1327"/>
    </row>
    <row r="41" spans="1:11" s="48" customFormat="1" ht="31.5" customHeight="1" x14ac:dyDescent="0.2">
      <c r="A41" s="58"/>
      <c r="B41" s="60"/>
      <c r="C41" s="274" t="e">
        <f>+AVERAGE(C29:C30)</f>
        <v>#DIV/0!</v>
      </c>
      <c r="D41" s="275" t="e">
        <f>+AVERAGE(D29:D30)</f>
        <v>#DIV/0!</v>
      </c>
      <c r="E41" s="275" t="e">
        <f>+AVERAGE(E29:E30)</f>
        <v>#DIV/0!</v>
      </c>
      <c r="F41" s="276" t="e">
        <f>+AVERAGE(F29:F30)</f>
        <v>#DIV/0!</v>
      </c>
      <c r="G41" s="47"/>
      <c r="H41" s="1325"/>
      <c r="I41" s="1326"/>
      <c r="J41" s="1327"/>
    </row>
    <row r="42" spans="1:11" s="48" customFormat="1" ht="31.5" customHeight="1" thickBot="1" x14ac:dyDescent="0.25">
      <c r="A42" s="58"/>
      <c r="B42" s="62"/>
      <c r="C42" s="277" t="e">
        <f>+C41-C40</f>
        <v>#DIV/0!</v>
      </c>
      <c r="D42" s="278" t="e">
        <f>+D41-D40</f>
        <v>#DIV/0!</v>
      </c>
      <c r="E42" s="278" t="e">
        <f>+E41-E40</f>
        <v>#DIV/0!</v>
      </c>
      <c r="F42" s="279" t="e">
        <f>+F41-F40</f>
        <v>#DIV/0!</v>
      </c>
      <c r="G42" s="47"/>
      <c r="H42" s="1328"/>
      <c r="I42" s="1329"/>
      <c r="J42" s="1330"/>
    </row>
    <row r="43" spans="1:11" s="48" customFormat="1" ht="31.5" customHeight="1" thickBot="1" x14ac:dyDescent="0.25">
      <c r="A43" s="47"/>
      <c r="B43" s="63" t="s">
        <v>36</v>
      </c>
      <c r="C43" s="258" t="e">
        <f>+AVERAGE(C42:F42)</f>
        <v>#DIV/0!</v>
      </c>
      <c r="D43" s="280"/>
      <c r="E43" s="280"/>
      <c r="F43" s="280"/>
      <c r="G43" s="47"/>
      <c r="H43" s="47"/>
      <c r="I43" s="47"/>
      <c r="J43" s="47"/>
    </row>
    <row r="44" spans="1:11" s="48" customFormat="1" ht="31.5" customHeight="1" thickBot="1" x14ac:dyDescent="0.25">
      <c r="A44" s="47"/>
      <c r="B44" s="64" t="s">
        <v>77</v>
      </c>
      <c r="C44" s="417" t="e">
        <f>+STDEV(C42:F42)</f>
        <v>#DIV/0!</v>
      </c>
      <c r="D44" s="280"/>
      <c r="E44" s="280"/>
      <c r="F44" s="280"/>
      <c r="G44" s="47"/>
      <c r="H44" s="47"/>
      <c r="I44" s="47"/>
      <c r="J44" s="47"/>
      <c r="K44" s="46"/>
    </row>
    <row r="45" spans="1:11" s="46" customFormat="1" ht="15" customHeight="1" thickBot="1" x14ac:dyDescent="0.25">
      <c r="A45" s="47"/>
      <c r="B45" s="47"/>
      <c r="C45" s="47"/>
      <c r="D45" s="47"/>
      <c r="E45" s="47"/>
      <c r="F45" s="47"/>
      <c r="G45" s="65"/>
      <c r="H45" s="47"/>
      <c r="I45" s="47"/>
      <c r="J45" s="47"/>
      <c r="K45" s="48"/>
    </row>
    <row r="46" spans="1:11" s="48" customFormat="1" ht="31.5" customHeight="1" thickBot="1" x14ac:dyDescent="0.25">
      <c r="A46" s="1331" t="s">
        <v>37</v>
      </c>
      <c r="B46" s="1332"/>
      <c r="C46" s="1284"/>
      <c r="D46" s="1284"/>
      <c r="E46" s="1284"/>
      <c r="F46" s="1332"/>
      <c r="G46" s="1332"/>
      <c r="H46" s="1332"/>
      <c r="I46" s="1332"/>
      <c r="J46" s="1333"/>
    </row>
    <row r="47" spans="1:11" s="48" customFormat="1" ht="31.5" customHeight="1" thickBot="1" x14ac:dyDescent="0.25">
      <c r="A47" s="1375" t="s">
        <v>321</v>
      </c>
      <c r="B47" s="1376"/>
      <c r="C47" s="1338" t="s">
        <v>38</v>
      </c>
      <c r="D47" s="1339"/>
      <c r="E47" s="1340"/>
      <c r="F47" s="47"/>
      <c r="G47" s="47"/>
      <c r="H47" s="47"/>
      <c r="I47" s="47"/>
      <c r="J47" s="47"/>
    </row>
    <row r="48" spans="1:11" s="48" customFormat="1" ht="36.75" customHeight="1" thickBot="1" x14ac:dyDescent="0.25">
      <c r="A48" s="1377"/>
      <c r="B48" s="1378"/>
      <c r="C48" s="82" t="s">
        <v>27</v>
      </c>
      <c r="D48" s="93" t="s">
        <v>307</v>
      </c>
      <c r="E48" s="83" t="s">
        <v>9</v>
      </c>
      <c r="G48" s="1341" t="s">
        <v>70</v>
      </c>
      <c r="H48" s="1342"/>
      <c r="I48" s="102" t="e">
        <f>+(0.34848*E50-0.009*D50*EXP(0.061*C50))/(273.15+C50)</f>
        <v>#DIV/0!</v>
      </c>
      <c r="J48" s="103" t="s">
        <v>73</v>
      </c>
    </row>
    <row r="49" spans="1:21" s="48" customFormat="1" ht="33" customHeight="1" thickBot="1" x14ac:dyDescent="0.25">
      <c r="A49" s="1306" t="s">
        <v>39</v>
      </c>
      <c r="B49" s="1307"/>
      <c r="C49" s="90" t="e">
        <f>+AVERAGE(E33,E24)</f>
        <v>#DIV/0!</v>
      </c>
      <c r="D49" s="91" t="e">
        <f>+AVERAGE(H33,H24)</f>
        <v>#DIV/0!</v>
      </c>
      <c r="E49" s="92" t="e">
        <f>+AVERAGE(J33,J24)</f>
        <v>#DIV/0!</v>
      </c>
      <c r="G49" s="1308" t="s">
        <v>71</v>
      </c>
      <c r="H49" s="1309"/>
      <c r="I49" s="422" t="e">
        <f>I48*((0.0001)^2+(0.001*I20/2)^2+(-0.0034*D20/2)^2+(-0.01*G20/2)^2)^0.5</f>
        <v>#DIV/0!</v>
      </c>
      <c r="J49" s="66" t="s">
        <v>73</v>
      </c>
    </row>
    <row r="50" spans="1:21" s="48" customFormat="1" ht="36.75" customHeight="1" thickBot="1" x14ac:dyDescent="0.25">
      <c r="A50" s="1343" t="s">
        <v>322</v>
      </c>
      <c r="B50" s="1344"/>
      <c r="C50" s="84" t="e">
        <f>C49+(VLOOKUP(J19,'DATOS %'!J174:W180,9,FALSE))*C49+(VLOOKUP(J19,'DATOS %'!J174:W180,10,FALSE))</f>
        <v>#DIV/0!</v>
      </c>
      <c r="D50" s="85" t="e">
        <f>D49+(VLOOKUP(J19,'DATOS %'!J174:W180,11,FALSE))*D49+(VLOOKUP(J19,'DATOS %'!J174:W180,12,FALSE))</f>
        <v>#DIV/0!</v>
      </c>
      <c r="E50" s="86" t="e">
        <f>E49+(VLOOKUP(J19,'DATOS %'!J174:W180,13,FALSE))*E49+(VLOOKUP(J19,'DATOS %'!J174:W180,14,FALSE))</f>
        <v>#DIV/0!</v>
      </c>
      <c r="G50" s="1341" t="s">
        <v>72</v>
      </c>
      <c r="H50" s="1342"/>
      <c r="I50" s="67">
        <v>1.2</v>
      </c>
      <c r="J50" s="66" t="s">
        <v>73</v>
      </c>
    </row>
    <row r="51" spans="1:21" s="46" customFormat="1" ht="15" customHeight="1" thickBot="1" x14ac:dyDescent="0.25">
      <c r="A51" s="47"/>
      <c r="B51" s="47"/>
      <c r="C51" s="47"/>
      <c r="D51" s="47"/>
      <c r="E51" s="47"/>
      <c r="F51" s="47"/>
      <c r="G51" s="47"/>
      <c r="H51" s="47"/>
      <c r="I51" s="47"/>
      <c r="J51" s="47"/>
      <c r="K51" s="48"/>
    </row>
    <row r="52" spans="1:21" s="48" customFormat="1" ht="31.5" customHeight="1" thickBot="1" x14ac:dyDescent="0.25">
      <c r="A52" s="1331" t="s">
        <v>40</v>
      </c>
      <c r="B52" s="1332"/>
      <c r="C52" s="1332"/>
      <c r="D52" s="1332"/>
      <c r="E52" s="1332"/>
      <c r="F52" s="1332"/>
      <c r="G52" s="1332"/>
      <c r="H52" s="1332"/>
      <c r="I52" s="1332"/>
      <c r="J52" s="1333"/>
    </row>
    <row r="53" spans="1:21" s="48" customFormat="1" ht="31.5" customHeight="1" x14ac:dyDescent="0.35">
      <c r="A53" s="47"/>
      <c r="B53" s="68" t="s">
        <v>41</v>
      </c>
      <c r="C53" s="69"/>
      <c r="D53" s="1345" t="s">
        <v>74</v>
      </c>
      <c r="E53" s="1345"/>
      <c r="F53" s="70" t="s">
        <v>42</v>
      </c>
      <c r="G53" s="71" t="s">
        <v>43</v>
      </c>
      <c r="H53" s="1346" t="s">
        <v>44</v>
      </c>
      <c r="I53" s="1347"/>
      <c r="J53" s="47"/>
    </row>
    <row r="54" spans="1:21" s="48" customFormat="1" ht="31.5" customHeight="1" thickBot="1" x14ac:dyDescent="0.25">
      <c r="A54" s="47"/>
      <c r="B54" s="72" t="e">
        <f>+C43</f>
        <v>#DIV/0!</v>
      </c>
      <c r="C54" s="73" t="s">
        <v>1</v>
      </c>
      <c r="D54" s="261" t="e">
        <f>+C10+C11/1000</f>
        <v>#N/A</v>
      </c>
      <c r="E54" s="73" t="s">
        <v>1</v>
      </c>
      <c r="F54" s="74" t="e">
        <f>+(I48-I50)*(1/H10-1/C13)</f>
        <v>#DIV/0!</v>
      </c>
      <c r="G54" s="75"/>
      <c r="H54" s="67" t="e">
        <f>+(B54+D54*F54)*1000</f>
        <v>#DIV/0!</v>
      </c>
      <c r="I54" s="66" t="s">
        <v>3</v>
      </c>
      <c r="J54" s="47"/>
      <c r="K54" s="46"/>
    </row>
    <row r="55" spans="1:21" s="46" customFormat="1" ht="15" customHeight="1" x14ac:dyDescent="0.2">
      <c r="A55" s="47"/>
      <c r="B55" s="47"/>
      <c r="C55" s="47"/>
      <c r="D55" s="47"/>
      <c r="E55" s="47"/>
      <c r="F55" s="47"/>
      <c r="G55" s="47"/>
      <c r="H55" s="47"/>
      <c r="I55" s="47"/>
      <c r="J55" s="47"/>
      <c r="K55" s="48"/>
    </row>
    <row r="56" spans="1:21" s="48" customFormat="1" ht="31.5" customHeight="1" x14ac:dyDescent="0.2">
      <c r="A56" s="1348" t="s">
        <v>45</v>
      </c>
      <c r="B56" s="1349"/>
      <c r="C56" s="1349"/>
      <c r="D56" s="1349"/>
      <c r="E56" s="1349"/>
      <c r="F56" s="1349"/>
      <c r="G56" s="1349"/>
      <c r="H56" s="1349"/>
      <c r="I56" s="1349"/>
      <c r="J56" s="1349"/>
      <c r="K56" s="46"/>
    </row>
    <row r="57" spans="1:21" s="46" customFormat="1" ht="15" customHeight="1" thickBot="1" x14ac:dyDescent="0.25">
      <c r="A57" s="47"/>
      <c r="B57" s="47"/>
      <c r="C57" s="47"/>
      <c r="D57" s="47"/>
      <c r="E57" s="47"/>
      <c r="K57" s="48"/>
    </row>
    <row r="58" spans="1:21" s="48" customFormat="1" ht="31.5" customHeight="1" thickBot="1" x14ac:dyDescent="0.25">
      <c r="A58" s="1350" t="s">
        <v>38</v>
      </c>
      <c r="B58" s="1351"/>
      <c r="C58" s="1352" t="s">
        <v>46</v>
      </c>
      <c r="D58" s="1353"/>
      <c r="E58" s="1354" t="s">
        <v>238</v>
      </c>
      <c r="F58" s="1379"/>
      <c r="G58" s="1061" t="s">
        <v>553</v>
      </c>
      <c r="J58" s="114"/>
      <c r="L58" s="46"/>
      <c r="Q58" s="47"/>
      <c r="R58" s="47"/>
      <c r="S58" s="47"/>
      <c r="T58" s="47"/>
      <c r="U58" s="47"/>
    </row>
    <row r="59" spans="1:21" s="48" customFormat="1" ht="57.95" customHeight="1" thickBot="1" x14ac:dyDescent="0.25">
      <c r="A59" s="1024" t="s">
        <v>47</v>
      </c>
      <c r="B59" s="1025"/>
      <c r="C59" s="1026" t="e">
        <f>+C44/B26^0.5*1000</f>
        <v>#DIV/0!</v>
      </c>
      <c r="D59" s="1017" t="s">
        <v>3</v>
      </c>
      <c r="E59" s="1027" t="s">
        <v>240</v>
      </c>
      <c r="F59" s="139">
        <f>$B$26-1</f>
        <v>3</v>
      </c>
      <c r="G59" s="1111" t="e">
        <f>(C59/$G$70)^2</f>
        <v>#DIV/0!</v>
      </c>
      <c r="H59" s="47"/>
      <c r="K59" s="156">
        <v>0.3</v>
      </c>
      <c r="L59" s="157">
        <v>1.65</v>
      </c>
      <c r="M59" s="113"/>
    </row>
    <row r="60" spans="1:21" s="48" customFormat="1" ht="57.95" customHeight="1" thickBot="1" x14ac:dyDescent="0.25">
      <c r="A60" s="1019" t="s">
        <v>343</v>
      </c>
      <c r="B60" s="1020" t="s">
        <v>48</v>
      </c>
      <c r="C60" s="1021" t="e">
        <f>+C12/2</f>
        <v>#N/A</v>
      </c>
      <c r="D60" s="1022" t="s">
        <v>3</v>
      </c>
      <c r="E60" s="1023" t="s">
        <v>239</v>
      </c>
      <c r="F60" s="146" t="s">
        <v>265</v>
      </c>
      <c r="G60" s="1112"/>
      <c r="H60" s="1380" t="s">
        <v>241</v>
      </c>
      <c r="I60" s="1356"/>
      <c r="J60" s="1356"/>
      <c r="K60" s="1356"/>
      <c r="L60" s="1356"/>
      <c r="M60" s="1357"/>
    </row>
    <row r="61" spans="1:21" s="48" customFormat="1" ht="57.95" customHeight="1" thickBot="1" x14ac:dyDescent="0.25">
      <c r="A61" s="1028" t="s">
        <v>344</v>
      </c>
      <c r="B61" s="1029"/>
      <c r="C61" s="1030" t="e">
        <f>+C12/3^0.5</f>
        <v>#N/A</v>
      </c>
      <c r="D61" s="1031" t="s">
        <v>3</v>
      </c>
      <c r="E61" s="1032" t="s">
        <v>239</v>
      </c>
      <c r="F61" s="147" t="s">
        <v>265</v>
      </c>
      <c r="G61" s="1112"/>
      <c r="H61" s="132" t="s">
        <v>243</v>
      </c>
      <c r="I61" s="149" t="e">
        <f>MAX(C59:C62,C66:C67,C68)</f>
        <v>#DIV/0!</v>
      </c>
      <c r="J61" s="151" t="e">
        <f>IF((I62)&lt;=(K59),"1,65","2")</f>
        <v>#DIV/0!</v>
      </c>
      <c r="K61" s="152" t="s">
        <v>242</v>
      </c>
      <c r="L61" s="153" t="s">
        <v>237</v>
      </c>
      <c r="M61" s="360" t="s">
        <v>328</v>
      </c>
    </row>
    <row r="62" spans="1:21" s="48" customFormat="1" ht="57.95" customHeight="1" thickBot="1" x14ac:dyDescent="0.3">
      <c r="A62" s="1024" t="s">
        <v>49</v>
      </c>
      <c r="B62" s="1035"/>
      <c r="C62" s="1036" t="e">
        <f>+SQRT(SUMSQ(C60:C61))</f>
        <v>#N/A</v>
      </c>
      <c r="D62" s="1017" t="s">
        <v>3</v>
      </c>
      <c r="E62" s="1037" t="s">
        <v>240</v>
      </c>
      <c r="F62" s="139">
        <v>200</v>
      </c>
      <c r="G62" s="1112" t="e">
        <f t="shared" ref="G62:G68" si="0">(C62/$G$70)^2</f>
        <v>#N/A</v>
      </c>
      <c r="H62" s="133" t="s">
        <v>244</v>
      </c>
      <c r="I62" s="150" t="e">
        <f>SQRT((C59)^2+(C66)^2+(C67)^2+(C68)^2)/I61</f>
        <v>#DIV/0!</v>
      </c>
      <c r="J62" s="126"/>
      <c r="K62" s="154" t="s">
        <v>242</v>
      </c>
      <c r="L62" s="155" t="s">
        <v>252</v>
      </c>
      <c r="M62" s="361" t="s">
        <v>329</v>
      </c>
    </row>
    <row r="63" spans="1:21" s="48" customFormat="1" ht="57.95" customHeight="1" x14ac:dyDescent="0.2">
      <c r="A63" s="1019" t="s">
        <v>345</v>
      </c>
      <c r="B63" s="1020"/>
      <c r="C63" s="1033" t="e">
        <f>+I49</f>
        <v>#DIV/0!</v>
      </c>
      <c r="D63" s="1021" t="s">
        <v>73</v>
      </c>
      <c r="E63" s="1034" t="s">
        <v>239</v>
      </c>
      <c r="F63" s="146" t="s">
        <v>265</v>
      </c>
      <c r="G63" s="1112"/>
      <c r="L63" s="46"/>
      <c r="T63" s="46"/>
      <c r="U63" s="46"/>
    </row>
    <row r="64" spans="1:21" s="48" customFormat="1" ht="57.95" customHeight="1" x14ac:dyDescent="0.2">
      <c r="A64" s="426" t="s">
        <v>50</v>
      </c>
      <c r="B64" s="1018"/>
      <c r="C64" s="425" t="e">
        <f>+H11/2</f>
        <v>#N/A</v>
      </c>
      <c r="D64" s="424" t="s">
        <v>73</v>
      </c>
      <c r="E64" s="423" t="s">
        <v>239</v>
      </c>
      <c r="F64" s="148" t="s">
        <v>265</v>
      </c>
      <c r="G64" s="1112"/>
      <c r="H64" s="130"/>
      <c r="J64" s="130"/>
      <c r="K64" s="130"/>
      <c r="L64" s="130"/>
      <c r="M64" s="130"/>
      <c r="Q64" s="47"/>
      <c r="R64" s="47"/>
      <c r="S64" s="47"/>
      <c r="T64" s="47"/>
      <c r="U64" s="47"/>
    </row>
    <row r="65" spans="1:21" s="48" customFormat="1" ht="57.95" customHeight="1" thickBot="1" x14ac:dyDescent="0.25">
      <c r="A65" s="1028" t="s">
        <v>346</v>
      </c>
      <c r="B65" s="1038"/>
      <c r="C65" s="1039" t="e">
        <f>+C14/2</f>
        <v>#N/A</v>
      </c>
      <c r="D65" s="1031" t="s">
        <v>73</v>
      </c>
      <c r="E65" s="1040" t="s">
        <v>239</v>
      </c>
      <c r="F65" s="147" t="s">
        <v>265</v>
      </c>
      <c r="G65" s="1112"/>
      <c r="H65" s="130"/>
      <c r="I65" s="130"/>
      <c r="J65" s="130"/>
      <c r="K65" s="130"/>
      <c r="L65" s="130"/>
      <c r="M65" s="130"/>
      <c r="Q65" s="46"/>
      <c r="R65" s="46"/>
      <c r="S65" s="46"/>
      <c r="T65" s="46"/>
      <c r="U65" s="46"/>
    </row>
    <row r="66" spans="1:21" s="48" customFormat="1" ht="57.95" customHeight="1" thickBot="1" x14ac:dyDescent="0.3">
      <c r="A66" s="1024" t="s">
        <v>347</v>
      </c>
      <c r="B66" s="1035"/>
      <c r="C66" s="1036" t="e">
        <f>+SQRT(ABS(((C10/1000+C11/1000000)*(C13-H10)/(C13*H10)*C63)^2+((C10/1000+C11/1000000)*(I48-I50))^2*C64^2/H10^4+(C10/1000+C11/1000000)^2*(I48-I50)*((I48-I50)-2*(C15-I50))*C65^2/C13^4))*1000000</f>
        <v>#N/A</v>
      </c>
      <c r="D66" s="1051" t="s">
        <v>3</v>
      </c>
      <c r="E66" s="1037" t="s">
        <v>240</v>
      </c>
      <c r="F66" s="139">
        <v>200</v>
      </c>
      <c r="G66" s="1112" t="e">
        <f t="shared" si="0"/>
        <v>#N/A</v>
      </c>
      <c r="H66" s="130"/>
      <c r="I66" s="1093" t="s">
        <v>554</v>
      </c>
      <c r="J66" s="1095" t="s">
        <v>556</v>
      </c>
      <c r="K66" s="1094" t="s">
        <v>555</v>
      </c>
      <c r="L66" s="130"/>
      <c r="M66" s="130"/>
      <c r="Q66" s="47"/>
      <c r="R66" s="47"/>
      <c r="S66" s="47"/>
      <c r="T66" s="47"/>
      <c r="U66" s="47"/>
    </row>
    <row r="67" spans="1:21" s="48" customFormat="1" ht="57.95" customHeight="1" thickBot="1" x14ac:dyDescent="0.3">
      <c r="A67" s="1047" t="s">
        <v>52</v>
      </c>
      <c r="B67" s="1048"/>
      <c r="C67" s="1049" t="e">
        <f>+(G15/2/3^0.5)*2^0.5*1000</f>
        <v>#N/A</v>
      </c>
      <c r="D67" s="1044" t="s">
        <v>3</v>
      </c>
      <c r="E67" s="1045" t="s">
        <v>239</v>
      </c>
      <c r="F67" s="1050">
        <v>200</v>
      </c>
      <c r="G67" s="1112" t="e">
        <f t="shared" si="0"/>
        <v>#N/A</v>
      </c>
      <c r="H67" s="130"/>
      <c r="I67" s="1096" t="e">
        <f>G70^4/((C59^4/F59)+(C62^4/F62)+(C66^4/F66)+(C67^4/F67)+(C68^4/F68))</f>
        <v>#DIV/0!</v>
      </c>
      <c r="J67" s="1097" t="e">
        <f>TINV(0.05,I67)</f>
        <v>#DIV/0!</v>
      </c>
      <c r="K67" s="1098" t="e">
        <f>1-TDIST(J67,I67,2)</f>
        <v>#DIV/0!</v>
      </c>
      <c r="L67" s="130"/>
      <c r="M67" s="130"/>
    </row>
    <row r="68" spans="1:21" s="46" customFormat="1" ht="65.25" customHeight="1" thickBot="1" x14ac:dyDescent="0.3">
      <c r="A68" s="1041" t="s">
        <v>551</v>
      </c>
      <c r="B68" s="1042"/>
      <c r="C68" s="1043">
        <f>0.37/SQRT(45)</f>
        <v>5.5156343444994808E-2</v>
      </c>
      <c r="D68" s="1044" t="s">
        <v>3</v>
      </c>
      <c r="E68" s="1045" t="s">
        <v>240</v>
      </c>
      <c r="F68" s="1046">
        <v>50</v>
      </c>
      <c r="G68" s="1113" t="e">
        <f t="shared" si="0"/>
        <v>#DIV/0!</v>
      </c>
      <c r="H68" s="130"/>
      <c r="I68" s="130"/>
      <c r="J68" s="130"/>
      <c r="K68" s="130"/>
      <c r="L68" s="130"/>
      <c r="M68" s="130"/>
      <c r="S68" s="48"/>
      <c r="T68" s="48"/>
      <c r="U68" s="48"/>
    </row>
    <row r="69" spans="1:21" s="46" customFormat="1" ht="65.25" customHeight="1" thickBot="1" x14ac:dyDescent="0.25">
      <c r="A69" s="130"/>
      <c r="B69" s="130"/>
      <c r="C69" s="130"/>
      <c r="D69" s="130"/>
      <c r="E69" s="130"/>
      <c r="F69" s="130"/>
      <c r="G69" s="1114" t="e">
        <f>SUM(G59,G62,G66,G67,G68)</f>
        <v>#DIV/0!</v>
      </c>
      <c r="H69" s="130"/>
      <c r="I69" s="130"/>
      <c r="J69" s="130"/>
      <c r="K69" s="130"/>
      <c r="L69" s="130"/>
      <c r="M69" s="130"/>
      <c r="S69" s="48"/>
      <c r="T69" s="48"/>
      <c r="U69" s="48"/>
    </row>
    <row r="70" spans="1:21" s="106" customFormat="1" ht="51.75" customHeight="1" thickBot="1" x14ac:dyDescent="0.3">
      <c r="D70" s="1306" t="s">
        <v>51</v>
      </c>
      <c r="E70" s="1307"/>
      <c r="F70" s="134"/>
      <c r="G70" s="140" t="e">
        <f>+SQRT(SUMSQ(C59,C62,C66,C67,C68))</f>
        <v>#DIV/0!</v>
      </c>
      <c r="H70" s="136" t="s">
        <v>3</v>
      </c>
      <c r="K70" s="130"/>
      <c r="L70" s="130"/>
      <c r="M70" s="130"/>
      <c r="S70" s="48"/>
      <c r="T70" s="48"/>
      <c r="U70" s="48"/>
    </row>
    <row r="71" spans="1:21" s="106" customFormat="1" ht="35.1" customHeight="1" thickBot="1" x14ac:dyDescent="0.25">
      <c r="D71" s="1306" t="s">
        <v>53</v>
      </c>
      <c r="E71" s="1307"/>
      <c r="F71" s="135"/>
      <c r="G71" s="140" t="e">
        <f>+G70*2</f>
        <v>#DIV/0!</v>
      </c>
      <c r="H71" s="137" t="s">
        <v>3</v>
      </c>
      <c r="K71" s="110"/>
      <c r="L71" s="107"/>
      <c r="O71" s="48"/>
      <c r="P71" s="48"/>
      <c r="Q71" s="48"/>
      <c r="R71" s="48"/>
      <c r="S71" s="48"/>
      <c r="T71" s="48"/>
      <c r="U71" s="48"/>
    </row>
    <row r="72" spans="1:21" s="106" customFormat="1" ht="33.75" customHeight="1" thickBot="1" x14ac:dyDescent="4.45">
      <c r="B72" s="1313" t="s">
        <v>54</v>
      </c>
      <c r="C72" s="1314"/>
      <c r="D72" s="1314"/>
      <c r="E72" s="1314"/>
      <c r="F72" s="1314"/>
      <c r="G72" s="1314"/>
      <c r="H72" s="1314"/>
      <c r="I72" s="1314"/>
      <c r="J72" s="1314"/>
      <c r="K72" s="1315"/>
      <c r="L72" s="117"/>
      <c r="O72" s="48"/>
      <c r="P72" s="48"/>
      <c r="Q72" s="48"/>
      <c r="R72" s="48"/>
      <c r="S72" s="48"/>
      <c r="T72" s="48"/>
      <c r="U72" s="48"/>
    </row>
    <row r="73" spans="1:21" s="106" customFormat="1" ht="35.1" customHeight="1" thickBot="1" x14ac:dyDescent="0.25">
      <c r="B73" s="1368" t="s">
        <v>255</v>
      </c>
      <c r="C73" s="1369"/>
      <c r="D73" s="1369"/>
      <c r="E73" s="1370"/>
      <c r="F73" s="79"/>
      <c r="G73" s="80"/>
      <c r="H73" s="1371"/>
      <c r="I73" s="1372"/>
      <c r="J73" s="1372"/>
      <c r="K73" s="1373"/>
      <c r="O73" s="48"/>
      <c r="P73" s="48"/>
      <c r="Q73" s="48"/>
      <c r="R73" s="48"/>
      <c r="S73" s="48"/>
      <c r="T73" s="48"/>
      <c r="U73" s="48"/>
    </row>
    <row r="74" spans="1:21" s="106" customFormat="1" ht="40.5" customHeight="1" x14ac:dyDescent="0.2">
      <c r="B74" s="118"/>
      <c r="C74" s="362" t="s">
        <v>348</v>
      </c>
      <c r="D74" s="119" t="s">
        <v>253</v>
      </c>
      <c r="E74" s="120"/>
      <c r="F74" s="1688"/>
      <c r="G74" s="1688"/>
      <c r="H74" s="1359" t="s">
        <v>266</v>
      </c>
      <c r="I74" s="1381" t="s">
        <v>254</v>
      </c>
      <c r="J74" s="1381"/>
      <c r="K74" s="1382"/>
      <c r="O74" s="48"/>
      <c r="P74" s="48"/>
      <c r="Q74" s="48"/>
      <c r="R74" s="48"/>
      <c r="S74" s="48"/>
      <c r="T74" s="48"/>
      <c r="U74" s="48"/>
    </row>
    <row r="75" spans="1:21" s="106" customFormat="1" ht="35.1" customHeight="1" x14ac:dyDescent="0.2">
      <c r="B75" s="81" t="e">
        <f>C10</f>
        <v>#N/A</v>
      </c>
      <c r="C75" s="77" t="e">
        <f>C11</f>
        <v>#N/A</v>
      </c>
      <c r="D75" s="78" t="e">
        <f>H54</f>
        <v>#DIV/0!</v>
      </c>
      <c r="E75" s="216" t="e">
        <f>B75+(C75/1000)+(D75/1000)</f>
        <v>#N/A</v>
      </c>
      <c r="F75" s="296" t="e">
        <f>E75*1000-B75*1000</f>
        <v>#N/A</v>
      </c>
      <c r="G75" s="61"/>
      <c r="H75" s="1360"/>
      <c r="I75" s="282" t="e">
        <f>G71</f>
        <v>#DIV/0!</v>
      </c>
      <c r="J75" s="1364"/>
      <c r="K75" s="1365"/>
      <c r="O75" s="48"/>
      <c r="P75" s="48"/>
      <c r="Q75" s="48"/>
      <c r="R75" s="48"/>
      <c r="S75" s="48"/>
      <c r="T75" s="48"/>
      <c r="U75" s="48"/>
    </row>
    <row r="76" spans="1:21" s="106" customFormat="1" ht="35.1" customHeight="1" thickBot="1" x14ac:dyDescent="0.25">
      <c r="B76" s="87" t="e">
        <f>B75</f>
        <v>#N/A</v>
      </c>
      <c r="C76" s="88" t="e">
        <f>C75</f>
        <v>#N/A</v>
      </c>
      <c r="D76" s="88" t="e">
        <f>D75</f>
        <v>#DIV/0!</v>
      </c>
      <c r="E76" s="217" t="e">
        <f>B76+(C76/1000)+(D76/1000)</f>
        <v>#N/A</v>
      </c>
      <c r="F76" s="227" t="e">
        <f>F75/1000</f>
        <v>#N/A</v>
      </c>
      <c r="G76" s="89"/>
      <c r="H76" s="1361"/>
      <c r="I76" s="263" t="e">
        <f>I75/1000</f>
        <v>#DIV/0!</v>
      </c>
      <c r="J76" s="1366"/>
      <c r="K76" s="1367"/>
      <c r="O76" s="48"/>
      <c r="P76" s="48"/>
      <c r="Q76" s="48"/>
      <c r="R76" s="48"/>
      <c r="S76" s="48"/>
      <c r="T76" s="48"/>
      <c r="U76" s="48"/>
    </row>
    <row r="77" spans="1:21" s="106" customFormat="1" ht="35.1" customHeight="1" x14ac:dyDescent="0.2">
      <c r="G77" s="47"/>
      <c r="H77" s="47"/>
      <c r="I77" s="47"/>
      <c r="J77" s="47"/>
      <c r="O77" s="48"/>
      <c r="P77" s="48"/>
      <c r="Q77" s="48"/>
      <c r="R77" s="48"/>
      <c r="S77" s="48"/>
      <c r="T77" s="48"/>
      <c r="U77" s="48"/>
    </row>
    <row r="78" spans="1:21" s="106" customFormat="1" ht="35.1" customHeight="1" x14ac:dyDescent="0.2">
      <c r="G78" s="47"/>
      <c r="H78" s="47"/>
      <c r="I78" s="47"/>
      <c r="J78" s="47"/>
      <c r="O78" s="48"/>
      <c r="P78" s="48"/>
      <c r="Q78" s="48"/>
      <c r="R78" s="48"/>
      <c r="S78" s="48"/>
      <c r="T78" s="48"/>
      <c r="U78" s="48"/>
    </row>
    <row r="79" spans="1:21" s="106" customFormat="1" ht="35.1" customHeight="1" x14ac:dyDescent="0.2">
      <c r="G79" s="47"/>
      <c r="H79" s="47"/>
      <c r="I79" s="47"/>
      <c r="J79" s="47"/>
    </row>
    <row r="80" spans="1:21" s="107" customFormat="1" ht="35.1" customHeight="1" x14ac:dyDescent="0.2">
      <c r="A80" s="109"/>
      <c r="B80" s="106"/>
      <c r="C80" s="106"/>
      <c r="D80" s="106"/>
      <c r="E80" s="106"/>
      <c r="F80" s="106"/>
      <c r="G80" s="47"/>
      <c r="H80" s="47"/>
    </row>
    <row r="81" spans="2:11" s="111" customFormat="1" ht="35.1" customHeight="1" x14ac:dyDescent="0.2">
      <c r="B81" s="106"/>
      <c r="C81" s="106"/>
      <c r="D81" s="106"/>
      <c r="E81" s="106"/>
      <c r="F81" s="106"/>
      <c r="G81" s="47"/>
      <c r="H81" s="47"/>
    </row>
    <row r="82" spans="2:11" s="106" customFormat="1" ht="61.5" customHeight="1" x14ac:dyDescent="0.2">
      <c r="H82" s="111"/>
      <c r="I82" s="111"/>
      <c r="J82" s="111"/>
      <c r="K82" s="108"/>
    </row>
    <row r="83" spans="2:11" s="106" customFormat="1" ht="35.1" customHeight="1" x14ac:dyDescent="0.2">
      <c r="G83" s="111"/>
      <c r="H83" s="111"/>
      <c r="I83" s="111"/>
      <c r="J83" s="111"/>
      <c r="K83" s="108"/>
    </row>
    <row r="84" spans="2:11" s="106" customFormat="1" ht="35.1" customHeight="1" x14ac:dyDescent="0.2">
      <c r="G84" s="111"/>
      <c r="H84" s="111"/>
      <c r="I84" s="111"/>
      <c r="J84" s="111"/>
      <c r="K84" s="108"/>
    </row>
    <row r="85" spans="2:11" s="106" customFormat="1" ht="35.1" customHeight="1" x14ac:dyDescent="0.2">
      <c r="F85" s="107"/>
      <c r="K85" s="108"/>
    </row>
    <row r="86" spans="2:11" s="106" customFormat="1" ht="50.1" customHeight="1" x14ac:dyDescent="0.2"/>
    <row r="87" spans="2:11" s="106" customFormat="1" ht="57.75" customHeight="1" x14ac:dyDescent="0.2">
      <c r="C87" s="112"/>
      <c r="D87" s="112"/>
      <c r="E87" s="112"/>
    </row>
    <row r="88" spans="2:11" s="106" customFormat="1" ht="35.1" customHeight="1" x14ac:dyDescent="0.2"/>
    <row r="89" spans="2:11" s="106" customFormat="1" ht="35.1" customHeight="1" x14ac:dyDescent="0.2">
      <c r="F89" s="108"/>
      <c r="G89" s="108"/>
      <c r="H89" s="108"/>
      <c r="I89" s="108"/>
      <c r="J89" s="108"/>
    </row>
    <row r="90" spans="2:11" s="106" customFormat="1" ht="35.1" customHeight="1" x14ac:dyDescent="0.2"/>
    <row r="91" spans="2:11" s="106" customFormat="1" ht="50.1" customHeight="1" x14ac:dyDescent="0.2">
      <c r="J91" s="47"/>
    </row>
    <row r="92" spans="2:11" s="106" customFormat="1" ht="55.5" customHeight="1" x14ac:dyDescent="0.2">
      <c r="J92" s="111"/>
    </row>
    <row r="93" spans="2:11" s="106" customFormat="1" ht="50.1" customHeight="1" x14ac:dyDescent="0.2">
      <c r="J93" s="111"/>
    </row>
    <row r="94" spans="2:11" s="107" customFormat="1" ht="31.5" customHeight="1" x14ac:dyDescent="0.2">
      <c r="J94" s="111"/>
    </row>
    <row r="95" spans="2:11" s="106" customFormat="1" ht="35.1" customHeight="1" x14ac:dyDescent="0.2">
      <c r="G95" s="111"/>
      <c r="H95" s="111"/>
      <c r="I95" s="111"/>
      <c r="J95" s="111"/>
    </row>
    <row r="96" spans="2:11" s="106" customFormat="1" ht="35.1" customHeight="1" x14ac:dyDescent="0.2">
      <c r="G96" s="111"/>
      <c r="H96" s="111"/>
      <c r="I96" s="111"/>
      <c r="J96" s="111"/>
    </row>
    <row r="97" spans="1:12" s="106" customFormat="1" ht="9.9499999999999993" customHeight="1" x14ac:dyDescent="0.2">
      <c r="G97" s="108"/>
      <c r="H97" s="108"/>
      <c r="I97" s="108"/>
      <c r="J97" s="108"/>
    </row>
    <row r="98" spans="1:12" s="106" customFormat="1" ht="35.1" customHeight="1" x14ac:dyDescent="0.2">
      <c r="J98" s="108"/>
      <c r="K98" s="108"/>
      <c r="L98" s="108"/>
    </row>
    <row r="99" spans="1:12" s="46" customFormat="1" ht="15" customHeight="1" x14ac:dyDescent="0.2">
      <c r="A99" s="47"/>
      <c r="G99" s="47"/>
      <c r="H99" s="47"/>
      <c r="I99" s="47"/>
      <c r="J99" s="47"/>
      <c r="K99" s="48"/>
    </row>
    <row r="100" spans="1:12" s="48" customFormat="1" ht="31.5" customHeight="1" x14ac:dyDescent="0.2">
      <c r="A100" s="47"/>
      <c r="B100" s="47"/>
      <c r="C100" s="47"/>
      <c r="D100" s="47"/>
      <c r="E100" s="47"/>
      <c r="F100" s="47"/>
      <c r="G100" s="47"/>
      <c r="H100" s="47"/>
      <c r="I100" s="47"/>
      <c r="J100" s="47"/>
    </row>
    <row r="101" spans="1:12" s="48" customFormat="1" ht="31.5" customHeight="1" x14ac:dyDescent="0.2"/>
    <row r="102" spans="1:12" s="48" customFormat="1" ht="31.5" customHeight="1" x14ac:dyDescent="0.2"/>
    <row r="103" spans="1:12" s="48" customFormat="1" ht="52.5" customHeight="1" x14ac:dyDescent="0.2"/>
    <row r="104" spans="1:12" s="48" customFormat="1" ht="31.5" customHeight="1" x14ac:dyDescent="0.2">
      <c r="K104" s="8"/>
    </row>
    <row r="105" spans="1:12" s="48" customFormat="1" ht="31.5" customHeight="1" x14ac:dyDescent="0.2">
      <c r="K105" s="8"/>
    </row>
    <row r="106" spans="1:12" ht="31.5" customHeight="1" x14ac:dyDescent="0.2">
      <c r="G106" s="76"/>
    </row>
    <row r="107" spans="1:12" ht="51" customHeight="1" x14ac:dyDescent="0.2"/>
    <row r="109" spans="1:12" ht="31.5" customHeight="1" x14ac:dyDescent="0.2">
      <c r="B109" s="29"/>
      <c r="C109" s="29"/>
      <c r="D109" s="29"/>
      <c r="E109" s="29"/>
      <c r="F109" s="29"/>
      <c r="G109" s="29"/>
      <c r="H109" s="29"/>
      <c r="I109" s="29"/>
      <c r="J109" s="29"/>
    </row>
    <row r="110" spans="1:12" ht="31.5" customHeight="1" x14ac:dyDescent="0.2">
      <c r="B110" s="29"/>
      <c r="C110" s="29"/>
      <c r="D110" s="29"/>
      <c r="E110" s="29"/>
      <c r="F110" s="29"/>
      <c r="G110" s="29"/>
      <c r="H110" s="29"/>
      <c r="I110" s="29"/>
      <c r="J110" s="29"/>
    </row>
    <row r="111" spans="1:12" ht="31.5" customHeight="1" x14ac:dyDescent="0.2">
      <c r="B111" s="29"/>
      <c r="C111" s="29"/>
      <c r="D111" s="29"/>
      <c r="E111" s="29"/>
      <c r="F111" s="29"/>
      <c r="G111" s="29"/>
      <c r="H111" s="29"/>
      <c r="I111" s="29"/>
      <c r="J111" s="29"/>
    </row>
    <row r="112" spans="1:12" ht="31.5" customHeight="1" x14ac:dyDescent="0.2">
      <c r="B112" s="29"/>
      <c r="C112" s="29"/>
      <c r="D112" s="29"/>
      <c r="E112" s="29"/>
      <c r="F112" s="29"/>
      <c r="G112" s="29"/>
      <c r="H112" s="29"/>
      <c r="I112" s="29"/>
      <c r="J112" s="29"/>
    </row>
    <row r="113" spans="2:10" ht="31.5" customHeight="1" x14ac:dyDescent="0.2">
      <c r="B113" s="29"/>
      <c r="C113" s="29"/>
      <c r="D113" s="29"/>
      <c r="E113" s="29"/>
      <c r="F113" s="29"/>
      <c r="G113" s="29"/>
      <c r="H113" s="29"/>
      <c r="I113" s="29"/>
      <c r="J113" s="29"/>
    </row>
    <row r="114" spans="2:10" ht="31.5" customHeight="1" x14ac:dyDescent="0.2">
      <c r="B114" s="29"/>
      <c r="C114" s="29"/>
      <c r="D114" s="29"/>
      <c r="E114" s="29"/>
      <c r="F114" s="29"/>
      <c r="G114" s="29"/>
      <c r="H114" s="29"/>
      <c r="I114" s="29"/>
      <c r="J114" s="29"/>
    </row>
    <row r="115" spans="2:10" ht="31.5" customHeight="1" x14ac:dyDescent="0.2">
      <c r="B115" s="29"/>
      <c r="C115" s="29"/>
      <c r="D115" s="29"/>
      <c r="E115" s="29"/>
      <c r="F115" s="29"/>
      <c r="G115" s="29"/>
      <c r="H115" s="29"/>
      <c r="I115" s="29"/>
      <c r="J115" s="29"/>
    </row>
  </sheetData>
  <sheetProtection password="CF5C" sheet="1" objects="1" scenarios="1"/>
  <mergeCells count="62">
    <mergeCell ref="A13:B13"/>
    <mergeCell ref="F13:I13"/>
    <mergeCell ref="A1:B1"/>
    <mergeCell ref="C1:M1"/>
    <mergeCell ref="I3:J4"/>
    <mergeCell ref="A6:D6"/>
    <mergeCell ref="F6:I6"/>
    <mergeCell ref="F9:G9"/>
    <mergeCell ref="A10:B10"/>
    <mergeCell ref="F10:G10"/>
    <mergeCell ref="A11:B11"/>
    <mergeCell ref="F11:G11"/>
    <mergeCell ref="A12:B12"/>
    <mergeCell ref="A27:B27"/>
    <mergeCell ref="G27:H27"/>
    <mergeCell ref="A14:B14"/>
    <mergeCell ref="A15:B15"/>
    <mergeCell ref="A16:B16"/>
    <mergeCell ref="C16:D16"/>
    <mergeCell ref="A18:J18"/>
    <mergeCell ref="F19:G19"/>
    <mergeCell ref="J19:J20"/>
    <mergeCell ref="A20:B20"/>
    <mergeCell ref="E20:F20"/>
    <mergeCell ref="A22:J22"/>
    <mergeCell ref="C24:D24"/>
    <mergeCell ref="F24:G24"/>
    <mergeCell ref="C26:F26"/>
    <mergeCell ref="G26:H26"/>
    <mergeCell ref="A49:B49"/>
    <mergeCell ref="G49:H49"/>
    <mergeCell ref="A28:A31"/>
    <mergeCell ref="C33:D33"/>
    <mergeCell ref="F33:G33"/>
    <mergeCell ref="A36:J36"/>
    <mergeCell ref="B38:F38"/>
    <mergeCell ref="H38:J38"/>
    <mergeCell ref="H39:J42"/>
    <mergeCell ref="A46:J46"/>
    <mergeCell ref="A47:B48"/>
    <mergeCell ref="C47:E47"/>
    <mergeCell ref="G48:H48"/>
    <mergeCell ref="A56:J56"/>
    <mergeCell ref="A58:B58"/>
    <mergeCell ref="C58:D58"/>
    <mergeCell ref="E58:F58"/>
    <mergeCell ref="H60:M60"/>
    <mergeCell ref="A50:B50"/>
    <mergeCell ref="G50:H50"/>
    <mergeCell ref="A52:J52"/>
    <mergeCell ref="D53:E53"/>
    <mergeCell ref="H53:I53"/>
    <mergeCell ref="F74:G74"/>
    <mergeCell ref="H74:H76"/>
    <mergeCell ref="I74:K74"/>
    <mergeCell ref="J75:K75"/>
    <mergeCell ref="J76:K76"/>
    <mergeCell ref="D70:E70"/>
    <mergeCell ref="D71:E71"/>
    <mergeCell ref="B72:K72"/>
    <mergeCell ref="B73:E73"/>
    <mergeCell ref="H73:K73"/>
  </mergeCells>
  <printOptions horizontalCentered="1"/>
  <pageMargins left="0.70866141732283472" right="0.70866141732283472" top="0.74803149606299213" bottom="0.74803149606299213" header="0.31496062992125984" footer="0.31496062992125984"/>
  <pageSetup scale="13" orientation="portrait" r:id="rId1"/>
  <headerFooter>
    <oddHeader xml:space="preserve">&amp;C
&amp;16   
</oddHeader>
    <oddFooter xml:space="preserve">&amp;RRT03-F13 Vr.14 (2021-05-21)
</oddFooter>
  </headerFooter>
  <rowBreaks count="1" manualBreakCount="1">
    <brk id="34" max="12" man="1"/>
  </rowBreaks>
  <drawing r:id="rId2"/>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2100-000000000000}">
          <x14:formula1>
            <xm:f>'DATOS %'!$J$174:$J$179</xm:f>
          </x14:formula1>
          <xm:sqref>J19:J20</xm:sqref>
        </x14:dataValidation>
        <x14:dataValidation type="list" allowBlank="1" showInputMessage="1" showErrorMessage="1" xr:uid="{00000000-0002-0000-2100-000001000000}">
          <x14:formula1>
            <xm:f>'DATOS %'!$N$121:$N$166</xm:f>
          </x14:formula1>
          <xm:sqref>F48</xm:sqref>
        </x14:dataValidation>
        <x14:dataValidation type="list" allowBlank="1" showInputMessage="1" showErrorMessage="1" xr:uid="{00000000-0002-0000-2100-000002000000}">
          <x14:formula1>
            <xm:f>'DATOS %'!$N$29:$N$113</xm:f>
          </x14:formula1>
          <xm:sqref>E6</xm:sqref>
        </x14:dataValidation>
        <x14:dataValidation type="list" allowBlank="1" showInputMessage="1" showErrorMessage="1" xr:uid="{00000000-0002-0000-2100-000003000000}">
          <x14:formula1>
            <xm:f>'DATOS %'!$V$120:$V$126</xm:f>
          </x14:formula1>
          <xm:sqref>J13</xm:sqref>
        </x14:dataValidation>
        <x14:dataValidation type="list" allowBlank="1" showInputMessage="1" showErrorMessage="1" xr:uid="{00000000-0002-0000-2100-000004000000}">
          <x14:formula1>
            <xm:f>'DATOS %'!$V$161:$V$165</xm:f>
          </x14:formula1>
          <xm:sqref>H25</xm:sqref>
        </x14:dataValidation>
        <x14:dataValidation type="list" allowBlank="1" showInputMessage="1" showErrorMessage="1" xr:uid="{00000000-0002-0000-2100-000005000000}">
          <x14:formula1>
            <xm:f>'DATOS %'!$B$7:$B$40</xm:f>
          </x14:formula1>
          <xm:sqref>I3:J4</xm:sqref>
        </x14:dataValidation>
      </x14:dataValidations>
    </ext>
  </extLst>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U115"/>
  <sheetViews>
    <sheetView showGridLines="0" view="pageBreakPreview" zoomScale="80" zoomScaleNormal="60" zoomScaleSheetLayoutView="80" workbookViewId="0">
      <selection activeCell="C65" sqref="C65"/>
    </sheetView>
  </sheetViews>
  <sheetFormatPr baseColWidth="10" defaultColWidth="11.42578125" defaultRowHeight="31.5" customHeight="1" x14ac:dyDescent="0.2"/>
  <cols>
    <col min="1" max="1" width="14.7109375" style="37" customWidth="1"/>
    <col min="2" max="2" width="19" style="37" customWidth="1"/>
    <col min="3" max="3" width="15.7109375" style="37" customWidth="1"/>
    <col min="4" max="4" width="17" style="37" customWidth="1"/>
    <col min="5" max="5" width="15.5703125" style="37" customWidth="1"/>
    <col min="6" max="6" width="18.5703125" style="37" customWidth="1"/>
    <col min="7" max="7" width="15.7109375" style="37" customWidth="1"/>
    <col min="8" max="8" width="24.42578125" style="37" bestFit="1" customWidth="1"/>
    <col min="9" max="9" width="13.85546875" style="37" bestFit="1" customWidth="1"/>
    <col min="10" max="10" width="13.7109375" style="37" customWidth="1"/>
    <col min="11" max="19" width="11.42578125" style="8"/>
    <col min="20" max="20" width="15.85546875" style="8" bestFit="1" customWidth="1"/>
    <col min="21" max="21" width="14.42578125" style="8" bestFit="1" customWidth="1"/>
    <col min="22" max="16384" width="11.42578125" style="8"/>
  </cols>
  <sheetData>
    <row r="1" spans="1:16" ht="60" customHeight="1" thickBot="1" x14ac:dyDescent="0.25">
      <c r="A1" s="1257"/>
      <c r="B1" s="1258"/>
      <c r="C1" s="1259" t="s">
        <v>57</v>
      </c>
      <c r="D1" s="1260"/>
      <c r="E1" s="1260"/>
      <c r="F1" s="1260"/>
      <c r="G1" s="1260"/>
      <c r="H1" s="1260"/>
      <c r="I1" s="1260"/>
      <c r="J1" s="1260"/>
      <c r="K1" s="1260"/>
      <c r="L1" s="1260"/>
      <c r="M1" s="1261"/>
      <c r="N1" s="7"/>
      <c r="O1" s="7"/>
      <c r="P1" s="7"/>
    </row>
    <row r="2" spans="1:16" s="11" customFormat="1" ht="9.75" customHeight="1" thickBot="1" x14ac:dyDescent="0.25">
      <c r="A2" s="9"/>
      <c r="B2" s="9"/>
      <c r="C2" s="10"/>
      <c r="D2" s="10"/>
      <c r="E2" s="10"/>
      <c r="F2" s="10"/>
      <c r="G2" s="10"/>
      <c r="H2" s="10"/>
      <c r="K2" s="12"/>
      <c r="M2" s="7"/>
    </row>
    <row r="3" spans="1:16" s="12" customFormat="1" ht="35.25" customHeight="1" thickBot="1" x14ac:dyDescent="0.25">
      <c r="A3" s="13" t="s">
        <v>17</v>
      </c>
      <c r="B3" s="14" t="s">
        <v>55</v>
      </c>
      <c r="C3" s="15" t="s">
        <v>209</v>
      </c>
      <c r="D3" s="15" t="s">
        <v>56</v>
      </c>
      <c r="E3" s="15" t="s">
        <v>8</v>
      </c>
      <c r="F3" s="16" t="s">
        <v>18</v>
      </c>
      <c r="G3" s="16" t="s">
        <v>297</v>
      </c>
      <c r="H3" s="17" t="s">
        <v>24</v>
      </c>
      <c r="I3" s="1262"/>
      <c r="J3" s="1263"/>
      <c r="K3" s="11"/>
      <c r="M3" s="7"/>
    </row>
    <row r="4" spans="1:16" s="11" customFormat="1" ht="32.25" customHeight="1" thickBot="1" x14ac:dyDescent="0.25">
      <c r="A4" s="18" t="e">
        <f>VLOOKUP($I$3,'DATOS %'!B7:J40,2,FALSE)</f>
        <v>#N/A</v>
      </c>
      <c r="B4" s="212" t="e">
        <f>VLOOKUP($I$3,'DATOS %'!$B$7:$J$40,3,FALSE)</f>
        <v>#N/A</v>
      </c>
      <c r="C4" s="19" t="e">
        <f>VLOOKUP($I$3,'DATOS %'!$B$7:$J$40,8,FALSE)</f>
        <v>#N/A</v>
      </c>
      <c r="D4" s="19" t="e">
        <f>VLOOKUP($I$3,'DATOS %'!$B$7:$J$40,6,FALSE)</f>
        <v>#N/A</v>
      </c>
      <c r="E4" s="212" t="e">
        <f>VLOOKUP($I$3,'DATOS %'!$B$7:$J$40,7,FALSE)</f>
        <v>#N/A</v>
      </c>
      <c r="F4" s="18" t="e">
        <f>VLOOKUP($I$3,'DATOS %'!$B$7:$J$40,4,FALSE)</f>
        <v>#N/A</v>
      </c>
      <c r="G4" s="18" t="e">
        <f>VLOOKUP($I$3,'DATOS %'!$B$7:$J$40,5,FALSE)</f>
        <v>#N/A</v>
      </c>
      <c r="H4" s="19" t="e">
        <f>VLOOKUP($I$3,'DATOS %'!$B$7:$J$40,9,FALSE)</f>
        <v>#N/A</v>
      </c>
      <c r="I4" s="1264"/>
      <c r="J4" s="1265"/>
      <c r="K4" s="8"/>
      <c r="L4" s="20"/>
      <c r="M4" s="20"/>
    </row>
    <row r="5" spans="1:16" s="22" customFormat="1" ht="6.75" customHeight="1" thickBot="1" x14ac:dyDescent="0.25">
      <c r="A5" s="21"/>
      <c r="B5" s="21"/>
      <c r="C5" s="21"/>
      <c r="F5" s="21"/>
      <c r="G5" s="21"/>
      <c r="H5" s="21"/>
      <c r="K5" s="8"/>
    </row>
    <row r="6" spans="1:16" ht="31.5" customHeight="1" thickBot="1" x14ac:dyDescent="0.25">
      <c r="A6" s="1266" t="s">
        <v>19</v>
      </c>
      <c r="B6" s="1267"/>
      <c r="C6" s="1267"/>
      <c r="D6" s="1268"/>
      <c r="E6" s="4"/>
      <c r="F6" s="1266" t="s">
        <v>20</v>
      </c>
      <c r="G6" s="1267"/>
      <c r="H6" s="1267"/>
      <c r="I6" s="1268"/>
      <c r="J6" s="523">
        <f>I3</f>
        <v>0</v>
      </c>
      <c r="K6" s="403"/>
    </row>
    <row r="7" spans="1:16" ht="31.5" customHeight="1" x14ac:dyDescent="0.2">
      <c r="A7" s="23" t="s">
        <v>21</v>
      </c>
      <c r="B7" s="24" t="e">
        <f>VLOOKUP($E$6,'DATOS %'!N11:AA113,2,FALSE)</f>
        <v>#N/A</v>
      </c>
      <c r="C7" s="25" t="s">
        <v>10</v>
      </c>
      <c r="D7" s="26" t="e">
        <f>VLOOKUP($E$6,'DATOS %'!N11:AA113,3,FALSE)</f>
        <v>#N/A</v>
      </c>
      <c r="E7" s="27"/>
      <c r="F7" s="23" t="s">
        <v>21</v>
      </c>
      <c r="G7" s="24" t="e">
        <f>VLOOKUP($J$6,'DATOS %'!B47:I79,2,FALSE)</f>
        <v>#N/A</v>
      </c>
      <c r="H7" s="28" t="s">
        <v>10</v>
      </c>
      <c r="I7" s="26" t="e">
        <f>VLOOKUP($J$6,'DATOS %'!B47:I79,3,FALSE)</f>
        <v>#N/A</v>
      </c>
      <c r="J7" s="29"/>
    </row>
    <row r="8" spans="1:16" ht="31.5" customHeight="1" x14ac:dyDescent="0.2">
      <c r="A8" s="30" t="s">
        <v>22</v>
      </c>
      <c r="B8" s="31" t="e">
        <f>VLOOKUP($E$6,'DATOS %'!N11:AA113,4,FALSE)</f>
        <v>#N/A</v>
      </c>
      <c r="C8" s="32" t="s">
        <v>23</v>
      </c>
      <c r="D8" s="33" t="e">
        <f>VLOOKUP($E$6,'DATOS %'!N11:AA113,5,FALSE)</f>
        <v>#N/A</v>
      </c>
      <c r="E8" s="27"/>
      <c r="F8" s="30" t="s">
        <v>22</v>
      </c>
      <c r="G8" s="31" t="e">
        <f>VLOOKUP($J$6,'DATOS %'!B47:I79,4,FALSE)</f>
        <v>#N/A</v>
      </c>
      <c r="H8" s="32" t="s">
        <v>23</v>
      </c>
      <c r="I8" s="297" t="e">
        <f>VLOOKUP($J$6,'DATOS %'!B47:I79,5,FALSE)</f>
        <v>#N/A</v>
      </c>
      <c r="J8" s="29"/>
    </row>
    <row r="9" spans="1:16" ht="31.5" customHeight="1" x14ac:dyDescent="0.2">
      <c r="A9" s="34" t="s">
        <v>24</v>
      </c>
      <c r="B9" s="31" t="e">
        <f>VLOOKUP($E$6,'DATOS %'!N11:AA113,6,FALSE)</f>
        <v>#N/A</v>
      </c>
      <c r="C9" s="35" t="s">
        <v>15</v>
      </c>
      <c r="D9" s="36" t="e">
        <f>VLOOKUP($E$6,'DATOS %'!N11:AA113,7,FALSE)</f>
        <v>#N/A</v>
      </c>
      <c r="F9" s="1252" t="s">
        <v>62</v>
      </c>
      <c r="G9" s="1253"/>
      <c r="H9" s="31" t="e">
        <f>VLOOKUP($J$6,'DATOS %'!B47:I79,6,FALSE)</f>
        <v>#N/A</v>
      </c>
      <c r="I9" s="33" t="s">
        <v>1</v>
      </c>
      <c r="J9" s="29"/>
      <c r="K9" s="208"/>
    </row>
    <row r="10" spans="1:16" s="38" customFormat="1" ht="31.5" customHeight="1" x14ac:dyDescent="0.25">
      <c r="A10" s="1252" t="s">
        <v>63</v>
      </c>
      <c r="B10" s="1253"/>
      <c r="C10" s="31" t="e">
        <f>VLOOKUP($E$6,'DATOS %'!N11:AA113,8,FALSE)</f>
        <v>#N/A</v>
      </c>
      <c r="D10" s="33" t="s">
        <v>1</v>
      </c>
      <c r="F10" s="1252" t="s">
        <v>64</v>
      </c>
      <c r="G10" s="1253"/>
      <c r="H10" s="213" t="e">
        <f>VLOOKUP($J$6,'DATOS %'!B47:I79,7,FALSE)</f>
        <v>#N/A</v>
      </c>
      <c r="I10" s="33" t="s">
        <v>532</v>
      </c>
      <c r="J10" s="39"/>
    </row>
    <row r="11" spans="1:16" s="38" customFormat="1" ht="31.5" customHeight="1" thickBot="1" x14ac:dyDescent="0.3">
      <c r="A11" s="1252" t="s">
        <v>65</v>
      </c>
      <c r="B11" s="1253"/>
      <c r="C11" s="31" t="e">
        <f>VLOOKUP($E$6,'DATOS %'!N11:AA113,9,FALSE)</f>
        <v>#N/A</v>
      </c>
      <c r="D11" s="33" t="s">
        <v>3</v>
      </c>
      <c r="E11" s="40"/>
      <c r="F11" s="1271" t="s">
        <v>66</v>
      </c>
      <c r="G11" s="1272"/>
      <c r="H11" s="41" t="e">
        <f>VLOOKUP($J$6,'DATOS %'!B47:I79,8,FALSE)</f>
        <v>#N/A</v>
      </c>
      <c r="I11" s="45" t="s">
        <v>532</v>
      </c>
      <c r="J11" s="39"/>
    </row>
    <row r="12" spans="1:16" s="38" customFormat="1" ht="31.5" customHeight="1" thickBot="1" x14ac:dyDescent="0.3">
      <c r="A12" s="1252" t="s">
        <v>67</v>
      </c>
      <c r="B12" s="1253"/>
      <c r="C12" s="31" t="e">
        <f>VLOOKUP($E$6,'DATOS %'!N11:AA113,10,FALSE)</f>
        <v>#N/A</v>
      </c>
      <c r="D12" s="33" t="s">
        <v>3</v>
      </c>
      <c r="E12" s="39"/>
      <c r="F12" s="39"/>
      <c r="G12" s="39"/>
      <c r="H12" s="39"/>
    </row>
    <row r="13" spans="1:16" s="38" customFormat="1" ht="31.5" customHeight="1" thickBot="1" x14ac:dyDescent="0.3">
      <c r="A13" s="1252" t="s">
        <v>68</v>
      </c>
      <c r="B13" s="1253"/>
      <c r="C13" s="213" t="e">
        <f>VLOOKUP($E$6,'DATOS %'!N11:AA113,11,FALSE)</f>
        <v>#N/A</v>
      </c>
      <c r="D13" s="33" t="s">
        <v>532</v>
      </c>
      <c r="E13" s="39"/>
      <c r="F13" s="1254" t="s">
        <v>559</v>
      </c>
      <c r="G13" s="1255"/>
      <c r="H13" s="1255"/>
      <c r="I13" s="1256"/>
      <c r="J13" s="5"/>
    </row>
    <row r="14" spans="1:16" s="38" customFormat="1" ht="31.5" customHeight="1" x14ac:dyDescent="0.2">
      <c r="A14" s="1252" t="s">
        <v>305</v>
      </c>
      <c r="B14" s="1253"/>
      <c r="C14" s="31" t="e">
        <f>VLOOKUP($E$6,'DATOS %'!N11:AA113,12,FALSE)</f>
        <v>#N/A</v>
      </c>
      <c r="D14" s="33" t="s">
        <v>532</v>
      </c>
      <c r="E14" s="39"/>
      <c r="F14" s="23" t="s">
        <v>10</v>
      </c>
      <c r="G14" s="24" t="e">
        <f>VLOOKUP($J$13,'DATOS %'!$V$119:$Y$126,2,FALSE)</f>
        <v>#N/A</v>
      </c>
      <c r="H14" s="28" t="s">
        <v>22</v>
      </c>
      <c r="I14" s="24" t="e">
        <f>VLOOKUP($J$13,'DATOS %'!$V$119:$Z$126,3,FALSE)</f>
        <v>#N/A</v>
      </c>
      <c r="J14" s="42"/>
      <c r="K14" s="8"/>
    </row>
    <row r="15" spans="1:16" ht="31.5" customHeight="1" thickBot="1" x14ac:dyDescent="0.25">
      <c r="A15" s="1277" t="s">
        <v>69</v>
      </c>
      <c r="B15" s="1278"/>
      <c r="C15" s="31" t="e">
        <f>VLOOKUP($E$6,'DATOS %'!N11:AA113,13,FALSE)</f>
        <v>#N/A</v>
      </c>
      <c r="D15" s="33" t="s">
        <v>532</v>
      </c>
      <c r="E15" s="29"/>
      <c r="F15" s="43" t="s">
        <v>61</v>
      </c>
      <c r="G15" s="41" t="e">
        <f>VLOOKUP($J$13,'DATOS %'!$V$119:$Y$126,4,FALSE)</f>
        <v>#N/A</v>
      </c>
      <c r="H15" s="41" t="s">
        <v>1</v>
      </c>
      <c r="I15" s="44" t="s">
        <v>210</v>
      </c>
      <c r="J15" s="45" t="e">
        <f>VLOOKUP($J$13,'DATOS %'!$V$119:$Z$126,5,FALSE)</f>
        <v>#N/A</v>
      </c>
      <c r="K15" s="22"/>
    </row>
    <row r="16" spans="1:16" ht="30.95" customHeight="1" thickBot="1" x14ac:dyDescent="0.25">
      <c r="A16" s="1279" t="s">
        <v>210</v>
      </c>
      <c r="B16" s="1280"/>
      <c r="C16" s="1281" t="e">
        <f>VLOOKUP($E$6,'DATOS %'!N11:AA113,14,FALSE)</f>
        <v>#N/A</v>
      </c>
      <c r="D16" s="1282"/>
      <c r="E16" s="29"/>
      <c r="F16" s="8"/>
      <c r="G16" s="8"/>
      <c r="H16" s="8"/>
      <c r="I16" s="8"/>
      <c r="J16" s="8"/>
    </row>
    <row r="17" spans="1:11" s="22" customFormat="1" ht="30.95" customHeight="1" thickBot="1" x14ac:dyDescent="0.25">
      <c r="A17" s="29"/>
      <c r="B17" s="29"/>
      <c r="C17" s="29"/>
      <c r="D17" s="29"/>
      <c r="E17" s="29"/>
      <c r="F17" s="29"/>
      <c r="G17" s="29"/>
      <c r="H17" s="29"/>
      <c r="I17" s="29"/>
      <c r="J17" s="29"/>
      <c r="K17" s="8"/>
    </row>
    <row r="18" spans="1:11" ht="31.5" customHeight="1" thickBot="1" x14ac:dyDescent="0.25">
      <c r="A18" s="1283" t="s">
        <v>26</v>
      </c>
      <c r="B18" s="1284"/>
      <c r="C18" s="1284"/>
      <c r="D18" s="1284"/>
      <c r="E18" s="1284"/>
      <c r="F18" s="1284"/>
      <c r="G18" s="1284"/>
      <c r="H18" s="1284"/>
      <c r="I18" s="1284"/>
      <c r="J18" s="1285"/>
    </row>
    <row r="19" spans="1:11" ht="46.5" customHeight="1" thickBot="1" x14ac:dyDescent="0.25">
      <c r="A19" s="96" t="s">
        <v>10</v>
      </c>
      <c r="B19" s="97" t="e">
        <f>VLOOKUP(J19,'DATOS %'!J174:W180,2,FALSE)</f>
        <v>#N/A</v>
      </c>
      <c r="C19" s="98" t="s">
        <v>7</v>
      </c>
      <c r="D19" s="99" t="e">
        <f>VLOOKUP(J19,'DATOS %'!J174:W180,3,FALSE)</f>
        <v>#N/A</v>
      </c>
      <c r="E19" s="298" t="s">
        <v>24</v>
      </c>
      <c r="F19" s="1286" t="e">
        <f>VLOOKUP(J19,'DATOS %'!J174:W180,5,FALSE)</f>
        <v>#N/A</v>
      </c>
      <c r="G19" s="1287"/>
      <c r="H19" s="98" t="s">
        <v>25</v>
      </c>
      <c r="I19" s="212" t="e">
        <f>VLOOKUP(J19,'DATOS %'!J174:W180,4,FALSE)</f>
        <v>#N/A</v>
      </c>
      <c r="J19" s="1288"/>
    </row>
    <row r="20" spans="1:11" ht="31.5" customHeight="1" thickBot="1" x14ac:dyDescent="0.25">
      <c r="A20" s="1290" t="s">
        <v>316</v>
      </c>
      <c r="B20" s="1291"/>
      <c r="C20" s="94" t="s">
        <v>27</v>
      </c>
      <c r="D20" s="101" t="e">
        <f>VLOOKUP(J19,'DATOS %'!J174:W180,6,FALSE)</f>
        <v>#N/A</v>
      </c>
      <c r="E20" s="1292" t="s">
        <v>307</v>
      </c>
      <c r="F20" s="1293"/>
      <c r="G20" s="101" t="e">
        <f>VLOOKUP(J19,'DATOS %'!J174:W180,7,FALSE)</f>
        <v>#N/A</v>
      </c>
      <c r="H20" s="95" t="s">
        <v>9</v>
      </c>
      <c r="I20" s="214" t="e">
        <f>VLOOKUP(J19,'DATOS %'!J174:W180,8,FALSE)</f>
        <v>#N/A</v>
      </c>
      <c r="J20" s="1289"/>
    </row>
    <row r="21" spans="1:11" s="46" customFormat="1" ht="15" customHeight="1" thickBot="1" x14ac:dyDescent="0.25">
      <c r="A21" s="47"/>
      <c r="B21" s="47"/>
      <c r="C21" s="47"/>
      <c r="D21" s="47"/>
      <c r="E21" s="47"/>
      <c r="F21" s="47"/>
      <c r="G21" s="47"/>
      <c r="H21" s="47"/>
      <c r="I21" s="47"/>
      <c r="J21" s="47"/>
      <c r="K21" s="8"/>
    </row>
    <row r="22" spans="1:11" s="48" customFormat="1" ht="31.5" customHeight="1" thickBot="1" x14ac:dyDescent="0.25">
      <c r="A22" s="1294" t="s">
        <v>28</v>
      </c>
      <c r="B22" s="1295"/>
      <c r="C22" s="1295"/>
      <c r="D22" s="1295"/>
      <c r="E22" s="1295"/>
      <c r="F22" s="1295"/>
      <c r="G22" s="1295"/>
      <c r="H22" s="1295"/>
      <c r="I22" s="1295"/>
      <c r="J22" s="1296"/>
      <c r="K22" s="47"/>
    </row>
    <row r="23" spans="1:11" s="47" customFormat="1" ht="2.25" customHeight="1" thickBot="1" x14ac:dyDescent="0.25">
      <c r="A23" s="49"/>
      <c r="B23" s="50"/>
      <c r="C23" s="50"/>
      <c r="D23" s="50"/>
      <c r="E23" s="50"/>
      <c r="F23" s="50"/>
      <c r="G23" s="50"/>
      <c r="H23" s="50"/>
      <c r="I23" s="50"/>
      <c r="J23" s="51"/>
      <c r="K23" s="48"/>
    </row>
    <row r="24" spans="1:11" s="48" customFormat="1" ht="31.5" customHeight="1" thickBot="1" x14ac:dyDescent="0.25">
      <c r="A24" s="52" t="s">
        <v>29</v>
      </c>
      <c r="B24" s="916"/>
      <c r="C24" s="1297" t="s">
        <v>27</v>
      </c>
      <c r="D24" s="1298"/>
      <c r="E24" s="1"/>
      <c r="F24" s="1299" t="s">
        <v>307</v>
      </c>
      <c r="G24" s="1300"/>
      <c r="H24" s="2"/>
      <c r="I24" s="224" t="s">
        <v>9</v>
      </c>
      <c r="J24" s="215"/>
      <c r="K24" s="46"/>
    </row>
    <row r="25" spans="1:11" s="46" customFormat="1" ht="15" customHeight="1" thickBot="1" x14ac:dyDescent="0.25">
      <c r="A25" s="47"/>
      <c r="B25" s="47"/>
      <c r="C25" s="47"/>
      <c r="D25" s="47"/>
      <c r="E25" s="47"/>
      <c r="F25" s="47"/>
      <c r="G25" s="47"/>
      <c r="H25" s="6"/>
      <c r="I25" s="47"/>
      <c r="K25" s="48"/>
    </row>
    <row r="26" spans="1:11" s="48" customFormat="1" ht="29.25" customHeight="1" thickBot="1" x14ac:dyDescent="0.25">
      <c r="A26" s="115" t="s">
        <v>129</v>
      </c>
      <c r="B26" s="105">
        <v>4</v>
      </c>
      <c r="C26" s="1301" t="s">
        <v>30</v>
      </c>
      <c r="D26" s="1302"/>
      <c r="E26" s="1302"/>
      <c r="F26" s="1303"/>
      <c r="G26" s="1304" t="s">
        <v>211</v>
      </c>
      <c r="H26" s="1305"/>
    </row>
    <row r="27" spans="1:11" s="48" customFormat="1" ht="31.5" customHeight="1" thickBot="1" x14ac:dyDescent="0.25">
      <c r="A27" s="1273" t="s">
        <v>31</v>
      </c>
      <c r="B27" s="1274"/>
      <c r="C27" s="131">
        <v>1</v>
      </c>
      <c r="D27" s="131">
        <v>2</v>
      </c>
      <c r="E27" s="131">
        <v>3</v>
      </c>
      <c r="F27" s="129">
        <v>4</v>
      </c>
      <c r="G27" s="1275" t="e">
        <f>VLOOKUP($H$25,'DATOS %'!$V$161:$AA$165,2,FALSE)</f>
        <v>#N/A</v>
      </c>
      <c r="H27" s="1276"/>
    </row>
    <row r="28" spans="1:11" s="48" customFormat="1" ht="31.5" customHeight="1" x14ac:dyDescent="0.2">
      <c r="A28" s="1310" t="s">
        <v>32</v>
      </c>
      <c r="B28" s="141" t="s">
        <v>0</v>
      </c>
      <c r="C28" s="142"/>
      <c r="D28" s="142"/>
      <c r="E28" s="142"/>
      <c r="F28" s="143"/>
      <c r="G28" s="47"/>
      <c r="H28" s="47"/>
      <c r="I28" s="47"/>
      <c r="J28" s="47"/>
    </row>
    <row r="29" spans="1:11" s="48" customFormat="1" ht="31.5" customHeight="1" x14ac:dyDescent="0.2">
      <c r="A29" s="1311"/>
      <c r="B29" s="104" t="s">
        <v>2</v>
      </c>
      <c r="C29" s="127"/>
      <c r="D29" s="127"/>
      <c r="E29" s="127"/>
      <c r="F29" s="128"/>
      <c r="G29" s="47"/>
      <c r="H29" s="47"/>
      <c r="I29" s="47"/>
      <c r="J29" s="47"/>
    </row>
    <row r="30" spans="1:11" s="48" customFormat="1" ht="31.5" customHeight="1" x14ac:dyDescent="0.2">
      <c r="A30" s="1311"/>
      <c r="B30" s="104" t="s">
        <v>2</v>
      </c>
      <c r="C30" s="127"/>
      <c r="D30" s="127"/>
      <c r="E30" s="127"/>
      <c r="F30" s="128"/>
      <c r="G30" s="47"/>
      <c r="H30" s="47"/>
      <c r="I30" s="47"/>
      <c r="J30" s="47"/>
    </row>
    <row r="31" spans="1:11" s="48" customFormat="1" ht="31.5" customHeight="1" thickBot="1" x14ac:dyDescent="0.25">
      <c r="A31" s="1312"/>
      <c r="B31" s="53" t="s">
        <v>0</v>
      </c>
      <c r="C31" s="144"/>
      <c r="D31" s="144"/>
      <c r="E31" s="144"/>
      <c r="F31" s="145"/>
      <c r="G31" s="47"/>
      <c r="H31" s="47"/>
      <c r="I31" s="47"/>
      <c r="J31" s="47"/>
      <c r="K31" s="46"/>
    </row>
    <row r="32" spans="1:11" s="46" customFormat="1" ht="15" customHeight="1" thickBot="1" x14ac:dyDescent="0.25">
      <c r="A32" s="47"/>
      <c r="B32" s="47"/>
      <c r="C32" s="47"/>
      <c r="D32" s="47"/>
      <c r="E32" s="47"/>
      <c r="F32" s="47"/>
      <c r="G32" s="47"/>
      <c r="H32" s="47"/>
      <c r="I32" s="47"/>
      <c r="J32" s="47"/>
      <c r="K32" s="48"/>
    </row>
    <row r="33" spans="1:13" s="48" customFormat="1" ht="31.5" customHeight="1" thickBot="1" x14ac:dyDescent="0.25">
      <c r="A33" s="54" t="s">
        <v>33</v>
      </c>
      <c r="B33" s="916"/>
      <c r="C33" s="1297" t="s">
        <v>27</v>
      </c>
      <c r="D33" s="1298"/>
      <c r="E33" s="1"/>
      <c r="F33" s="1299" t="s">
        <v>307</v>
      </c>
      <c r="G33" s="1300"/>
      <c r="H33" s="2"/>
      <c r="I33" s="225" t="s">
        <v>9</v>
      </c>
      <c r="J33" s="3"/>
      <c r="K33" s="46"/>
    </row>
    <row r="34" spans="1:13" s="46" customFormat="1" ht="12" customHeight="1" x14ac:dyDescent="0.2">
      <c r="A34" s="55"/>
      <c r="B34" s="55"/>
      <c r="C34" s="55"/>
      <c r="D34" s="55"/>
      <c r="E34" s="55"/>
      <c r="F34" s="55"/>
      <c r="G34" s="55"/>
      <c r="H34" s="55"/>
      <c r="I34" s="55"/>
      <c r="J34" s="55"/>
      <c r="K34" s="48"/>
    </row>
    <row r="35" spans="1:13" s="48" customFormat="1" ht="15" customHeight="1" thickBot="1" x14ac:dyDescent="0.25">
      <c r="A35" s="56"/>
      <c r="B35" s="56"/>
      <c r="C35" s="56"/>
      <c r="D35" s="56"/>
      <c r="E35" s="56"/>
      <c r="F35" s="56"/>
      <c r="G35" s="56"/>
      <c r="H35" s="56"/>
      <c r="I35" s="56"/>
      <c r="J35" s="56"/>
    </row>
    <row r="36" spans="1:13" s="48" customFormat="1" ht="32.25" customHeight="1" thickBot="1" x14ac:dyDescent="0.25">
      <c r="A36" s="1294" t="s">
        <v>34</v>
      </c>
      <c r="B36" s="1295"/>
      <c r="C36" s="1295"/>
      <c r="D36" s="1295"/>
      <c r="E36" s="1295"/>
      <c r="F36" s="1295"/>
      <c r="G36" s="1295"/>
      <c r="H36" s="1295"/>
      <c r="I36" s="1295"/>
      <c r="J36" s="1296"/>
    </row>
    <row r="37" spans="1:13" s="48" customFormat="1" ht="3.75" customHeight="1" thickBot="1" x14ac:dyDescent="0.25">
      <c r="A37" s="55"/>
      <c r="B37" s="47"/>
      <c r="C37" s="47"/>
      <c r="D37" s="47"/>
      <c r="E37" s="47"/>
      <c r="F37" s="47"/>
      <c r="G37" s="47"/>
      <c r="H37" s="47"/>
      <c r="I37" s="47"/>
      <c r="J37" s="55"/>
    </row>
    <row r="38" spans="1:13" s="48" customFormat="1" ht="31.5" customHeight="1" thickBot="1" x14ac:dyDescent="0.25">
      <c r="A38" s="47"/>
      <c r="B38" s="1316" t="s">
        <v>35</v>
      </c>
      <c r="C38" s="1317"/>
      <c r="D38" s="1317"/>
      <c r="E38" s="1317"/>
      <c r="F38" s="1318"/>
      <c r="G38" s="47"/>
      <c r="H38" s="1319" t="s">
        <v>236</v>
      </c>
      <c r="I38" s="1320"/>
      <c r="J38" s="1321"/>
      <c r="M38" s="48" t="s">
        <v>282</v>
      </c>
    </row>
    <row r="39" spans="1:13" s="48" customFormat="1" ht="31.5" customHeight="1" thickBot="1" x14ac:dyDescent="0.25">
      <c r="A39" s="47"/>
      <c r="B39" s="57" t="s">
        <v>31</v>
      </c>
      <c r="C39" s="203">
        <v>1</v>
      </c>
      <c r="D39" s="141">
        <v>2</v>
      </c>
      <c r="E39" s="141">
        <v>3</v>
      </c>
      <c r="F39" s="204">
        <v>4</v>
      </c>
      <c r="G39" s="47"/>
      <c r="H39" s="1322"/>
      <c r="I39" s="1323"/>
      <c r="J39" s="1324"/>
    </row>
    <row r="40" spans="1:13" s="48" customFormat="1" ht="31.5" customHeight="1" x14ac:dyDescent="0.2">
      <c r="A40" s="58"/>
      <c r="B40" s="59"/>
      <c r="C40" s="121" t="e">
        <f>+AVERAGE(C28,C31)</f>
        <v>#DIV/0!</v>
      </c>
      <c r="D40" s="122" t="e">
        <f>+AVERAGE(D28,D31)</f>
        <v>#DIV/0!</v>
      </c>
      <c r="E40" s="122" t="e">
        <f>+AVERAGE(E28,E31)</f>
        <v>#DIV/0!</v>
      </c>
      <c r="F40" s="205" t="e">
        <f>+AVERAGE(F28,F31)</f>
        <v>#DIV/0!</v>
      </c>
      <c r="G40" s="47"/>
      <c r="H40" s="1325"/>
      <c r="I40" s="1326"/>
      <c r="J40" s="1327"/>
    </row>
    <row r="41" spans="1:13" s="48" customFormat="1" ht="31.5" customHeight="1" x14ac:dyDescent="0.2">
      <c r="A41" s="58"/>
      <c r="B41" s="60"/>
      <c r="C41" s="123" t="e">
        <f>+AVERAGE(C29:C30)</f>
        <v>#DIV/0!</v>
      </c>
      <c r="D41" s="61" t="e">
        <f>+AVERAGE(D29:D30)</f>
        <v>#DIV/0!</v>
      </c>
      <c r="E41" s="61" t="e">
        <f>+AVERAGE(E29:E30)</f>
        <v>#DIV/0!</v>
      </c>
      <c r="F41" s="206" t="e">
        <f>+AVERAGE(F29:F30)</f>
        <v>#DIV/0!</v>
      </c>
      <c r="G41" s="47"/>
      <c r="H41" s="1325"/>
      <c r="I41" s="1326"/>
      <c r="J41" s="1327"/>
    </row>
    <row r="42" spans="1:13" s="48" customFormat="1" ht="31.5" customHeight="1" thickBot="1" x14ac:dyDescent="0.25">
      <c r="A42" s="58"/>
      <c r="B42" s="62"/>
      <c r="C42" s="124" t="e">
        <f>+C41-C40</f>
        <v>#DIV/0!</v>
      </c>
      <c r="D42" s="125" t="e">
        <f>+D41-D40</f>
        <v>#DIV/0!</v>
      </c>
      <c r="E42" s="125" t="e">
        <f>+E41-E40</f>
        <v>#DIV/0!</v>
      </c>
      <c r="F42" s="207" t="e">
        <f>+F41-F40</f>
        <v>#DIV/0!</v>
      </c>
      <c r="G42" s="47"/>
      <c r="H42" s="1328"/>
      <c r="I42" s="1329"/>
      <c r="J42" s="1330"/>
    </row>
    <row r="43" spans="1:13" s="48" customFormat="1" ht="31.5" customHeight="1" thickBot="1" x14ac:dyDescent="0.25">
      <c r="A43" s="47"/>
      <c r="B43" s="63" t="s">
        <v>36</v>
      </c>
      <c r="C43" s="116" t="e">
        <f>+AVERAGE(C42:F42)</f>
        <v>#DIV/0!</v>
      </c>
      <c r="D43" s="47"/>
      <c r="E43" s="47"/>
      <c r="F43" s="47"/>
      <c r="G43" s="47"/>
      <c r="H43" s="47"/>
      <c r="I43" s="47"/>
      <c r="J43" s="47"/>
    </row>
    <row r="44" spans="1:13" s="48" customFormat="1" ht="31.5" customHeight="1" thickBot="1" x14ac:dyDescent="0.25">
      <c r="A44" s="47"/>
      <c r="B44" s="64" t="s">
        <v>77</v>
      </c>
      <c r="C44" s="219" t="e">
        <f>+STDEV(C42:F42)</f>
        <v>#DIV/0!</v>
      </c>
      <c r="D44" s="47"/>
      <c r="E44" s="47"/>
      <c r="F44" s="47"/>
      <c r="G44" s="47"/>
      <c r="H44" s="47"/>
      <c r="I44" s="47"/>
      <c r="J44" s="47"/>
      <c r="K44" s="46"/>
    </row>
    <row r="45" spans="1:13" s="46" customFormat="1" ht="15" customHeight="1" thickBot="1" x14ac:dyDescent="0.25">
      <c r="A45" s="47"/>
      <c r="B45" s="47"/>
      <c r="C45" s="47"/>
      <c r="D45" s="47"/>
      <c r="E45" s="47"/>
      <c r="F45" s="47"/>
      <c r="G45" s="65"/>
      <c r="H45" s="47"/>
      <c r="I45" s="47"/>
      <c r="J45" s="47"/>
      <c r="K45" s="48"/>
    </row>
    <row r="46" spans="1:13" s="48" customFormat="1" ht="31.5" customHeight="1" thickBot="1" x14ac:dyDescent="0.25">
      <c r="A46" s="1331" t="s">
        <v>37</v>
      </c>
      <c r="B46" s="1332"/>
      <c r="C46" s="1284"/>
      <c r="D46" s="1284"/>
      <c r="E46" s="1284"/>
      <c r="F46" s="1332"/>
      <c r="G46" s="1332"/>
      <c r="H46" s="1332"/>
      <c r="I46" s="1332"/>
      <c r="J46" s="1333"/>
    </row>
    <row r="47" spans="1:13" s="48" customFormat="1" ht="31.5" customHeight="1" thickBot="1" x14ac:dyDescent="0.25">
      <c r="A47" s="1334" t="s">
        <v>321</v>
      </c>
      <c r="B47" s="1335"/>
      <c r="C47" s="1338" t="s">
        <v>38</v>
      </c>
      <c r="D47" s="1339"/>
      <c r="E47" s="1340"/>
      <c r="F47" s="47"/>
      <c r="G47" s="47"/>
      <c r="H47" s="47"/>
      <c r="I47" s="47"/>
      <c r="J47" s="47"/>
    </row>
    <row r="48" spans="1:13" s="48" customFormat="1" ht="36.75" customHeight="1" thickBot="1" x14ac:dyDescent="0.25">
      <c r="A48" s="1336"/>
      <c r="B48" s="1337"/>
      <c r="C48" s="82" t="s">
        <v>27</v>
      </c>
      <c r="D48" s="93" t="s">
        <v>307</v>
      </c>
      <c r="E48" s="83" t="s">
        <v>9</v>
      </c>
      <c r="G48" s="1341" t="s">
        <v>70</v>
      </c>
      <c r="H48" s="1342"/>
      <c r="I48" s="102" t="e">
        <f>+(0.34848*E50-0.009*D50*EXP(0.061*C50))/(273.15+C50)</f>
        <v>#DIV/0!</v>
      </c>
      <c r="J48" s="103" t="s">
        <v>73</v>
      </c>
    </row>
    <row r="49" spans="1:21" s="48" customFormat="1" ht="33" customHeight="1" thickBot="1" x14ac:dyDescent="0.25">
      <c r="A49" s="1306" t="s">
        <v>39</v>
      </c>
      <c r="B49" s="1307"/>
      <c r="C49" s="90" t="e">
        <f>+AVERAGE(E33,E24)</f>
        <v>#DIV/0!</v>
      </c>
      <c r="D49" s="91" t="e">
        <f>+AVERAGE(H33,H24)</f>
        <v>#DIV/0!</v>
      </c>
      <c r="E49" s="92" t="e">
        <f>+AVERAGE(J33,J24)</f>
        <v>#DIV/0!</v>
      </c>
      <c r="G49" s="1308" t="s">
        <v>71</v>
      </c>
      <c r="H49" s="1309"/>
      <c r="I49" s="422" t="e">
        <f>I48*((0.0001)^2+(0.001*I20/2)^2+(-0.0034*D20/2)^2+(-0.01*G20/2)^2)^0.5</f>
        <v>#DIV/0!</v>
      </c>
      <c r="J49" s="66" t="s">
        <v>73</v>
      </c>
    </row>
    <row r="50" spans="1:21" s="48" customFormat="1" ht="36.75" customHeight="1" thickBot="1" x14ac:dyDescent="0.25">
      <c r="A50" s="1343" t="s">
        <v>322</v>
      </c>
      <c r="B50" s="1344"/>
      <c r="C50" s="84" t="e">
        <f>C49+(VLOOKUP(J19,'DATOS %'!J174:W180,9,FALSE))*C49+(VLOOKUP(J19,'DATOS %'!J174:W180,10,FALSE))</f>
        <v>#DIV/0!</v>
      </c>
      <c r="D50" s="85" t="e">
        <f>D49+(VLOOKUP(J19,'DATOS %'!J174:W180,11,FALSE))*D49+(VLOOKUP(J19,'DATOS %'!J174:W180,12,FALSE))</f>
        <v>#DIV/0!</v>
      </c>
      <c r="E50" s="86" t="e">
        <f>E49+(VLOOKUP(J19,'DATOS %'!J174:W180,13,FALSE))*E49+(VLOOKUP(J19,'DATOS %'!J174:W180,14,FALSE))</f>
        <v>#DIV/0!</v>
      </c>
      <c r="G50" s="1341" t="s">
        <v>72</v>
      </c>
      <c r="H50" s="1342"/>
      <c r="I50" s="67">
        <v>1.2</v>
      </c>
      <c r="J50" s="66" t="s">
        <v>73</v>
      </c>
    </row>
    <row r="51" spans="1:21" s="46" customFormat="1" ht="15" customHeight="1" thickBot="1" x14ac:dyDescent="0.25">
      <c r="A51" s="47"/>
      <c r="B51" s="47"/>
      <c r="C51" s="47"/>
      <c r="D51" s="47"/>
      <c r="E51" s="47"/>
      <c r="F51" s="47"/>
      <c r="G51" s="47"/>
      <c r="H51" s="47"/>
      <c r="I51" s="47"/>
      <c r="J51" s="47"/>
      <c r="K51" s="48"/>
    </row>
    <row r="52" spans="1:21" s="48" customFormat="1" ht="31.5" customHeight="1" thickBot="1" x14ac:dyDescent="0.25">
      <c r="A52" s="1331" t="s">
        <v>40</v>
      </c>
      <c r="B52" s="1332"/>
      <c r="C52" s="1332"/>
      <c r="D52" s="1332"/>
      <c r="E52" s="1332"/>
      <c r="F52" s="1332"/>
      <c r="G52" s="1332"/>
      <c r="H52" s="1332"/>
      <c r="I52" s="1332"/>
      <c r="J52" s="1333"/>
    </row>
    <row r="53" spans="1:21" s="48" customFormat="1" ht="31.5" customHeight="1" x14ac:dyDescent="0.35">
      <c r="A53" s="47"/>
      <c r="B53" s="68" t="s">
        <v>41</v>
      </c>
      <c r="C53" s="69"/>
      <c r="D53" s="1345" t="s">
        <v>74</v>
      </c>
      <c r="E53" s="1345"/>
      <c r="F53" s="70" t="s">
        <v>42</v>
      </c>
      <c r="G53" s="71" t="s">
        <v>43</v>
      </c>
      <c r="H53" s="1346" t="s">
        <v>44</v>
      </c>
      <c r="I53" s="1347"/>
      <c r="J53" s="47"/>
    </row>
    <row r="54" spans="1:21" s="48" customFormat="1" ht="31.5" customHeight="1" thickBot="1" x14ac:dyDescent="0.25">
      <c r="A54" s="47"/>
      <c r="B54" s="72" t="e">
        <f>+C43</f>
        <v>#DIV/0!</v>
      </c>
      <c r="C54" s="73" t="s">
        <v>1</v>
      </c>
      <c r="D54" s="74" t="e">
        <f>+C10+C11/1000</f>
        <v>#N/A</v>
      </c>
      <c r="E54" s="73" t="s">
        <v>1</v>
      </c>
      <c r="F54" s="74" t="e">
        <f>+(I48-I50)*(1/H10-1/C13)</f>
        <v>#DIV/0!</v>
      </c>
      <c r="G54" s="75"/>
      <c r="H54" s="67" t="e">
        <f>+(B54+D54*F54)*1000</f>
        <v>#DIV/0!</v>
      </c>
      <c r="I54" s="66" t="s">
        <v>3</v>
      </c>
      <c r="J54" s="47"/>
      <c r="K54" s="46"/>
    </row>
    <row r="55" spans="1:21" s="46" customFormat="1" ht="15" customHeight="1" x14ac:dyDescent="0.2">
      <c r="A55" s="47"/>
      <c r="B55" s="47"/>
      <c r="C55" s="47"/>
      <c r="D55" s="47"/>
      <c r="E55" s="47"/>
      <c r="F55" s="47"/>
      <c r="G55" s="47"/>
      <c r="H55" s="47"/>
      <c r="I55" s="47"/>
      <c r="J55" s="47"/>
      <c r="K55" s="48"/>
    </row>
    <row r="56" spans="1:21" s="48" customFormat="1" ht="31.5" customHeight="1" x14ac:dyDescent="0.2">
      <c r="A56" s="1348" t="s">
        <v>45</v>
      </c>
      <c r="B56" s="1349"/>
      <c r="C56" s="1349"/>
      <c r="D56" s="1349"/>
      <c r="E56" s="1349"/>
      <c r="F56" s="1349"/>
      <c r="G56" s="1349"/>
      <c r="H56" s="1349"/>
      <c r="I56" s="1349"/>
      <c r="J56" s="1349"/>
      <c r="K56" s="46"/>
    </row>
    <row r="57" spans="1:21" s="46" customFormat="1" ht="15" customHeight="1" thickBot="1" x14ac:dyDescent="0.25">
      <c r="A57" s="47"/>
      <c r="B57" s="47"/>
      <c r="C57" s="47"/>
      <c r="D57" s="47"/>
      <c r="E57" s="47"/>
      <c r="K57" s="48"/>
    </row>
    <row r="58" spans="1:21" s="48" customFormat="1" ht="31.5" customHeight="1" thickBot="1" x14ac:dyDescent="0.25">
      <c r="A58" s="1350" t="s">
        <v>38</v>
      </c>
      <c r="B58" s="1351"/>
      <c r="C58" s="1352" t="s">
        <v>46</v>
      </c>
      <c r="D58" s="1353"/>
      <c r="E58" s="1354" t="s">
        <v>238</v>
      </c>
      <c r="F58" s="1379"/>
      <c r="G58" s="1061" t="s">
        <v>553</v>
      </c>
      <c r="J58" s="114"/>
      <c r="L58" s="46"/>
      <c r="Q58" s="47"/>
      <c r="R58" s="47"/>
      <c r="S58" s="47"/>
      <c r="T58" s="47"/>
      <c r="U58" s="47"/>
    </row>
    <row r="59" spans="1:21" s="48" customFormat="1" ht="57.95" customHeight="1" thickBot="1" x14ac:dyDescent="0.25">
      <c r="A59" s="1024" t="s">
        <v>47</v>
      </c>
      <c r="B59" s="1025"/>
      <c r="C59" s="1026" t="e">
        <f>+C44/B26^0.5*1000</f>
        <v>#DIV/0!</v>
      </c>
      <c r="D59" s="1017" t="s">
        <v>3</v>
      </c>
      <c r="E59" s="1027" t="s">
        <v>240</v>
      </c>
      <c r="F59" s="139">
        <f>$B$26-1</f>
        <v>3</v>
      </c>
      <c r="G59" s="139" t="e">
        <f>(C59/$G$70)^2</f>
        <v>#DIV/0!</v>
      </c>
      <c r="H59" s="47"/>
      <c r="K59" s="156">
        <v>0.3</v>
      </c>
      <c r="L59" s="157">
        <v>1.65</v>
      </c>
      <c r="M59" s="113"/>
    </row>
    <row r="60" spans="1:21" s="48" customFormat="1" ht="57.95" customHeight="1" thickBot="1" x14ac:dyDescent="0.25">
      <c r="A60" s="1019" t="s">
        <v>343</v>
      </c>
      <c r="B60" s="1020" t="s">
        <v>48</v>
      </c>
      <c r="C60" s="1021" t="e">
        <f>+C12/2</f>
        <v>#N/A</v>
      </c>
      <c r="D60" s="1022" t="s">
        <v>3</v>
      </c>
      <c r="E60" s="1023" t="s">
        <v>239</v>
      </c>
      <c r="F60" s="146" t="s">
        <v>265</v>
      </c>
      <c r="G60" s="146"/>
      <c r="H60" s="1380" t="s">
        <v>241</v>
      </c>
      <c r="I60" s="1356"/>
      <c r="J60" s="1356"/>
      <c r="K60" s="1356"/>
      <c r="L60" s="1356"/>
      <c r="M60" s="1357"/>
    </row>
    <row r="61" spans="1:21" s="48" customFormat="1" ht="57.95" customHeight="1" thickBot="1" x14ac:dyDescent="0.25">
      <c r="A61" s="1028" t="s">
        <v>344</v>
      </c>
      <c r="B61" s="1029"/>
      <c r="C61" s="1030" t="e">
        <f>+C12/3^0.5</f>
        <v>#N/A</v>
      </c>
      <c r="D61" s="1031" t="s">
        <v>3</v>
      </c>
      <c r="E61" s="1032" t="s">
        <v>239</v>
      </c>
      <c r="F61" s="147" t="s">
        <v>265</v>
      </c>
      <c r="G61" s="147"/>
      <c r="H61" s="132" t="s">
        <v>243</v>
      </c>
      <c r="I61" s="149" t="e">
        <f>MAX(C59:C62,C66:C67,C68)</f>
        <v>#DIV/0!</v>
      </c>
      <c r="J61" s="151" t="e">
        <f>IF((I62)&lt;=(K59),"1,65","2")</f>
        <v>#DIV/0!</v>
      </c>
      <c r="K61" s="152" t="s">
        <v>242</v>
      </c>
      <c r="L61" s="153" t="s">
        <v>237</v>
      </c>
      <c r="M61" s="153" t="s">
        <v>328</v>
      </c>
    </row>
    <row r="62" spans="1:21" s="48" customFormat="1" ht="57.95" customHeight="1" thickBot="1" x14ac:dyDescent="0.3">
      <c r="A62" s="1024" t="s">
        <v>49</v>
      </c>
      <c r="B62" s="1035"/>
      <c r="C62" s="1036" t="e">
        <f>+SQRT(SUMSQ(C60:C61))</f>
        <v>#N/A</v>
      </c>
      <c r="D62" s="1017" t="s">
        <v>3</v>
      </c>
      <c r="E62" s="1037" t="s">
        <v>240</v>
      </c>
      <c r="F62" s="139">
        <v>200</v>
      </c>
      <c r="G62" s="139" t="e">
        <f t="shared" ref="G62:G68" si="0">(C62/$G$70)^2</f>
        <v>#N/A</v>
      </c>
      <c r="H62" s="133" t="s">
        <v>244</v>
      </c>
      <c r="I62" s="150" t="e">
        <f>SQRT((C59)^2+(C62)^2+(C66)^2+(C68)^2)/C67</f>
        <v>#DIV/0!</v>
      </c>
      <c r="J62" s="126"/>
      <c r="K62" s="154" t="s">
        <v>242</v>
      </c>
      <c r="L62" s="155" t="s">
        <v>252</v>
      </c>
      <c r="M62" s="155" t="s">
        <v>329</v>
      </c>
    </row>
    <row r="63" spans="1:21" s="48" customFormat="1" ht="57.95" customHeight="1" x14ac:dyDescent="0.2">
      <c r="A63" s="1019" t="s">
        <v>345</v>
      </c>
      <c r="B63" s="1020"/>
      <c r="C63" s="1033" t="e">
        <f>+I49</f>
        <v>#DIV/0!</v>
      </c>
      <c r="D63" s="1021" t="s">
        <v>73</v>
      </c>
      <c r="E63" s="1034" t="s">
        <v>239</v>
      </c>
      <c r="F63" s="146" t="s">
        <v>265</v>
      </c>
      <c r="G63" s="146"/>
      <c r="L63" s="46"/>
      <c r="T63" s="46"/>
      <c r="U63" s="46"/>
    </row>
    <row r="64" spans="1:21" s="48" customFormat="1" ht="57.95" customHeight="1" x14ac:dyDescent="0.2">
      <c r="A64" s="426" t="s">
        <v>50</v>
      </c>
      <c r="B64" s="1018"/>
      <c r="C64" s="425" t="e">
        <f>+H11/2</f>
        <v>#N/A</v>
      </c>
      <c r="D64" s="424" t="s">
        <v>73</v>
      </c>
      <c r="E64" s="423" t="s">
        <v>239</v>
      </c>
      <c r="F64" s="148" t="s">
        <v>265</v>
      </c>
      <c r="G64" s="148"/>
      <c r="H64" s="130"/>
      <c r="J64" s="130"/>
      <c r="K64" s="130"/>
      <c r="L64" s="130"/>
      <c r="M64" s="130"/>
      <c r="Q64" s="47"/>
      <c r="R64" s="47"/>
      <c r="S64" s="47"/>
      <c r="T64" s="47"/>
      <c r="U64" s="47"/>
    </row>
    <row r="65" spans="1:21" s="48" customFormat="1" ht="57.95" customHeight="1" thickBot="1" x14ac:dyDescent="0.25">
      <c r="A65" s="1028" t="s">
        <v>346</v>
      </c>
      <c r="B65" s="1038"/>
      <c r="C65" s="1039" t="e">
        <f>+C14/2</f>
        <v>#N/A</v>
      </c>
      <c r="D65" s="1031" t="s">
        <v>73</v>
      </c>
      <c r="E65" s="1040" t="s">
        <v>239</v>
      </c>
      <c r="F65" s="147" t="s">
        <v>265</v>
      </c>
      <c r="G65" s="147"/>
      <c r="H65" s="130"/>
      <c r="I65" s="130"/>
      <c r="J65" s="130"/>
      <c r="K65" s="130"/>
      <c r="L65" s="130"/>
      <c r="M65" s="130"/>
      <c r="Q65" s="46"/>
      <c r="R65" s="46"/>
      <c r="S65" s="46"/>
      <c r="T65" s="46"/>
      <c r="U65" s="46"/>
    </row>
    <row r="66" spans="1:21" s="48" customFormat="1" ht="57.95" customHeight="1" thickBot="1" x14ac:dyDescent="0.3">
      <c r="A66" s="1024" t="s">
        <v>347</v>
      </c>
      <c r="B66" s="1035"/>
      <c r="C66" s="1036" t="e">
        <f>+SQRT(ABS(((C10/1000+C11/1000000)*(C13-H10)/(C13*H10)*C63)^2+((C10/1000+C11/1000000)*(I48-I50))^2*C64^2/H10^4+(C10/1000+C11/1000000)^2*(I48-I50)*((I48-I50)-2*(C15-I50))*C65^2/C13^4))*1000000</f>
        <v>#N/A</v>
      </c>
      <c r="D66" s="1051" t="s">
        <v>3</v>
      </c>
      <c r="E66" s="1037" t="s">
        <v>240</v>
      </c>
      <c r="F66" s="139">
        <v>200</v>
      </c>
      <c r="G66" s="139" t="e">
        <f t="shared" si="0"/>
        <v>#N/A</v>
      </c>
      <c r="H66" s="130"/>
      <c r="I66" s="148" t="s">
        <v>554</v>
      </c>
      <c r="J66" s="148" t="s">
        <v>556</v>
      </c>
      <c r="K66" s="148" t="s">
        <v>555</v>
      </c>
      <c r="L66" s="130"/>
      <c r="M66" s="130"/>
      <c r="Q66" s="47"/>
      <c r="R66" s="47"/>
      <c r="S66" s="47"/>
      <c r="T66" s="47"/>
      <c r="U66" s="47"/>
    </row>
    <row r="67" spans="1:21" s="48" customFormat="1" ht="57.95" customHeight="1" thickBot="1" x14ac:dyDescent="0.3">
      <c r="A67" s="1024" t="s">
        <v>52</v>
      </c>
      <c r="B67" s="1035"/>
      <c r="C67" s="1052" t="e">
        <f>+(G15/2/3^0.5)*2^0.5*1000</f>
        <v>#N/A</v>
      </c>
      <c r="D67" s="1051" t="s">
        <v>3</v>
      </c>
      <c r="E67" s="1037" t="s">
        <v>239</v>
      </c>
      <c r="F67" s="1053">
        <v>200</v>
      </c>
      <c r="G67" s="1053" t="e">
        <f t="shared" si="0"/>
        <v>#N/A</v>
      </c>
      <c r="H67" s="130"/>
      <c r="I67" s="148" t="e">
        <f>G70^4/((C59^4/F59)+(C62^4/F62)+(C66^4/F66)+(C67^4/F67)+(C68^4/F68))</f>
        <v>#DIV/0!</v>
      </c>
      <c r="J67" s="148" t="e">
        <f>TINV(0.05,I67)</f>
        <v>#DIV/0!</v>
      </c>
      <c r="K67" s="148" t="e">
        <f>1-TDIST(J67,I67,2)</f>
        <v>#DIV/0!</v>
      </c>
      <c r="L67" s="130"/>
      <c r="M67" s="130"/>
    </row>
    <row r="68" spans="1:21" s="46" customFormat="1" ht="65.25" customHeight="1" thickBot="1" x14ac:dyDescent="0.3">
      <c r="A68" s="1024" t="s">
        <v>551</v>
      </c>
      <c r="B68" s="1035"/>
      <c r="C68" s="1052">
        <f>0.37/SQRT(45)</f>
        <v>5.5156343444994808E-2</v>
      </c>
      <c r="D68" s="1051" t="s">
        <v>3</v>
      </c>
      <c r="E68" s="1037" t="s">
        <v>240</v>
      </c>
      <c r="F68" s="139">
        <v>50</v>
      </c>
      <c r="G68" s="139" t="e">
        <f t="shared" si="0"/>
        <v>#DIV/0!</v>
      </c>
      <c r="H68" s="130"/>
      <c r="I68" s="130"/>
      <c r="J68" s="130"/>
      <c r="K68" s="130"/>
      <c r="L68" s="130"/>
      <c r="M68" s="130"/>
      <c r="S68" s="48"/>
      <c r="T68" s="48"/>
      <c r="U68" s="48"/>
    </row>
    <row r="69" spans="1:21" s="46" customFormat="1" ht="65.25" customHeight="1" thickBot="1" x14ac:dyDescent="0.25">
      <c r="A69" s="130"/>
      <c r="B69" s="130"/>
      <c r="C69" s="130"/>
      <c r="D69" s="130"/>
      <c r="E69" s="130"/>
      <c r="F69" s="130"/>
      <c r="G69" s="139" t="e">
        <f>SUM(G59,G62,G66,G67,G68)</f>
        <v>#DIV/0!</v>
      </c>
      <c r="H69" s="130"/>
      <c r="I69" s="130"/>
      <c r="J69" s="130"/>
      <c r="K69" s="130"/>
      <c r="L69" s="130"/>
      <c r="M69" s="130"/>
      <c r="S69" s="48"/>
      <c r="T69" s="48"/>
      <c r="U69" s="48"/>
    </row>
    <row r="70" spans="1:21" s="106" customFormat="1" ht="51.75" customHeight="1" thickBot="1" x14ac:dyDescent="0.3">
      <c r="D70" s="1306" t="s">
        <v>51</v>
      </c>
      <c r="E70" s="1307"/>
      <c r="F70" s="134"/>
      <c r="G70" s="140" t="e">
        <f>+SQRT(SUMSQ(C59,C62,C66,C67))</f>
        <v>#DIV/0!</v>
      </c>
      <c r="H70" s="136" t="s">
        <v>3</v>
      </c>
      <c r="K70" s="130"/>
      <c r="L70" s="130"/>
      <c r="M70" s="130"/>
      <c r="S70" s="48"/>
      <c r="T70" s="48"/>
      <c r="U70" s="48"/>
    </row>
    <row r="71" spans="1:21" s="106" customFormat="1" ht="35.1" customHeight="1" thickBot="1" x14ac:dyDescent="0.25">
      <c r="D71" s="1306" t="s">
        <v>53</v>
      </c>
      <c r="E71" s="1307"/>
      <c r="F71" s="135"/>
      <c r="G71" s="140" t="e">
        <f>+G70*2</f>
        <v>#DIV/0!</v>
      </c>
      <c r="H71" s="137" t="s">
        <v>3</v>
      </c>
      <c r="K71" s="110"/>
      <c r="L71" s="107"/>
      <c r="O71" s="48"/>
      <c r="P71" s="48"/>
      <c r="Q71" s="48"/>
      <c r="R71" s="48"/>
      <c r="S71" s="48"/>
      <c r="T71" s="48"/>
      <c r="U71" s="48"/>
    </row>
    <row r="72" spans="1:21" s="106" customFormat="1" ht="33.75" customHeight="1" thickBot="1" x14ac:dyDescent="4.45">
      <c r="B72" s="1313" t="s">
        <v>54</v>
      </c>
      <c r="C72" s="1314"/>
      <c r="D72" s="1314"/>
      <c r="E72" s="1314"/>
      <c r="F72" s="1314"/>
      <c r="G72" s="1314"/>
      <c r="H72" s="1314"/>
      <c r="I72" s="1314"/>
      <c r="J72" s="1314"/>
      <c r="K72" s="1315"/>
      <c r="L72" s="117"/>
      <c r="O72" s="48"/>
      <c r="P72" s="48"/>
      <c r="Q72" s="48"/>
      <c r="R72" s="48"/>
      <c r="S72" s="48"/>
      <c r="T72" s="48"/>
      <c r="U72" s="48"/>
    </row>
    <row r="73" spans="1:21" s="106" customFormat="1" ht="35.1" customHeight="1" thickBot="1" x14ac:dyDescent="0.25">
      <c r="B73" s="1368" t="s">
        <v>255</v>
      </c>
      <c r="C73" s="1369"/>
      <c r="D73" s="1369"/>
      <c r="E73" s="1370"/>
      <c r="F73" s="79"/>
      <c r="G73" s="80"/>
      <c r="H73" s="1371"/>
      <c r="I73" s="1372"/>
      <c r="J73" s="1372"/>
      <c r="K73" s="1373"/>
      <c r="O73" s="48"/>
      <c r="P73" s="48"/>
      <c r="Q73" s="48"/>
      <c r="R73" s="48"/>
      <c r="S73" s="48"/>
      <c r="T73" s="48"/>
      <c r="U73" s="48"/>
    </row>
    <row r="74" spans="1:21" s="106" customFormat="1" ht="40.5" customHeight="1" x14ac:dyDescent="0.2">
      <c r="B74" s="118"/>
      <c r="C74" s="362" t="s">
        <v>348</v>
      </c>
      <c r="D74" s="119" t="s">
        <v>253</v>
      </c>
      <c r="E74" s="120"/>
      <c r="F74" s="1358"/>
      <c r="G74" s="1358"/>
      <c r="H74" s="1359" t="s">
        <v>266</v>
      </c>
      <c r="I74" s="1362" t="s">
        <v>254</v>
      </c>
      <c r="J74" s="1362"/>
      <c r="K74" s="1363"/>
      <c r="O74" s="48"/>
      <c r="P74" s="48"/>
      <c r="Q74" s="48"/>
      <c r="R74" s="48"/>
      <c r="S74" s="48"/>
      <c r="T74" s="48"/>
      <c r="U74" s="48"/>
    </row>
    <row r="75" spans="1:21" s="106" customFormat="1" ht="35.1" customHeight="1" x14ac:dyDescent="0.2">
      <c r="B75" s="81" t="e">
        <f>C10</f>
        <v>#N/A</v>
      </c>
      <c r="C75" s="77" t="e">
        <f>C11</f>
        <v>#N/A</v>
      </c>
      <c r="D75" s="78" t="e">
        <f>H54</f>
        <v>#DIV/0!</v>
      </c>
      <c r="E75" s="216" t="e">
        <f>B75+(C75/1000)+(D75/1000)</f>
        <v>#N/A</v>
      </c>
      <c r="F75" s="216" t="e">
        <f>E75*1000-B75*1000</f>
        <v>#N/A</v>
      </c>
      <c r="G75" s="61"/>
      <c r="H75" s="1360"/>
      <c r="I75" s="218" t="e">
        <f>G71</f>
        <v>#DIV/0!</v>
      </c>
      <c r="J75" s="1364"/>
      <c r="K75" s="1365"/>
      <c r="O75" s="48"/>
      <c r="P75" s="48"/>
      <c r="Q75" s="48"/>
      <c r="R75" s="48"/>
      <c r="S75" s="48"/>
      <c r="T75" s="48"/>
      <c r="U75" s="48"/>
    </row>
    <row r="76" spans="1:21" s="106" customFormat="1" ht="35.1" customHeight="1" thickBot="1" x14ac:dyDescent="0.25">
      <c r="B76" s="87" t="e">
        <f>B75</f>
        <v>#N/A</v>
      </c>
      <c r="C76" s="88" t="e">
        <f>C75</f>
        <v>#N/A</v>
      </c>
      <c r="D76" s="88" t="e">
        <f>D75</f>
        <v>#DIV/0!</v>
      </c>
      <c r="E76" s="217" t="e">
        <f>B76+(C76/1000)+(D76/1000)</f>
        <v>#N/A</v>
      </c>
      <c r="F76" s="227" t="e">
        <f>F75/1000</f>
        <v>#N/A</v>
      </c>
      <c r="G76" s="89"/>
      <c r="H76" s="1361"/>
      <c r="I76" s="226" t="e">
        <f>I75/1000</f>
        <v>#DIV/0!</v>
      </c>
      <c r="J76" s="1366"/>
      <c r="K76" s="1367"/>
      <c r="O76" s="48"/>
      <c r="P76" s="48"/>
      <c r="Q76" s="48"/>
      <c r="R76" s="48"/>
      <c r="S76" s="48"/>
      <c r="T76" s="48"/>
      <c r="U76" s="48"/>
    </row>
    <row r="77" spans="1:21" s="106" customFormat="1" ht="35.1" customHeight="1" x14ac:dyDescent="0.2">
      <c r="G77" s="47"/>
      <c r="H77" s="47"/>
      <c r="I77" s="47"/>
      <c r="J77" s="47"/>
      <c r="O77" s="48"/>
      <c r="P77" s="48"/>
      <c r="Q77" s="48"/>
      <c r="R77" s="48"/>
      <c r="S77" s="48"/>
      <c r="T77" s="48"/>
      <c r="U77" s="48"/>
    </row>
    <row r="78" spans="1:21" s="106" customFormat="1" ht="35.1" customHeight="1" x14ac:dyDescent="0.2">
      <c r="G78" s="47"/>
      <c r="H78" s="47"/>
      <c r="I78" s="47"/>
      <c r="J78" s="47"/>
      <c r="O78" s="48"/>
      <c r="P78" s="48"/>
      <c r="Q78" s="48"/>
      <c r="R78" s="48"/>
      <c r="S78" s="48"/>
      <c r="T78" s="48"/>
      <c r="U78" s="48"/>
    </row>
    <row r="79" spans="1:21" s="106" customFormat="1" ht="35.1" customHeight="1" x14ac:dyDescent="0.2">
      <c r="G79" s="47"/>
      <c r="H79" s="47"/>
      <c r="I79" s="47"/>
      <c r="J79" s="47"/>
    </row>
    <row r="80" spans="1:21" s="107" customFormat="1" ht="9.9499999999999993" customHeight="1" x14ac:dyDescent="0.2">
      <c r="A80" s="109"/>
      <c r="B80" s="106"/>
      <c r="C80" s="106"/>
      <c r="D80" s="106"/>
      <c r="E80" s="106"/>
      <c r="F80" s="106"/>
      <c r="G80" s="47"/>
      <c r="H80" s="47"/>
    </row>
    <row r="81" spans="2:11" s="111" customFormat="1" ht="35.1" customHeight="1" x14ac:dyDescent="0.2">
      <c r="B81" s="106"/>
      <c r="C81" s="106"/>
      <c r="D81" s="106"/>
      <c r="E81" s="106"/>
      <c r="F81" s="106"/>
      <c r="G81" s="47"/>
      <c r="H81" s="47"/>
    </row>
    <row r="82" spans="2:11" s="106" customFormat="1" ht="61.5" customHeight="1" x14ac:dyDescent="0.2">
      <c r="H82" s="111"/>
      <c r="I82" s="111"/>
      <c r="J82" s="111"/>
      <c r="K82" s="108"/>
    </row>
    <row r="83" spans="2:11" s="106" customFormat="1" ht="35.1" customHeight="1" x14ac:dyDescent="0.2">
      <c r="G83" s="111"/>
      <c r="H83" s="111"/>
      <c r="I83" s="111"/>
      <c r="J83" s="111"/>
      <c r="K83" s="108"/>
    </row>
    <row r="84" spans="2:11" s="106" customFormat="1" ht="35.1" customHeight="1" x14ac:dyDescent="0.2">
      <c r="G84" s="111"/>
      <c r="H84" s="111"/>
      <c r="I84" s="111"/>
      <c r="J84" s="111"/>
      <c r="K84" s="108"/>
    </row>
    <row r="85" spans="2:11" s="106" customFormat="1" ht="35.1" customHeight="1" x14ac:dyDescent="0.2">
      <c r="F85" s="107"/>
      <c r="K85" s="108"/>
    </row>
    <row r="86" spans="2:11" s="106" customFormat="1" ht="50.1" customHeight="1" x14ac:dyDescent="0.2"/>
    <row r="87" spans="2:11" s="106" customFormat="1" ht="57.75" customHeight="1" x14ac:dyDescent="0.2">
      <c r="C87" s="112"/>
      <c r="D87" s="112"/>
      <c r="E87" s="112"/>
    </row>
    <row r="88" spans="2:11" s="106" customFormat="1" ht="35.1" customHeight="1" x14ac:dyDescent="0.2"/>
    <row r="89" spans="2:11" s="106" customFormat="1" ht="35.1" customHeight="1" x14ac:dyDescent="0.2">
      <c r="F89" s="108"/>
      <c r="G89" s="108"/>
      <c r="H89" s="108"/>
      <c r="I89" s="108"/>
      <c r="J89" s="108"/>
    </row>
    <row r="90" spans="2:11" s="106" customFormat="1" ht="35.1" customHeight="1" x14ac:dyDescent="0.2"/>
    <row r="91" spans="2:11" s="106" customFormat="1" ht="50.1" customHeight="1" x14ac:dyDescent="0.2">
      <c r="J91" s="47"/>
    </row>
    <row r="92" spans="2:11" s="106" customFormat="1" ht="55.5" customHeight="1" x14ac:dyDescent="0.2">
      <c r="J92" s="111"/>
    </row>
    <row r="93" spans="2:11" s="106" customFormat="1" ht="50.1" customHeight="1" x14ac:dyDescent="0.2">
      <c r="J93" s="111"/>
    </row>
    <row r="94" spans="2:11" s="107" customFormat="1" ht="31.5" customHeight="1" x14ac:dyDescent="0.2">
      <c r="J94" s="111"/>
    </row>
    <row r="95" spans="2:11" s="106" customFormat="1" ht="35.1" customHeight="1" x14ac:dyDescent="0.2">
      <c r="G95" s="111"/>
      <c r="H95" s="111"/>
      <c r="I95" s="111"/>
      <c r="J95" s="111"/>
    </row>
    <row r="96" spans="2:11" s="106" customFormat="1" ht="35.1" customHeight="1" x14ac:dyDescent="0.2">
      <c r="G96" s="111"/>
      <c r="H96" s="111"/>
      <c r="I96" s="111"/>
      <c r="J96" s="111"/>
    </row>
    <row r="97" spans="1:12" s="106" customFormat="1" ht="9.9499999999999993" customHeight="1" x14ac:dyDescent="0.2">
      <c r="G97" s="108"/>
      <c r="H97" s="108"/>
      <c r="I97" s="108"/>
      <c r="J97" s="108"/>
    </row>
    <row r="98" spans="1:12" s="106" customFormat="1" ht="35.1" customHeight="1" x14ac:dyDescent="0.2">
      <c r="J98" s="108"/>
      <c r="K98" s="108"/>
      <c r="L98" s="108"/>
    </row>
    <row r="99" spans="1:12" s="46" customFormat="1" ht="15" customHeight="1" x14ac:dyDescent="0.2">
      <c r="A99" s="47"/>
      <c r="G99" s="47"/>
      <c r="H99" s="47"/>
      <c r="I99" s="47"/>
      <c r="J99" s="47"/>
      <c r="K99" s="48"/>
    </row>
    <row r="100" spans="1:12" s="48" customFormat="1" ht="31.5" customHeight="1" x14ac:dyDescent="0.2">
      <c r="A100" s="47"/>
      <c r="B100" s="47"/>
      <c r="C100" s="47"/>
      <c r="D100" s="47"/>
      <c r="E100" s="47"/>
      <c r="F100" s="47"/>
      <c r="G100" s="47"/>
      <c r="H100" s="47"/>
      <c r="I100" s="47"/>
      <c r="J100" s="47"/>
    </row>
    <row r="101" spans="1:12" s="48" customFormat="1" ht="31.5" customHeight="1" x14ac:dyDescent="0.2"/>
    <row r="102" spans="1:12" s="48" customFormat="1" ht="31.5" customHeight="1" x14ac:dyDescent="0.2"/>
    <row r="103" spans="1:12" s="48" customFormat="1" ht="52.5" customHeight="1" x14ac:dyDescent="0.2"/>
    <row r="104" spans="1:12" s="48" customFormat="1" ht="31.5" customHeight="1" x14ac:dyDescent="0.2">
      <c r="K104" s="8"/>
    </row>
    <row r="105" spans="1:12" s="48" customFormat="1" ht="31.5" customHeight="1" x14ac:dyDescent="0.2">
      <c r="K105" s="8"/>
    </row>
    <row r="106" spans="1:12" ht="31.5" customHeight="1" x14ac:dyDescent="0.2">
      <c r="G106" s="76"/>
    </row>
    <row r="107" spans="1:12" ht="51" customHeight="1" x14ac:dyDescent="0.2"/>
    <row r="109" spans="1:12" ht="31.5" customHeight="1" x14ac:dyDescent="0.2">
      <c r="B109" s="29"/>
      <c r="C109" s="29"/>
      <c r="D109" s="29"/>
      <c r="E109" s="29"/>
      <c r="F109" s="29"/>
      <c r="G109" s="29"/>
      <c r="H109" s="29"/>
      <c r="I109" s="29"/>
      <c r="J109" s="29"/>
    </row>
    <row r="110" spans="1:12" ht="31.5" customHeight="1" x14ac:dyDescent="0.2">
      <c r="B110" s="29"/>
      <c r="C110" s="29"/>
      <c r="D110" s="29"/>
      <c r="E110" s="29"/>
      <c r="F110" s="29"/>
      <c r="G110" s="29"/>
      <c r="H110" s="29"/>
      <c r="I110" s="29"/>
      <c r="J110" s="29"/>
    </row>
    <row r="111" spans="1:12" ht="31.5" customHeight="1" x14ac:dyDescent="0.2">
      <c r="B111" s="29"/>
      <c r="C111" s="29"/>
      <c r="D111" s="29"/>
      <c r="E111" s="29"/>
      <c r="F111" s="29"/>
      <c r="G111" s="29"/>
      <c r="H111" s="29"/>
      <c r="I111" s="29"/>
      <c r="J111" s="29"/>
    </row>
    <row r="112" spans="1:12" ht="31.5" customHeight="1" x14ac:dyDescent="0.2">
      <c r="B112" s="29"/>
      <c r="C112" s="29"/>
      <c r="D112" s="29"/>
      <c r="E112" s="29"/>
      <c r="F112" s="29"/>
      <c r="G112" s="29"/>
      <c r="H112" s="29"/>
      <c r="I112" s="29"/>
      <c r="J112" s="29"/>
    </row>
    <row r="113" spans="2:10" ht="31.5" customHeight="1" x14ac:dyDescent="0.2">
      <c r="B113" s="29"/>
      <c r="C113" s="29"/>
      <c r="D113" s="29"/>
      <c r="E113" s="29"/>
      <c r="F113" s="29"/>
      <c r="G113" s="29"/>
      <c r="H113" s="29"/>
      <c r="I113" s="29"/>
      <c r="J113" s="29"/>
    </row>
    <row r="114" spans="2:10" ht="31.5" customHeight="1" x14ac:dyDescent="0.2">
      <c r="B114" s="29"/>
      <c r="C114" s="29"/>
      <c r="D114" s="29"/>
      <c r="E114" s="29"/>
      <c r="F114" s="29"/>
      <c r="G114" s="29"/>
      <c r="H114" s="29"/>
      <c r="I114" s="29"/>
      <c r="J114" s="29"/>
    </row>
    <row r="115" spans="2:10" ht="31.5" customHeight="1" x14ac:dyDescent="0.2">
      <c r="B115" s="29"/>
      <c r="C115" s="29"/>
      <c r="D115" s="29"/>
      <c r="E115" s="29"/>
      <c r="F115" s="29"/>
      <c r="G115" s="29"/>
      <c r="H115" s="29"/>
      <c r="I115" s="29"/>
      <c r="J115" s="29"/>
    </row>
  </sheetData>
  <sheetProtection password="CF5C" sheet="1" objects="1" scenarios="1"/>
  <mergeCells count="62">
    <mergeCell ref="A13:B13"/>
    <mergeCell ref="F13:I13"/>
    <mergeCell ref="A1:B1"/>
    <mergeCell ref="C1:M1"/>
    <mergeCell ref="I3:J4"/>
    <mergeCell ref="A6:D6"/>
    <mergeCell ref="F6:I6"/>
    <mergeCell ref="F9:G9"/>
    <mergeCell ref="A10:B10"/>
    <mergeCell ref="F10:G10"/>
    <mergeCell ref="A11:B11"/>
    <mergeCell ref="F11:G11"/>
    <mergeCell ref="A12:B12"/>
    <mergeCell ref="A27:B27"/>
    <mergeCell ref="G27:H27"/>
    <mergeCell ref="A14:B14"/>
    <mergeCell ref="A15:B15"/>
    <mergeCell ref="A18:J18"/>
    <mergeCell ref="J19:J20"/>
    <mergeCell ref="A20:B20"/>
    <mergeCell ref="E20:F20"/>
    <mergeCell ref="A22:J22"/>
    <mergeCell ref="C24:D24"/>
    <mergeCell ref="F24:G24"/>
    <mergeCell ref="C26:F26"/>
    <mergeCell ref="G26:H26"/>
    <mergeCell ref="A16:B16"/>
    <mergeCell ref="C16:D16"/>
    <mergeCell ref="F19:G19"/>
    <mergeCell ref="A28:A31"/>
    <mergeCell ref="C33:D33"/>
    <mergeCell ref="F33:G33"/>
    <mergeCell ref="A36:J36"/>
    <mergeCell ref="B38:F38"/>
    <mergeCell ref="H38:J38"/>
    <mergeCell ref="H39:J42"/>
    <mergeCell ref="A46:J46"/>
    <mergeCell ref="C47:E47"/>
    <mergeCell ref="G48:H48"/>
    <mergeCell ref="A49:B49"/>
    <mergeCell ref="G49:H49"/>
    <mergeCell ref="A47:B48"/>
    <mergeCell ref="A50:B50"/>
    <mergeCell ref="G50:H50"/>
    <mergeCell ref="A52:J52"/>
    <mergeCell ref="D53:E53"/>
    <mergeCell ref="H53:I53"/>
    <mergeCell ref="A56:J56"/>
    <mergeCell ref="A58:B58"/>
    <mergeCell ref="C58:D58"/>
    <mergeCell ref="E58:F58"/>
    <mergeCell ref="H60:M60"/>
    <mergeCell ref="F74:G74"/>
    <mergeCell ref="H74:H76"/>
    <mergeCell ref="I74:K74"/>
    <mergeCell ref="J75:K75"/>
    <mergeCell ref="J76:K76"/>
    <mergeCell ref="D70:E70"/>
    <mergeCell ref="D71:E71"/>
    <mergeCell ref="B72:K72"/>
    <mergeCell ref="B73:E73"/>
    <mergeCell ref="H73:K73"/>
  </mergeCells>
  <printOptions horizontalCentered="1"/>
  <pageMargins left="0.70866141732283472" right="0.70866141732283472" top="0.74803149606299213" bottom="0.74803149606299213" header="0.31496062992125984" footer="0.31496062992125984"/>
  <pageSetup scale="13" orientation="portrait" r:id="rId1"/>
  <headerFooter>
    <oddHeader xml:space="preserve">&amp;C
&amp;16   
</oddHeader>
    <oddFooter xml:space="preserve">&amp;RRT03-F13 Vr.14 (2021-05-21)
</oddFooter>
  </headerFooter>
  <rowBreaks count="1" manualBreakCount="1">
    <brk id="34" max="16383" man="1"/>
  </rowBreaks>
  <drawing r:id="rId2"/>
  <legacyDrawing r:id="rId3"/>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2200-000000000000}">
          <x14:formula1>
            <xm:f>'DATOS %'!$J$174:$J$179</xm:f>
          </x14:formula1>
          <xm:sqref>J19:J20</xm:sqref>
        </x14:dataValidation>
        <x14:dataValidation type="list" allowBlank="1" showInputMessage="1" showErrorMessage="1" xr:uid="{00000000-0002-0000-2200-000001000000}">
          <x14:formula1>
            <xm:f>'DATOS %'!$N$121:$N$166</xm:f>
          </x14:formula1>
          <xm:sqref>F48</xm:sqref>
        </x14:dataValidation>
        <x14:dataValidation type="list" allowBlank="1" showInputMessage="1" showErrorMessage="1" xr:uid="{00000000-0002-0000-2200-000002000000}">
          <x14:formula1>
            <xm:f>'DATOS %'!$N$11:$N$113</xm:f>
          </x14:formula1>
          <xm:sqref>E6</xm:sqref>
        </x14:dataValidation>
        <x14:dataValidation type="list" allowBlank="1" showInputMessage="1" showErrorMessage="1" xr:uid="{00000000-0002-0000-2200-000003000000}">
          <x14:formula1>
            <xm:f>'DATOS %'!$V$120:$V$126</xm:f>
          </x14:formula1>
          <xm:sqref>J13</xm:sqref>
        </x14:dataValidation>
        <x14:dataValidation type="list" allowBlank="1" showInputMessage="1" showErrorMessage="1" xr:uid="{00000000-0002-0000-2200-000004000000}">
          <x14:formula1>
            <xm:f>'DATOS %'!$V$161:$V$165</xm:f>
          </x14:formula1>
          <xm:sqref>H25</xm:sqref>
        </x14:dataValidation>
        <x14:dataValidation type="list" allowBlank="1" showInputMessage="1" showErrorMessage="1" xr:uid="{00000000-0002-0000-2200-000005000000}">
          <x14:formula1>
            <xm:f>'DATOS %'!$B$7:$B$40</xm:f>
          </x14:formula1>
          <xm:sqref>I3:J4</xm:sqref>
        </x14:dataValidation>
      </x14:dataValidations>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D45"/>
  <sheetViews>
    <sheetView showGridLines="0" view="pageBreakPreview" topLeftCell="R1" zoomScale="60" zoomScaleNormal="40" workbookViewId="0">
      <selection activeCell="C65" sqref="C65"/>
    </sheetView>
  </sheetViews>
  <sheetFormatPr baseColWidth="10" defaultColWidth="11.42578125" defaultRowHeight="15" x14ac:dyDescent="0.2"/>
  <cols>
    <col min="1" max="5" width="24.7109375" style="299" customWidth="1"/>
    <col min="6" max="6" width="13.7109375" style="299" customWidth="1"/>
    <col min="7" max="11" width="24.7109375" style="299" customWidth="1"/>
    <col min="12" max="12" width="13.7109375" style="299" customWidth="1"/>
    <col min="13" max="17" width="24.7109375" style="299" customWidth="1"/>
    <col min="18" max="18" width="13.7109375" style="299" customWidth="1"/>
    <col min="19" max="23" width="24.7109375" style="299" customWidth="1"/>
    <col min="24" max="24" width="13.7109375" style="299" customWidth="1"/>
    <col min="25" max="29" width="24.7109375" style="299" customWidth="1"/>
    <col min="30" max="16384" width="11.42578125" style="299"/>
  </cols>
  <sheetData>
    <row r="1" spans="1:30" ht="119.25" customHeight="1" x14ac:dyDescent="0.2">
      <c r="A1" s="1390"/>
      <c r="B1" s="1390"/>
      <c r="C1" s="1390"/>
      <c r="D1" s="1390"/>
      <c r="E1" s="1388" t="s">
        <v>57</v>
      </c>
      <c r="F1" s="1389"/>
      <c r="G1" s="1389"/>
      <c r="H1" s="1389"/>
      <c r="I1" s="1389"/>
      <c r="J1" s="1389"/>
      <c r="K1" s="1389"/>
      <c r="L1" s="1389"/>
      <c r="M1" s="1389"/>
      <c r="N1" s="1389"/>
      <c r="O1" s="1389"/>
      <c r="P1" s="1389"/>
      <c r="Q1" s="1389"/>
      <c r="R1" s="1389"/>
      <c r="S1" s="1389"/>
      <c r="T1" s="1389"/>
      <c r="U1" s="1389"/>
      <c r="V1" s="1389"/>
      <c r="W1" s="1389"/>
      <c r="X1" s="1389"/>
      <c r="Y1" s="1389"/>
      <c r="Z1" s="1389"/>
      <c r="AA1" s="1389"/>
      <c r="AB1" s="1389"/>
      <c r="AC1" s="1389"/>
      <c r="AD1" s="1689"/>
    </row>
    <row r="2" spans="1:30" ht="15.75" thickBot="1" x14ac:dyDescent="0.25"/>
    <row r="3" spans="1:30" x14ac:dyDescent="0.2">
      <c r="A3" s="1391" t="s">
        <v>454</v>
      </c>
      <c r="B3" s="1392"/>
      <c r="C3" s="1392"/>
      <c r="D3" s="1392"/>
      <c r="E3" s="1392"/>
      <c r="F3" s="1392"/>
      <c r="G3" s="1392"/>
      <c r="H3" s="1392"/>
      <c r="I3" s="1392"/>
      <c r="J3" s="1392"/>
      <c r="K3" s="1392"/>
      <c r="L3" s="1392"/>
      <c r="M3" s="1392"/>
      <c r="N3" s="1392"/>
      <c r="O3" s="1392"/>
      <c r="P3" s="1392"/>
      <c r="Q3" s="1392"/>
      <c r="R3" s="1392"/>
      <c r="S3" s="1392"/>
      <c r="T3" s="1392"/>
      <c r="U3" s="1392"/>
      <c r="V3" s="1392"/>
      <c r="W3" s="1392"/>
      <c r="X3" s="1392"/>
      <c r="Y3" s="1392"/>
      <c r="Z3" s="1392"/>
      <c r="AA3" s="1392"/>
      <c r="AB3" s="1392"/>
      <c r="AC3" s="1690"/>
    </row>
    <row r="4" spans="1:30" ht="23.25" customHeight="1" thickBot="1" x14ac:dyDescent="0.25">
      <c r="A4" s="1393"/>
      <c r="B4" s="1394"/>
      <c r="C4" s="1394"/>
      <c r="D4" s="1394"/>
      <c r="E4" s="1394"/>
      <c r="F4" s="1394"/>
      <c r="G4" s="1394"/>
      <c r="H4" s="1394"/>
      <c r="I4" s="1394"/>
      <c r="J4" s="1394"/>
      <c r="K4" s="1394"/>
      <c r="L4" s="1394"/>
      <c r="M4" s="1394"/>
      <c r="N4" s="1394"/>
      <c r="O4" s="1394"/>
      <c r="P4" s="1394"/>
      <c r="Q4" s="1394"/>
      <c r="R4" s="1394"/>
      <c r="S4" s="1394"/>
      <c r="T4" s="1394"/>
      <c r="U4" s="1394"/>
      <c r="V4" s="1394"/>
      <c r="W4" s="1394"/>
      <c r="X4" s="1394"/>
      <c r="Y4" s="1394"/>
      <c r="Z4" s="1394"/>
      <c r="AA4" s="1394"/>
      <c r="AB4" s="1394"/>
      <c r="AC4" s="1691"/>
    </row>
    <row r="5" spans="1:30" s="302" customFormat="1" ht="23.25" customHeight="1" thickBot="1" x14ac:dyDescent="0.25">
      <c r="A5" s="368"/>
      <c r="B5" s="301"/>
      <c r="C5" s="301"/>
      <c r="D5" s="301"/>
      <c r="E5" s="301"/>
      <c r="F5" s="301"/>
      <c r="G5" s="301"/>
      <c r="H5" s="300"/>
      <c r="I5" s="300"/>
      <c r="J5" s="301"/>
      <c r="K5" s="301"/>
      <c r="L5" s="301"/>
      <c r="M5" s="301"/>
      <c r="N5" s="300"/>
      <c r="O5" s="300"/>
      <c r="P5" s="301"/>
      <c r="Q5" s="301"/>
      <c r="R5" s="301"/>
      <c r="S5" s="301"/>
      <c r="T5" s="300"/>
      <c r="U5" s="300"/>
      <c r="V5" s="301"/>
      <c r="W5" s="301"/>
      <c r="X5" s="301"/>
      <c r="Y5" s="301"/>
      <c r="Z5" s="300"/>
      <c r="AA5" s="300"/>
      <c r="AB5" s="301"/>
      <c r="AC5" s="373"/>
    </row>
    <row r="6" spans="1:30" s="305" customFormat="1" ht="30" customHeight="1" thickBot="1" x14ac:dyDescent="0.3">
      <c r="A6" s="369"/>
      <c r="B6" s="374" t="s">
        <v>351</v>
      </c>
      <c r="C6" s="375" t="s">
        <v>352</v>
      </c>
      <c r="D6" s="369"/>
      <c r="G6" s="380"/>
      <c r="H6" s="376" t="s">
        <v>351</v>
      </c>
      <c r="I6" s="376" t="s">
        <v>352</v>
      </c>
      <c r="J6" s="380"/>
      <c r="K6" s="380"/>
      <c r="M6" s="380"/>
      <c r="N6" s="372" t="s">
        <v>351</v>
      </c>
      <c r="O6" s="372" t="s">
        <v>352</v>
      </c>
      <c r="P6" s="380"/>
      <c r="Q6" s="380"/>
      <c r="S6" s="380"/>
      <c r="T6" s="376" t="s">
        <v>351</v>
      </c>
      <c r="U6" s="376" t="s">
        <v>352</v>
      </c>
      <c r="V6" s="380"/>
      <c r="W6" s="380"/>
      <c r="Y6" s="380"/>
      <c r="Z6" s="376" t="s">
        <v>351</v>
      </c>
      <c r="AA6" s="376" t="s">
        <v>352</v>
      </c>
      <c r="AB6" s="380"/>
      <c r="AC6" s="380"/>
    </row>
    <row r="7" spans="1:30" s="305" customFormat="1" ht="30" customHeight="1" thickBot="1" x14ac:dyDescent="0.3">
      <c r="A7" s="365" t="s">
        <v>168</v>
      </c>
      <c r="B7" s="1154">
        <f>'1 g %'!B24</f>
        <v>0</v>
      </c>
      <c r="C7" s="1154">
        <f>'1 g %'!B33</f>
        <v>0</v>
      </c>
      <c r="D7" s="1155" t="s">
        <v>353</v>
      </c>
      <c r="E7" s="371">
        <f>'1 g %'!$J$19</f>
        <v>0</v>
      </c>
      <c r="G7" s="365" t="s">
        <v>172</v>
      </c>
      <c r="H7" s="1154">
        <f>'10 g %'!B24</f>
        <v>0</v>
      </c>
      <c r="I7" s="1154">
        <f>'10 g %'!$B$33</f>
        <v>0</v>
      </c>
      <c r="J7" s="372" t="s">
        <v>353</v>
      </c>
      <c r="K7" s="371">
        <f>'10 g %'!$J$19</f>
        <v>0</v>
      </c>
      <c r="M7" s="372" t="s">
        <v>176</v>
      </c>
      <c r="N7" s="899">
        <f>'100 g %'!$B$24</f>
        <v>0</v>
      </c>
      <c r="O7" s="899">
        <f>'100 g %'!$B$33</f>
        <v>0</v>
      </c>
      <c r="P7" s="372" t="s">
        <v>353</v>
      </c>
      <c r="Q7" s="371">
        <f>'100 g %'!$J$19</f>
        <v>0</v>
      </c>
      <c r="S7" s="372" t="s">
        <v>140</v>
      </c>
      <c r="T7" s="1154">
        <f>'1 kg %'!$B$24</f>
        <v>0</v>
      </c>
      <c r="U7" s="1154">
        <f>'1 kg %'!$B$33</f>
        <v>0</v>
      </c>
      <c r="V7" s="372" t="s">
        <v>353</v>
      </c>
      <c r="W7" s="371">
        <f>'1 kg %'!$J$19</f>
        <v>0</v>
      </c>
      <c r="Y7" s="372" t="s">
        <v>143</v>
      </c>
      <c r="Z7" s="1154">
        <f>'10 kg %'!$B$24</f>
        <v>0</v>
      </c>
      <c r="AA7" s="1154">
        <f>'10 kg %'!$B$33</f>
        <v>0</v>
      </c>
      <c r="AB7" s="372" t="s">
        <v>353</v>
      </c>
      <c r="AC7" s="371">
        <f>'10 kg %'!$J$19</f>
        <v>0</v>
      </c>
    </row>
    <row r="8" spans="1:30" s="305" customFormat="1" ht="30" customHeight="1" thickBot="1" x14ac:dyDescent="0.3">
      <c r="A8" s="365" t="s">
        <v>333</v>
      </c>
      <c r="B8" s="366" t="s">
        <v>342</v>
      </c>
      <c r="C8" s="366" t="s">
        <v>163</v>
      </c>
      <c r="D8" s="366" t="s">
        <v>318</v>
      </c>
      <c r="E8" s="377" t="s">
        <v>164</v>
      </c>
      <c r="G8" s="374" t="s">
        <v>333</v>
      </c>
      <c r="H8" s="366" t="s">
        <v>342</v>
      </c>
      <c r="I8" s="378" t="s">
        <v>163</v>
      </c>
      <c r="J8" s="378" t="s">
        <v>318</v>
      </c>
      <c r="K8" s="375" t="s">
        <v>164</v>
      </c>
      <c r="M8" s="374" t="s">
        <v>333</v>
      </c>
      <c r="N8" s="366" t="s">
        <v>342</v>
      </c>
      <c r="O8" s="378" t="s">
        <v>163</v>
      </c>
      <c r="P8" s="378" t="s">
        <v>318</v>
      </c>
      <c r="Q8" s="375" t="s">
        <v>164</v>
      </c>
      <c r="S8" s="374" t="s">
        <v>333</v>
      </c>
      <c r="T8" s="366" t="s">
        <v>342</v>
      </c>
      <c r="U8" s="378" t="s">
        <v>163</v>
      </c>
      <c r="V8" s="378" t="s">
        <v>318</v>
      </c>
      <c r="W8" s="375" t="s">
        <v>164</v>
      </c>
      <c r="Y8" s="374" t="s">
        <v>333</v>
      </c>
      <c r="Z8" s="366" t="s">
        <v>342</v>
      </c>
      <c r="AA8" s="378" t="s">
        <v>163</v>
      </c>
      <c r="AB8" s="378" t="s">
        <v>318</v>
      </c>
      <c r="AC8" s="375" t="s">
        <v>164</v>
      </c>
    </row>
    <row r="9" spans="1:30" s="305" customFormat="1" ht="39.950000000000003" customHeight="1" x14ac:dyDescent="0.25">
      <c r="A9" s="1385" t="e">
        <f>'1 g %'!$E$4</f>
        <v>#N/A</v>
      </c>
      <c r="B9" s="370" t="s">
        <v>334</v>
      </c>
      <c r="C9" s="896"/>
      <c r="D9" s="436"/>
      <c r="E9" s="437"/>
      <c r="G9" s="1387" t="e">
        <f>'10 g %'!$E$4</f>
        <v>#N/A</v>
      </c>
      <c r="H9" s="330" t="s">
        <v>334</v>
      </c>
      <c r="I9" s="435"/>
      <c r="J9" s="436"/>
      <c r="K9" s="437"/>
      <c r="M9" s="1387" t="e">
        <f>'100 g %'!$E$4</f>
        <v>#N/A</v>
      </c>
      <c r="N9" s="330" t="s">
        <v>334</v>
      </c>
      <c r="O9" s="435"/>
      <c r="P9" s="436"/>
      <c r="Q9" s="437"/>
      <c r="S9" s="1387" t="e">
        <f>'1 kg %'!$E$4</f>
        <v>#N/A</v>
      </c>
      <c r="T9" s="330" t="s">
        <v>334</v>
      </c>
      <c r="U9" s="435"/>
      <c r="V9" s="436"/>
      <c r="W9" s="437"/>
      <c r="Y9" s="1387" t="e">
        <f>'10 kg %'!$E$4</f>
        <v>#N/A</v>
      </c>
      <c r="Z9" s="330" t="s">
        <v>334</v>
      </c>
      <c r="AA9" s="435"/>
      <c r="AB9" s="436"/>
      <c r="AC9" s="437"/>
    </row>
    <row r="10" spans="1:30" s="305" customFormat="1" ht="39.950000000000003" customHeight="1" thickBot="1" x14ac:dyDescent="0.3">
      <c r="A10" s="1385"/>
      <c r="B10" s="331" t="s">
        <v>335</v>
      </c>
      <c r="C10" s="897"/>
      <c r="D10" s="439"/>
      <c r="E10" s="440"/>
      <c r="G10" s="1385"/>
      <c r="H10" s="332" t="s">
        <v>335</v>
      </c>
      <c r="I10" s="438"/>
      <c r="J10" s="439"/>
      <c r="K10" s="440"/>
      <c r="M10" s="1385"/>
      <c r="N10" s="332" t="s">
        <v>335</v>
      </c>
      <c r="O10" s="432"/>
      <c r="P10" s="433"/>
      <c r="Q10" s="434"/>
      <c r="S10" s="1385"/>
      <c r="T10" s="332" t="s">
        <v>335</v>
      </c>
      <c r="U10" s="432"/>
      <c r="V10" s="433"/>
      <c r="W10" s="434"/>
      <c r="Y10" s="1385"/>
      <c r="Z10" s="332" t="s">
        <v>335</v>
      </c>
      <c r="AA10" s="432"/>
      <c r="AB10" s="433"/>
      <c r="AC10" s="434"/>
    </row>
    <row r="11" spans="1:30" s="305" customFormat="1" ht="39.950000000000003" customHeight="1" x14ac:dyDescent="0.25">
      <c r="A11" s="1385"/>
      <c r="B11" s="330" t="s">
        <v>340</v>
      </c>
      <c r="C11" s="333" t="e">
        <f>C9+(VLOOKUP('1 g %'!$J$19,'DATOS %'!$J$174:$W$180,9,FALSE))*C9+(VLOOKUP('1 g %'!$J$19,'DATOS %'!$J$174:$W$180,10,FALSE))</f>
        <v>#N/A</v>
      </c>
      <c r="D11" s="325" t="e">
        <f>D9+(VLOOKUP('1 g %'!$J$19,'DATOS %'!$J$174:$W$180,11,FALSE))*D9+(VLOOKUP('1 g %'!$J$19,'DATOS %'!$J$174:$W$180,12,FALSE))</f>
        <v>#N/A</v>
      </c>
      <c r="E11" s="326" t="e">
        <f>E9+(VLOOKUP('1 g %'!$J$19,'DATOS %'!$J$174:$W$180,13,FALSE))*E9+(VLOOKUP('1 g %'!$J$19,'DATOS %'!$J$174:$W$180,14,FALSE))</f>
        <v>#N/A</v>
      </c>
      <c r="G11" s="1385"/>
      <c r="H11" s="330" t="s">
        <v>340</v>
      </c>
      <c r="I11" s="338" t="e">
        <f>I9+(VLOOKUP('10 g %'!$J$19,'DATOS %'!$J$174:$W$180,9,FALSE))*I9+(VLOOKUP('10 g %'!$J$19,'DATOS %'!$J$174:$W$180,10,FALSE))</f>
        <v>#N/A</v>
      </c>
      <c r="J11" s="337" t="e">
        <f>J9+(VLOOKUP('10 g %'!$J$19,'DATOS %'!$J$174:$W$180,11,FALSE))*J9+(VLOOKUP('10 g %'!$J$19,'DATOS %'!$J$174:$W$180,12,FALSE))</f>
        <v>#N/A</v>
      </c>
      <c r="K11" s="339" t="e">
        <f>K9+(VLOOKUP('10 g %'!$J$19,'DATOS %'!$J$174:$W$180,13,FALSE))*K9+(VLOOKUP('10 g %'!$J$19,'DATOS %'!$J$174:$W$180,14,FALSE))</f>
        <v>#N/A</v>
      </c>
      <c r="M11" s="1385"/>
      <c r="N11" s="346" t="s">
        <v>340</v>
      </c>
      <c r="O11" s="341" t="e">
        <f>O9+(VLOOKUP('100 g %'!$J$19,'DATOS %'!$J$174:$W$180,9,FALSE))*O9+(VLOOKUP('100 g %'!$J$19,'DATOS %'!$J$174:$W$180,10,FALSE))</f>
        <v>#N/A</v>
      </c>
      <c r="P11" s="348" t="e">
        <f>P9+(VLOOKUP('100 g %'!$J$19,'DATOS %'!$J$174:$W$180,11,FALSE))*P9+(VLOOKUP('100 g %'!$J$19,'DATOS %'!$J$174:$W$180,12,FALSE))</f>
        <v>#N/A</v>
      </c>
      <c r="Q11" s="349" t="e">
        <f>Q9+(VLOOKUP('100 g %'!$J$19,'DATOS %'!$J$174:$W$180,13,FALSE))*Q9+(VLOOKUP('100 g %'!$J$19,'DATOS %'!$J$174:$W$180,14,FALSE))</f>
        <v>#N/A</v>
      </c>
      <c r="S11" s="1385"/>
      <c r="T11" s="346" t="s">
        <v>340</v>
      </c>
      <c r="U11" s="338" t="e">
        <f>U9+(VLOOKUP('1 kg %'!$J$19,'DATOS %'!$J$174:$W$180,9,FALSE))*U9+(VLOOKUP('1 kg %'!$J$19,'DATOS %'!$J$174:$W$180,10,FALSE))</f>
        <v>#N/A</v>
      </c>
      <c r="V11" s="335" t="e">
        <f>V9+(VLOOKUP('1 kg %'!$J$19,'DATOS %'!$J$174:$W$180,11,FALSE))*V9+(VLOOKUP('1 kg %'!$J$19,'DATOS %'!$J$174:$W$180,12,FALSE))</f>
        <v>#N/A</v>
      </c>
      <c r="W11" s="336" t="e">
        <f>W9+(VLOOKUP('1 kg %'!$J$19,'DATOS %'!$J$174:$W$180,13,FALSE))*W9+(VLOOKUP('1 kg %'!$J$19,'DATOS %'!$J$174:$W$180,14,FALSE))</f>
        <v>#N/A</v>
      </c>
      <c r="Y11" s="1385"/>
      <c r="Z11" s="346" t="s">
        <v>340</v>
      </c>
      <c r="AA11" s="338" t="e">
        <f>AA9+(VLOOKUP('10 kg %'!$J$19,'DATOS %'!$J$174:$W$180,9,FALSE))*AA9+(VLOOKUP('10 kg %'!$J$19,'DATOS %'!$J$174:$W$180,10,FALSE))</f>
        <v>#N/A</v>
      </c>
      <c r="AB11" s="335" t="e">
        <f>AB9+(VLOOKUP('10 kg %'!$J$19,'DATOS %'!$J$174:$W$180,11,FALSE))*AB9+(VLOOKUP('10 kg %'!$J$19,'DATOS %'!$J$174:$W$180,12,FALSE))</f>
        <v>#N/A</v>
      </c>
      <c r="AC11" s="336" t="e">
        <f>AC9+(VLOOKUP('10 kg %'!$J$19,'DATOS %'!$J$174:$W$180,13,FALSE))*AC9+(VLOOKUP('10 kg %'!$J$19,'DATOS %'!$J$174:$W$180,14,FALSE))</f>
        <v>#N/A</v>
      </c>
    </row>
    <row r="12" spans="1:30" s="305" customFormat="1" ht="39.950000000000003" customHeight="1" thickBot="1" x14ac:dyDescent="0.3">
      <c r="A12" s="1386"/>
      <c r="B12" s="332" t="s">
        <v>341</v>
      </c>
      <c r="C12" s="334" t="e">
        <f>C10+(VLOOKUP('1 g %'!$J$19,'DATOS %'!$J$174:$W$180,9,FALSE))*C10+(VLOOKUP('1 g %'!$J$19,'DATOS %'!$J$174:$W$180,10,FALSE))</f>
        <v>#N/A</v>
      </c>
      <c r="D12" s="327" t="e">
        <f>D10+(VLOOKUP('1 g %'!$J$19,'DATOS %'!$J$174:$W$180,11,FALSE))*D10+(VLOOKUP('1 g %'!$J$19,'DATOS %'!$J$174:$W$180,12,FALSE))</f>
        <v>#N/A</v>
      </c>
      <c r="E12" s="328" t="e">
        <f>E10+(VLOOKUP('1 g %'!$J$19,'DATOS %'!$J$174:$W$180,13,FALSE))*E10+(VLOOKUP('1 g %'!$J$19,'DATOS %'!$J$174:$W$180,14,FALSE))</f>
        <v>#N/A</v>
      </c>
      <c r="G12" s="1386"/>
      <c r="H12" s="332" t="s">
        <v>341</v>
      </c>
      <c r="I12" s="334" t="e">
        <f>I10+(VLOOKUP('10 g %'!$J$19,'DATOS %'!$J$174:$W$180,9,FALSE))*I10+(VLOOKUP('10 g %'!$J$19,'DATOS %'!$J$174:$W$180,10,FALSE))</f>
        <v>#N/A</v>
      </c>
      <c r="J12" s="329" t="e">
        <f>J10+(VLOOKUP('1 g %'!$J$19,'DATOS %'!$J$174:$W$180,11,FALSE))*J10+(VLOOKUP('1 g %'!$J$19,'DATOS %'!$J$174:$W$180,12,FALSE))</f>
        <v>#N/A</v>
      </c>
      <c r="K12" s="340" t="e">
        <f>K10+(VLOOKUP('1 g %'!$J$19,'DATOS %'!$J$174:$W$180,13,FALSE))*K10+(VLOOKUP('1 g %'!$J$19,'DATOS %'!$J$174:$W$180,14,FALSE))</f>
        <v>#N/A</v>
      </c>
      <c r="M12" s="1386"/>
      <c r="N12" s="347" t="s">
        <v>341</v>
      </c>
      <c r="O12" s="350" t="e">
        <f>O10+(VLOOKUP('100 g %'!$J$19,'DATOS %'!$J$174:$W$180,9,FALSE))*O10+(VLOOKUP('100 g %'!$J$19,'DATOS %'!$J$174:$W$180,10,FALSE))</f>
        <v>#N/A</v>
      </c>
      <c r="P12" s="351" t="e">
        <f>P10+(VLOOKUP('100 g %'!$J$19,'DATOS %'!$J$174:$W$180,11,FALSE))*P10+(VLOOKUP('100 g %'!$J$19,'DATOS %'!$J$174:$W$180,12,FALSE))</f>
        <v>#N/A</v>
      </c>
      <c r="Q12" s="352" t="e">
        <f>Q10+(VLOOKUP('100 g %'!$J$19,'DATOS %'!$J$174:$W$180,13,FALSE))*Q10+(VLOOKUP('100 g %'!$J$19,'DATOS %'!$J$174:$W$180,14,FALSE))</f>
        <v>#N/A</v>
      </c>
      <c r="S12" s="1386"/>
      <c r="T12" s="347" t="s">
        <v>341</v>
      </c>
      <c r="U12" s="334" t="e">
        <f>U10+(VLOOKUP('1 kg %'!$J$19,'DATOS %'!$J$174:$W$180,9,FALSE))*U10+(VLOOKUP('1 kg %'!$J$19,'DATOS %'!$J$174:$W$180,10,FALSE))</f>
        <v>#N/A</v>
      </c>
      <c r="V12" s="327" t="e">
        <f>V10+(VLOOKUP('1 kg %'!$J$19,'DATOS %'!$J$174:$W$180,11,FALSE))*V10+(VLOOKUP('1 kg %'!$J$19,'DATOS %'!$J$174:$W$180,12,FALSE))</f>
        <v>#N/A</v>
      </c>
      <c r="W12" s="328" t="e">
        <f>W10+(VLOOKUP('1 kg %'!$J$19,'DATOS %'!$J$174:$W$180,13,FALSE))*W10+(VLOOKUP('1 kg %'!$J$19,'DATOS %'!$J$174:$W$180,14,FALSE))</f>
        <v>#N/A</v>
      </c>
      <c r="Y12" s="1386"/>
      <c r="Z12" s="347" t="s">
        <v>341</v>
      </c>
      <c r="AA12" s="334" t="e">
        <f>AA10+(VLOOKUP('10 kg %'!$J$19,'DATOS %'!$J$174:$W$180,9,FALSE))*AA10+(VLOOKUP('10 kg %'!$J$19,'DATOS %'!$J$174:$W$180,10,FALSE))</f>
        <v>#N/A</v>
      </c>
      <c r="AB12" s="327" t="e">
        <f>AB10+(VLOOKUP('10 kg %'!$J$19,'DATOS %'!$J$174:$W$180,11,FALSE))*AB10+(VLOOKUP('10 kg %'!$J$19,'DATOS %'!$J$174:$W$180,12,FALSE))</f>
        <v>#N/A</v>
      </c>
      <c r="AC12" s="328" t="e">
        <f>AC10+(VLOOKUP('10 kg %'!$J$19,'DATOS %'!$J$174:$W$180,13,FALSE))*AC10+(VLOOKUP('10 kg %'!$J$19,'DATOS %'!$J$174:$W$180,14,FALSE))</f>
        <v>#N/A</v>
      </c>
    </row>
    <row r="13" spans="1:30" s="305" customFormat="1" ht="300" customHeight="1" x14ac:dyDescent="0.25"/>
    <row r="14" spans="1:30" s="305" customFormat="1" ht="30" customHeight="1" thickBot="1" x14ac:dyDescent="0.3"/>
    <row r="15" spans="1:30" s="305" customFormat="1" ht="30" customHeight="1" thickBot="1" x14ac:dyDescent="0.3">
      <c r="A15" s="379"/>
      <c r="B15" s="374" t="s">
        <v>351</v>
      </c>
      <c r="C15" s="375" t="s">
        <v>352</v>
      </c>
      <c r="D15" s="380"/>
      <c r="E15" s="379"/>
      <c r="G15" s="379"/>
      <c r="H15" s="374" t="s">
        <v>351</v>
      </c>
      <c r="I15" s="375" t="s">
        <v>352</v>
      </c>
      <c r="J15" s="380"/>
      <c r="K15" s="379"/>
      <c r="M15" s="379"/>
      <c r="N15" s="374" t="s">
        <v>351</v>
      </c>
      <c r="O15" s="375" t="s">
        <v>352</v>
      </c>
      <c r="P15" s="380"/>
      <c r="Q15" s="379"/>
      <c r="S15" s="379"/>
      <c r="T15" s="374" t="s">
        <v>351</v>
      </c>
      <c r="U15" s="375" t="s">
        <v>352</v>
      </c>
      <c r="V15" s="380"/>
      <c r="W15" s="379"/>
      <c r="Y15" s="380"/>
      <c r="Z15" s="376" t="s">
        <v>351</v>
      </c>
      <c r="AA15" s="376" t="s">
        <v>352</v>
      </c>
      <c r="AB15" s="380"/>
      <c r="AC15" s="380"/>
    </row>
    <row r="16" spans="1:30" s="305" customFormat="1" ht="30" customHeight="1" thickBot="1" x14ac:dyDescent="0.3">
      <c r="A16" s="381" t="s">
        <v>169</v>
      </c>
      <c r="B16" s="1154">
        <f>'2 g %'!B24</f>
        <v>0</v>
      </c>
      <c r="C16" s="1154">
        <f>'2 g %'!B33</f>
        <v>0</v>
      </c>
      <c r="D16" s="372" t="s">
        <v>353</v>
      </c>
      <c r="E16" s="371">
        <f>'2 g %'!$J$19</f>
        <v>0</v>
      </c>
      <c r="G16" s="381" t="s">
        <v>173</v>
      </c>
      <c r="H16" s="1154">
        <f>'20 g %'!B24</f>
        <v>0</v>
      </c>
      <c r="I16" s="1154">
        <f>'20 g %'!$B$33</f>
        <v>0</v>
      </c>
      <c r="J16" s="372" t="s">
        <v>353</v>
      </c>
      <c r="K16" s="371">
        <f>'20 g %'!$J$19</f>
        <v>0</v>
      </c>
      <c r="M16" s="381" t="s">
        <v>177</v>
      </c>
      <c r="N16" s="1154">
        <f>'200 g %'!$B$24</f>
        <v>0</v>
      </c>
      <c r="O16" s="1154">
        <f>'200 g %'!$B$33</f>
        <v>0</v>
      </c>
      <c r="P16" s="372" t="s">
        <v>353</v>
      </c>
      <c r="Q16" s="371">
        <f>'200 g %'!$J$19</f>
        <v>0</v>
      </c>
      <c r="S16" s="381" t="s">
        <v>141</v>
      </c>
      <c r="T16" s="1154">
        <f>'2 kg %'!$B$24</f>
        <v>0</v>
      </c>
      <c r="U16" s="1154">
        <f>'2 kg %'!$B$33</f>
        <v>0</v>
      </c>
      <c r="V16" s="372" t="s">
        <v>353</v>
      </c>
      <c r="W16" s="371">
        <f>'2 kg %'!$J$19</f>
        <v>0</v>
      </c>
      <c r="Y16" s="372" t="s">
        <v>441</v>
      </c>
      <c r="Z16" s="1154">
        <f>'5 kg % (C)'!$B$24</f>
        <v>0</v>
      </c>
      <c r="AA16" s="1154">
        <f>'5 kg % (C)'!$B$33</f>
        <v>0</v>
      </c>
      <c r="AB16" s="372" t="s">
        <v>353</v>
      </c>
      <c r="AC16" s="371">
        <f>'5 kg % (C)'!$J$19</f>
        <v>0</v>
      </c>
    </row>
    <row r="17" spans="1:29" s="305" customFormat="1" ht="30" customHeight="1" thickBot="1" x14ac:dyDescent="0.3">
      <c r="A17" s="374" t="s">
        <v>333</v>
      </c>
      <c r="B17" s="366" t="s">
        <v>342</v>
      </c>
      <c r="C17" s="378" t="s">
        <v>163</v>
      </c>
      <c r="D17" s="378" t="s">
        <v>318</v>
      </c>
      <c r="E17" s="375" t="s">
        <v>164</v>
      </c>
      <c r="G17" s="374" t="s">
        <v>333</v>
      </c>
      <c r="H17" s="366" t="s">
        <v>342</v>
      </c>
      <c r="I17" s="378" t="s">
        <v>163</v>
      </c>
      <c r="J17" s="378" t="s">
        <v>318</v>
      </c>
      <c r="K17" s="375" t="s">
        <v>164</v>
      </c>
      <c r="M17" s="374" t="s">
        <v>333</v>
      </c>
      <c r="N17" s="366" t="s">
        <v>342</v>
      </c>
      <c r="O17" s="378" t="s">
        <v>163</v>
      </c>
      <c r="P17" s="378" t="s">
        <v>318</v>
      </c>
      <c r="Q17" s="375" t="s">
        <v>164</v>
      </c>
      <c r="S17" s="374" t="s">
        <v>333</v>
      </c>
      <c r="T17" s="366" t="s">
        <v>342</v>
      </c>
      <c r="U17" s="378" t="s">
        <v>163</v>
      </c>
      <c r="V17" s="378" t="s">
        <v>318</v>
      </c>
      <c r="W17" s="375" t="s">
        <v>164</v>
      </c>
      <c r="Y17" s="374" t="s">
        <v>333</v>
      </c>
      <c r="Z17" s="366" t="s">
        <v>342</v>
      </c>
      <c r="AA17" s="378" t="s">
        <v>163</v>
      </c>
      <c r="AB17" s="378" t="s">
        <v>318</v>
      </c>
      <c r="AC17" s="375" t="s">
        <v>164</v>
      </c>
    </row>
    <row r="18" spans="1:29" s="305" customFormat="1" ht="39.950000000000003" customHeight="1" x14ac:dyDescent="0.25">
      <c r="A18" s="1387" t="e">
        <f>'2 g %'!$E$4</f>
        <v>#N/A</v>
      </c>
      <c r="B18" s="330" t="s">
        <v>334</v>
      </c>
      <c r="C18" s="435"/>
      <c r="D18" s="436"/>
      <c r="E18" s="437"/>
      <c r="G18" s="1387" t="e">
        <f>'20 g %'!$E$4</f>
        <v>#N/A</v>
      </c>
      <c r="H18" s="330" t="s">
        <v>334</v>
      </c>
      <c r="I18" s="435"/>
      <c r="J18" s="436"/>
      <c r="K18" s="437"/>
      <c r="M18" s="1387" t="e">
        <f>'200 g %'!$E$4</f>
        <v>#N/A</v>
      </c>
      <c r="N18" s="330" t="s">
        <v>334</v>
      </c>
      <c r="O18" s="435"/>
      <c r="P18" s="436"/>
      <c r="Q18" s="437"/>
      <c r="S18" s="1387" t="e">
        <f>'2 kg %'!$E$4</f>
        <v>#N/A</v>
      </c>
      <c r="T18" s="330" t="s">
        <v>334</v>
      </c>
      <c r="U18" s="435"/>
      <c r="V18" s="436"/>
      <c r="W18" s="437"/>
      <c r="Y18" s="1387" t="e">
        <f>'5 kg % (C)'!$E$4</f>
        <v>#N/A</v>
      </c>
      <c r="Z18" s="330" t="s">
        <v>334</v>
      </c>
      <c r="AA18" s="435"/>
      <c r="AB18" s="436"/>
      <c r="AC18" s="437"/>
    </row>
    <row r="19" spans="1:29" s="305" customFormat="1" ht="39.950000000000003" customHeight="1" thickBot="1" x14ac:dyDescent="0.3">
      <c r="A19" s="1385"/>
      <c r="B19" s="332" t="s">
        <v>335</v>
      </c>
      <c r="C19" s="432"/>
      <c r="D19" s="433"/>
      <c r="E19" s="434"/>
      <c r="G19" s="1385"/>
      <c r="H19" s="332" t="s">
        <v>335</v>
      </c>
      <c r="I19" s="432"/>
      <c r="J19" s="433"/>
      <c r="K19" s="434"/>
      <c r="M19" s="1385"/>
      <c r="N19" s="332" t="s">
        <v>335</v>
      </c>
      <c r="O19" s="432"/>
      <c r="P19" s="433"/>
      <c r="Q19" s="434"/>
      <c r="S19" s="1385"/>
      <c r="T19" s="332" t="s">
        <v>335</v>
      </c>
      <c r="U19" s="432"/>
      <c r="V19" s="433"/>
      <c r="W19" s="434"/>
      <c r="Y19" s="1385"/>
      <c r="Z19" s="332" t="s">
        <v>335</v>
      </c>
      <c r="AA19" s="432"/>
      <c r="AB19" s="433"/>
      <c r="AC19" s="434"/>
    </row>
    <row r="20" spans="1:29" s="305" customFormat="1" ht="39.950000000000003" customHeight="1" x14ac:dyDescent="0.25">
      <c r="A20" s="1385"/>
      <c r="B20" s="346" t="s">
        <v>340</v>
      </c>
      <c r="C20" s="341" t="e">
        <f>C18+(VLOOKUP('2 g %'!$J$19,'DATOS %'!$J$174:$W$180,9,FALSE))*C18+(VLOOKUP('2 g %'!$J$19,'DATOS %'!$J$174:$W$180,10,FALSE))</f>
        <v>#N/A</v>
      </c>
      <c r="D20" s="348" t="e">
        <f>D18+(VLOOKUP('2 g %'!$J$19,'DATOS %'!$J$174:$W$180,11,FALSE))*D18+(VLOOKUP('2 g %'!$J$19,'DATOS %'!$J$174:$W$180,12,FALSE))</f>
        <v>#N/A</v>
      </c>
      <c r="E20" s="349" t="e">
        <f>E18+(VLOOKUP('2 g %'!$J$19,'DATOS %'!$J$174:$W$180,13,FALSE))*E18+(VLOOKUP('2 g %'!$J$19,'DATOS %'!$J$174:$W$180,14,FALSE))</f>
        <v>#N/A</v>
      </c>
      <c r="G20" s="1385"/>
      <c r="H20" s="346" t="s">
        <v>340</v>
      </c>
      <c r="I20" s="338" t="e">
        <f>I18+(VLOOKUP('20 g %'!$J$19,'DATOS %'!$J$174:$W$180,9,FALSE))*I18+(VLOOKUP('20 g %'!$J$19,'DATOS %'!$J$174:$W$180,10,FALSE))</f>
        <v>#N/A</v>
      </c>
      <c r="J20" s="335" t="e">
        <f>J18+(VLOOKUP('20 g %'!$J$19,'DATOS %'!$J$174:$W$180,11,FALSE))*J18+(VLOOKUP('20 g %'!$J$19,'DATOS %'!$J$174:$W$180,12,FALSE))</f>
        <v>#N/A</v>
      </c>
      <c r="K20" s="336" t="e">
        <f>K18+(VLOOKUP('20 g %'!$J$19,'DATOS %'!$J$174:$W$180,13,FALSE))*K18+(VLOOKUP('20 g %'!$J$19,'DATOS %'!$J$174:$W$180,14,FALSE))</f>
        <v>#N/A</v>
      </c>
      <c r="M20" s="1385"/>
      <c r="N20" s="346" t="s">
        <v>340</v>
      </c>
      <c r="O20" s="338" t="e">
        <f>O18+(VLOOKUP('200 g %'!$J$19,'DATOS %'!$J$174:$W$180,9,FALSE))*O18+(VLOOKUP('200 g %'!$J$19,'DATOS %'!$J$174:$W$180,10,FALSE))</f>
        <v>#N/A</v>
      </c>
      <c r="P20" s="335" t="e">
        <f>P18+(VLOOKUP('200 g %'!$J$19,'DATOS %'!$J$174:$W$180,11,FALSE))*P18+(VLOOKUP('200 g %'!$J$19,'DATOS %'!$J$174:$W$180,12,FALSE))</f>
        <v>#N/A</v>
      </c>
      <c r="Q20" s="336" t="e">
        <f>Q18+(VLOOKUP('200 g %'!$J$19,'DATOS %'!$J$174:$W$180,13,FALSE))*Q18+(VLOOKUP('200 g %'!$J$19,'DATOS %'!$J$174:$W$180,14,FALSE))</f>
        <v>#N/A</v>
      </c>
      <c r="S20" s="1385"/>
      <c r="T20" s="346" t="s">
        <v>340</v>
      </c>
      <c r="U20" s="338" t="e">
        <f>U18+(VLOOKUP('2 kg %'!$J$19,'DATOS %'!$J$174:$W$180,9,FALSE))*U18+(VLOOKUP('2 kg %'!$J$19,'DATOS %'!$J$174:$W$180,10,FALSE))</f>
        <v>#N/A</v>
      </c>
      <c r="V20" s="335" t="e">
        <f>V18+(VLOOKUP('2 kg %'!$J$19,'DATOS %'!$J$174:$W$180,11,FALSE))*V18+(VLOOKUP('2 kg %'!$J$19,'DATOS %'!$J$174:$W$180,12,FALSE))</f>
        <v>#N/A</v>
      </c>
      <c r="W20" s="336" t="e">
        <f>W18+(VLOOKUP('2 kg %'!$J$19,'DATOS %'!$J$174:$W$180,13,FALSE))*W18+(VLOOKUP('2 kg %'!$J$19,'DATOS %'!$J$174:$W$180,14,FALSE))</f>
        <v>#N/A</v>
      </c>
      <c r="Y20" s="1385"/>
      <c r="Z20" s="346" t="s">
        <v>340</v>
      </c>
      <c r="AA20" s="338" t="e">
        <f>AA18+(VLOOKUP('5 kg % (C)'!$J$19,'DATOS %'!$J$174:$W$180,9,FALSE))*AA18+(VLOOKUP('5 kg % (C)'!$J$19,'DATOS %'!$J$174:$W$180,10,FALSE))</f>
        <v>#N/A</v>
      </c>
      <c r="AB20" s="335" t="e">
        <f>AB18+(VLOOKUP('5 kg % (C)'!$J$19,'DATOS %'!$J$174:$W$180,11,FALSE))*AB18+(VLOOKUP('5 kg % (C)'!$J$19,'DATOS %'!$J$174:$W$180,12,FALSE))</f>
        <v>#N/A</v>
      </c>
      <c r="AC20" s="336" t="e">
        <f>AC18+(VLOOKUP('5 kg % (C)'!$J$19,'DATOS %'!$J$174:$W$180,13,FALSE))*AC18+(VLOOKUP('5 kg % (C)'!$J$19,'DATOS %'!$J$174:$W$180,14,FALSE))</f>
        <v>#N/A</v>
      </c>
    </row>
    <row r="21" spans="1:29" s="305" customFormat="1" ht="39.950000000000003" customHeight="1" thickBot="1" x14ac:dyDescent="0.3">
      <c r="A21" s="1386"/>
      <c r="B21" s="347" t="s">
        <v>341</v>
      </c>
      <c r="C21" s="350" t="e">
        <f>C19+(VLOOKUP('2 g %'!$J$19,'DATOS %'!$J$174:$W$180,9,FALSE))*C19+(VLOOKUP('2 g %'!$J$19,'DATOS %'!$J$174:$W$180,10,FALSE))</f>
        <v>#N/A</v>
      </c>
      <c r="D21" s="351" t="e">
        <f>D19+(VLOOKUP('2 g %'!$J$19,'DATOS %'!$J$174:$W$180,11,FALSE))*D19+(VLOOKUP('2 g %'!$J$19,'DATOS %'!$J$174:$W$180,12,FALSE))</f>
        <v>#N/A</v>
      </c>
      <c r="E21" s="352" t="e">
        <f>E19+(VLOOKUP('2 g %'!$J$19,'DATOS %'!$J$174:$W$180,13,FALSE))*E19+(VLOOKUP('2 g %'!$J$19,'DATOS %'!$J$174:$W$180,14,FALSE))</f>
        <v>#N/A</v>
      </c>
      <c r="G21" s="1386"/>
      <c r="H21" s="347" t="s">
        <v>341</v>
      </c>
      <c r="I21" s="334" t="e">
        <f>I19+(VLOOKUP('20 g %'!$J$19,'DATOS %'!$J$174:$W$180,9,FALSE))*I19+(VLOOKUP('20 g %'!$J$19,'DATOS %'!$J$174:$W$180,10,FALSE))</f>
        <v>#N/A</v>
      </c>
      <c r="J21" s="327" t="e">
        <f>J19+(VLOOKUP('20 g %'!$J$19,'DATOS %'!$J$174:$W$180,11,FALSE))*J19+(VLOOKUP('20 g %'!$J$19,'DATOS %'!$J$174:$W$180,12,FALSE))</f>
        <v>#N/A</v>
      </c>
      <c r="K21" s="328" t="e">
        <f>K19+(VLOOKUP('20 g %'!$J$19,'DATOS %'!$J$174:$W$180,13,FALSE))*K19+(VLOOKUP('20 g %'!$J$19,'DATOS %'!$J$174:$W$180,14,FALSE))</f>
        <v>#N/A</v>
      </c>
      <c r="M21" s="1386"/>
      <c r="N21" s="347" t="s">
        <v>341</v>
      </c>
      <c r="O21" s="334" t="e">
        <f>O19+(VLOOKUP('200 g %'!$J$19,'DATOS %'!$J$174:$W$180,9,FALSE))*O19+(VLOOKUP('200 g %'!$J$19,'DATOS %'!$J$174:$W$180,10,FALSE))</f>
        <v>#N/A</v>
      </c>
      <c r="P21" s="327" t="e">
        <f>P19+(VLOOKUP('200 g %'!$J$19,'DATOS %'!$J$174:$W$180,11,FALSE))*P19+(VLOOKUP('200 g %'!$J$19,'DATOS %'!$J$174:$W$180,12,FALSE))</f>
        <v>#N/A</v>
      </c>
      <c r="Q21" s="328" t="e">
        <f>Q19+(VLOOKUP('200 g %'!$J$19,'DATOS %'!$J$174:$W$180,13,FALSE))*Q19+(VLOOKUP('200 g %'!$J$19,'DATOS %'!$J$174:$W$180,14,FALSE))</f>
        <v>#N/A</v>
      </c>
      <c r="S21" s="1386"/>
      <c r="T21" s="347" t="s">
        <v>341</v>
      </c>
      <c r="U21" s="334" t="e">
        <f>U19+(VLOOKUP('2 kg %'!$J$19,'DATOS %'!$J$174:$W$180,9,FALSE))*U19+(VLOOKUP('2 kg %'!$J$19,'DATOS %'!$J$174:$W$180,10,FALSE))</f>
        <v>#N/A</v>
      </c>
      <c r="V21" s="327" t="e">
        <f>V19+(VLOOKUP('2 kg %'!$J$19,'DATOS %'!$J$174:$W$180,11,FALSE))*V19+(VLOOKUP('2 kg %'!$J$19,'DATOS %'!$J$174:$W$180,12,FALSE))</f>
        <v>#N/A</v>
      </c>
      <c r="W21" s="328" t="e">
        <f>W19+(VLOOKUP('2 kg %'!$J$19,'DATOS %'!$J$174:$W$180,13,FALSE))*W19+(VLOOKUP('2 kg %'!$J$19,'DATOS %'!$J$174:$W$180,14,FALSE))</f>
        <v>#N/A</v>
      </c>
      <c r="Y21" s="1386"/>
      <c r="Z21" s="347" t="s">
        <v>341</v>
      </c>
      <c r="AA21" s="334" t="e">
        <f>AA19+(VLOOKUP('5 kg % (C)'!$J$19,'DATOS %'!$J$174:$W$180,9,FALSE))*AA19+(VLOOKUP('5 kg % (C)'!$J$19,'DATOS %'!$J$174:$W$180,10,FALSE))</f>
        <v>#N/A</v>
      </c>
      <c r="AB21" s="327" t="e">
        <f>AB19+(VLOOKUP('5 kg % (C)'!$J$19,'DATOS %'!$J$174:$W$180,11,FALSE))*AB19+(VLOOKUP('5 kg % (C)'!$J$19,'DATOS %'!$J$174:$W$180,12,FALSE))</f>
        <v>#N/A</v>
      </c>
      <c r="AC21" s="328" t="e">
        <f>AC19+(VLOOKUP('5 kg % (C)'!$J$19,'DATOS %'!$J$174:$W$180,13,FALSE))*AC19+(VLOOKUP('5 kg % (C)'!$J$19,'DATOS %'!$J$174:$W$180,14,FALSE))</f>
        <v>#N/A</v>
      </c>
    </row>
    <row r="22" spans="1:29" s="305" customFormat="1" ht="300" customHeight="1" x14ac:dyDescent="0.25"/>
    <row r="23" spans="1:29" s="305" customFormat="1" ht="30" customHeight="1" thickBot="1" x14ac:dyDescent="0.3">
      <c r="G23" s="379"/>
      <c r="H23" s="379"/>
      <c r="I23" s="379"/>
      <c r="J23" s="379"/>
      <c r="K23" s="379"/>
      <c r="S23" s="379"/>
      <c r="T23" s="379"/>
      <c r="U23" s="379"/>
      <c r="V23" s="379"/>
      <c r="W23" s="379"/>
    </row>
    <row r="24" spans="1:29" s="305" customFormat="1" ht="30" customHeight="1" thickBot="1" x14ac:dyDescent="0.3">
      <c r="A24" s="379"/>
      <c r="B24" s="374" t="s">
        <v>351</v>
      </c>
      <c r="C24" s="375" t="s">
        <v>352</v>
      </c>
      <c r="D24" s="380"/>
      <c r="E24" s="379"/>
      <c r="G24" s="379"/>
      <c r="H24" s="374" t="s">
        <v>351</v>
      </c>
      <c r="I24" s="375" t="s">
        <v>352</v>
      </c>
      <c r="J24" s="380"/>
      <c r="K24" s="379"/>
      <c r="M24" s="379"/>
      <c r="N24" s="374" t="s">
        <v>351</v>
      </c>
      <c r="O24" s="375" t="s">
        <v>352</v>
      </c>
      <c r="P24" s="380"/>
      <c r="Q24" s="379"/>
      <c r="S24" s="379"/>
      <c r="T24" s="374" t="s">
        <v>351</v>
      </c>
      <c r="U24" s="375" t="s">
        <v>352</v>
      </c>
      <c r="V24" s="380"/>
      <c r="W24" s="379"/>
      <c r="Y24" s="380"/>
      <c r="Z24" s="376" t="s">
        <v>351</v>
      </c>
      <c r="AA24" s="376" t="s">
        <v>352</v>
      </c>
      <c r="AB24" s="380"/>
      <c r="AC24" s="380"/>
    </row>
    <row r="25" spans="1:29" s="305" customFormat="1" ht="30" customHeight="1" thickBot="1" x14ac:dyDescent="0.3">
      <c r="A25" s="365" t="s">
        <v>336</v>
      </c>
      <c r="B25" s="1154">
        <f>'2 g + %'!B24</f>
        <v>0</v>
      </c>
      <c r="C25" s="1154">
        <f>'2 g + %'!B33</f>
        <v>0</v>
      </c>
      <c r="D25" s="372" t="s">
        <v>353</v>
      </c>
      <c r="E25" s="371">
        <f>'2 g + %'!$J$19</f>
        <v>0</v>
      </c>
      <c r="G25" s="381" t="s">
        <v>337</v>
      </c>
      <c r="H25" s="1154">
        <f>'20 g + %'!$B$24</f>
        <v>0</v>
      </c>
      <c r="I25" s="1154">
        <f>'20 g + %'!$B$33</f>
        <v>0</v>
      </c>
      <c r="J25" s="372" t="s">
        <v>353</v>
      </c>
      <c r="K25" s="371">
        <f>'20 g + %'!$J$19</f>
        <v>0</v>
      </c>
      <c r="M25" s="385" t="s">
        <v>338</v>
      </c>
      <c r="N25" s="1154">
        <f>'200 g + %'!$B$24</f>
        <v>0</v>
      </c>
      <c r="O25" s="1154">
        <f>'200 g + %'!$B$33</f>
        <v>0</v>
      </c>
      <c r="P25" s="372" t="s">
        <v>353</v>
      </c>
      <c r="Q25" s="371">
        <f>'200 g + %'!$J$19</f>
        <v>0</v>
      </c>
      <c r="S25" s="381" t="s">
        <v>339</v>
      </c>
      <c r="T25" s="1154">
        <f>'2 kg + %'!$B$24</f>
        <v>0</v>
      </c>
      <c r="U25" s="1154">
        <f>'2 kg + %'!$B$33</f>
        <v>0</v>
      </c>
      <c r="V25" s="372" t="s">
        <v>353</v>
      </c>
      <c r="W25" s="371">
        <f>'2 kg + %'!$J$19</f>
        <v>0</v>
      </c>
      <c r="Y25" s="372" t="s">
        <v>442</v>
      </c>
      <c r="Z25" s="1154">
        <f>'10 kg % (C)'!$B$24</f>
        <v>0</v>
      </c>
      <c r="AA25" s="1154">
        <f>'10 kg % (C)'!$B$33</f>
        <v>0</v>
      </c>
      <c r="AB25" s="372" t="s">
        <v>353</v>
      </c>
      <c r="AC25" s="371">
        <f>'10 kg % (C)'!$J$19</f>
        <v>0</v>
      </c>
    </row>
    <row r="26" spans="1:29" s="305" customFormat="1" ht="30" customHeight="1" thickBot="1" x14ac:dyDescent="0.3">
      <c r="A26" s="365" t="s">
        <v>333</v>
      </c>
      <c r="B26" s="366" t="s">
        <v>342</v>
      </c>
      <c r="C26" s="366" t="s">
        <v>163</v>
      </c>
      <c r="D26" s="366" t="s">
        <v>318</v>
      </c>
      <c r="E26" s="377" t="s">
        <v>164</v>
      </c>
      <c r="G26" s="374" t="s">
        <v>333</v>
      </c>
      <c r="H26" s="366" t="s">
        <v>342</v>
      </c>
      <c r="I26" s="378" t="s">
        <v>163</v>
      </c>
      <c r="J26" s="378" t="s">
        <v>318</v>
      </c>
      <c r="K26" s="375" t="s">
        <v>164</v>
      </c>
      <c r="M26" s="382" t="s">
        <v>333</v>
      </c>
      <c r="N26" s="386" t="s">
        <v>342</v>
      </c>
      <c r="O26" s="383" t="s">
        <v>163</v>
      </c>
      <c r="P26" s="383" t="s">
        <v>318</v>
      </c>
      <c r="Q26" s="384" t="s">
        <v>164</v>
      </c>
      <c r="S26" s="374" t="s">
        <v>333</v>
      </c>
      <c r="T26" s="366" t="s">
        <v>342</v>
      </c>
      <c r="U26" s="378" t="s">
        <v>163</v>
      </c>
      <c r="V26" s="378" t="s">
        <v>318</v>
      </c>
      <c r="W26" s="375" t="s">
        <v>164</v>
      </c>
      <c r="Y26" s="374" t="s">
        <v>333</v>
      </c>
      <c r="Z26" s="366" t="s">
        <v>342</v>
      </c>
      <c r="AA26" s="378" t="s">
        <v>163</v>
      </c>
      <c r="AB26" s="378" t="s">
        <v>318</v>
      </c>
      <c r="AC26" s="375" t="s">
        <v>164</v>
      </c>
    </row>
    <row r="27" spans="1:29" s="305" customFormat="1" ht="39.950000000000003" customHeight="1" x14ac:dyDescent="0.25">
      <c r="A27" s="1387" t="e">
        <f>'2 g + %'!$E$4</f>
        <v>#N/A</v>
      </c>
      <c r="B27" s="330" t="s">
        <v>334</v>
      </c>
      <c r="C27" s="435"/>
      <c r="D27" s="436"/>
      <c r="E27" s="437"/>
      <c r="G27" s="1387" t="e">
        <f>'20 g + %'!$E$4</f>
        <v>#N/A</v>
      </c>
      <c r="H27" s="346" t="s">
        <v>334</v>
      </c>
      <c r="I27" s="896"/>
      <c r="J27" s="436"/>
      <c r="K27" s="437"/>
      <c r="M27" s="1387" t="e">
        <f>'200 g + %'!$E$4</f>
        <v>#N/A</v>
      </c>
      <c r="N27" s="343" t="s">
        <v>334</v>
      </c>
      <c r="O27" s="435"/>
      <c r="P27" s="436"/>
      <c r="Q27" s="437"/>
      <c r="S27" s="1387" t="e">
        <f>'2 kg + %'!$E$4</f>
        <v>#N/A</v>
      </c>
      <c r="T27" s="330" t="s">
        <v>334</v>
      </c>
      <c r="U27" s="435"/>
      <c r="V27" s="436"/>
      <c r="W27" s="437"/>
      <c r="Y27" s="1387" t="e">
        <f>'10 kg % (C)'!$E$4</f>
        <v>#N/A</v>
      </c>
      <c r="Z27" s="330" t="s">
        <v>334</v>
      </c>
      <c r="AA27" s="435"/>
      <c r="AB27" s="436"/>
      <c r="AC27" s="437"/>
    </row>
    <row r="28" spans="1:29" s="305" customFormat="1" ht="39.950000000000003" customHeight="1" thickBot="1" x14ac:dyDescent="0.3">
      <c r="A28" s="1385"/>
      <c r="B28" s="332" t="s">
        <v>335</v>
      </c>
      <c r="C28" s="432"/>
      <c r="D28" s="433"/>
      <c r="E28" s="434"/>
      <c r="G28" s="1385"/>
      <c r="H28" s="347" t="s">
        <v>335</v>
      </c>
      <c r="I28" s="979"/>
      <c r="J28" s="433"/>
      <c r="K28" s="434"/>
      <c r="M28" s="1385"/>
      <c r="N28" s="344" t="s">
        <v>335</v>
      </c>
      <c r="O28" s="432"/>
      <c r="P28" s="433"/>
      <c r="Q28" s="434"/>
      <c r="R28" s="342"/>
      <c r="S28" s="1385"/>
      <c r="T28" s="332" t="s">
        <v>335</v>
      </c>
      <c r="U28" s="432"/>
      <c r="V28" s="433"/>
      <c r="W28" s="434"/>
      <c r="Y28" s="1385"/>
      <c r="Z28" s="332" t="s">
        <v>335</v>
      </c>
      <c r="AA28" s="432"/>
      <c r="AB28" s="433"/>
      <c r="AC28" s="434"/>
    </row>
    <row r="29" spans="1:29" s="305" customFormat="1" ht="39.950000000000003" customHeight="1" x14ac:dyDescent="0.25">
      <c r="A29" s="1385"/>
      <c r="B29" s="346" t="s">
        <v>340</v>
      </c>
      <c r="C29" s="338" t="e">
        <f>C27+(VLOOKUP('2 g + %'!$J$19,'DATOS %'!$J$174:$W$180,9,FALSE))*C27+(VLOOKUP('2 g + %'!$J$19,'DATOS %'!$J$174:$W$180,10,FALSE))</f>
        <v>#N/A</v>
      </c>
      <c r="D29" s="335" t="e">
        <f>D27+(VLOOKUP('2 g + %'!$J$19,'DATOS %'!$J$174:$W$180,11,FALSE))*D27+(VLOOKUP('2 g + %'!$J$19,'DATOS %'!$J$174:$W$180,12,FALSE))</f>
        <v>#N/A</v>
      </c>
      <c r="E29" s="336" t="e">
        <f>E27+(VLOOKUP('2 g + %'!$J$19,'DATOS %'!$J$174:$W$180,13,FALSE))*E27+(VLOOKUP('2 g + %'!$J$19,'DATOS %'!$J$174:$W$180,14,FALSE))</f>
        <v>#N/A</v>
      </c>
      <c r="G29" s="1385"/>
      <c r="H29" s="346" t="s">
        <v>340</v>
      </c>
      <c r="I29" s="980" t="e">
        <f>I27+(VLOOKUP('20 g + %'!$J$19,'DATOS %'!$J$174:$W$180,9,FALSE))*I27+(VLOOKUP('20 g + %'!$J$19,'DATOS %'!$J$174:$W$180,10,FALSE))</f>
        <v>#N/A</v>
      </c>
      <c r="J29" s="978" t="e">
        <f>J27+(VLOOKUP('20 g + %'!$J$19,'DATOS %'!$J$174:$W$180,11,FALSE))*J27+(VLOOKUP('20 g + %'!$J$19,'DATOS %'!$J$174:$W$180,12,FALSE))</f>
        <v>#N/A</v>
      </c>
      <c r="K29" s="981" t="e">
        <f>K27+(VLOOKUP('20 g + %'!$J$19,'DATOS %'!$J$174:$W$180,13,FALSE))*K27+(VLOOKUP('20 g + %'!$J$19,'DATOS %'!$J$174:$W$180,14,FALSE))</f>
        <v>#N/A</v>
      </c>
      <c r="M29" s="1385"/>
      <c r="N29" s="353" t="s">
        <v>340</v>
      </c>
      <c r="O29" s="345" t="e">
        <f>O27+(VLOOKUP('200 g + %'!$J$19,'DATOS %'!$J$174:$W$180,9,FALSE))*O27+(VLOOKUP('200 g + %'!$J$19,'DATOS %'!$J$174:$W$180,10,FALSE))</f>
        <v>#N/A</v>
      </c>
      <c r="P29" s="355" t="e">
        <f>P27+(VLOOKUP('200 g + %'!$J$19,'DATOS %'!$J$174:$W$180,11,FALSE))*P27+(VLOOKUP('200 g + %'!$J$19,'DATOS %'!$J$174:$W$180,12,FALSE))</f>
        <v>#N/A</v>
      </c>
      <c r="Q29" s="356" t="e">
        <f>Q27+(VLOOKUP('200 g + %'!$J$19,'DATOS %'!$J$174:$W$180,13,FALSE))*Q27+(VLOOKUP('200 g + %'!$J$19,'DATOS %'!$J$174:$W$180,14,FALSE))</f>
        <v>#N/A</v>
      </c>
      <c r="S29" s="1385"/>
      <c r="T29" s="346" t="s">
        <v>340</v>
      </c>
      <c r="U29" s="338" t="e">
        <f>U27+(VLOOKUP('2 kg + %'!$J$19,'DATOS %'!$J$174:$W$180,9,FALSE))*U27+(VLOOKUP('2 kg + %'!$J$19,'DATOS %'!$J$174:$W$180,10,FALSE))</f>
        <v>#N/A</v>
      </c>
      <c r="V29" s="335" t="e">
        <f>V27+(VLOOKUP('2 kg + %'!$J$19,'DATOS %'!$J$174:$W$180,11,FALSE))*V27+(VLOOKUP('2 kg + %'!$J$19,'DATOS %'!$J$174:$W$180,12,FALSE))</f>
        <v>#N/A</v>
      </c>
      <c r="W29" s="336" t="e">
        <f>W27+(VLOOKUP('2 kg + %'!$J$19,'DATOS %'!$J$174:$W$180,13,FALSE))*W27+(VLOOKUP('2 kg + %'!$J$19,'DATOS %'!$J$174:$W$180,14,FALSE))</f>
        <v>#N/A</v>
      </c>
      <c r="Y29" s="1385"/>
      <c r="Z29" s="346" t="s">
        <v>340</v>
      </c>
      <c r="AA29" s="338" t="e">
        <f>AA27+(VLOOKUP('10 kg % (C)'!$J$19,'DATOS %'!$J$174:$W$180,9,FALSE))*AA27+(VLOOKUP('10 kg % (C)'!$J$19,'DATOS %'!$J$174:$W$180,10,FALSE))</f>
        <v>#N/A</v>
      </c>
      <c r="AB29" s="335" t="e">
        <f>AB27+(VLOOKUP('10 kg % (C)'!$J$19,'DATOS %'!$J$174:$W$180,11,FALSE))*AB27+(VLOOKUP('10 kg % (C)'!$J$19,'DATOS %'!$J$174:$W$180,12,FALSE))</f>
        <v>#N/A</v>
      </c>
      <c r="AC29" s="336" t="e">
        <f>AC27+(VLOOKUP('10 kg % (C)'!$J$19,'DATOS %'!$J$174:$W$180,13,FALSE))*AC27+(VLOOKUP('10 kg % (C)'!$J$19,'DATOS %'!$J$174:$W$180,14,FALSE))</f>
        <v>#N/A</v>
      </c>
    </row>
    <row r="30" spans="1:29" s="305" customFormat="1" ht="39.950000000000003" customHeight="1" thickBot="1" x14ac:dyDescent="0.3">
      <c r="A30" s="1386"/>
      <c r="B30" s="347" t="s">
        <v>341</v>
      </c>
      <c r="C30" s="334" t="e">
        <f>C28+(VLOOKUP('2 g + %'!$J$19,'DATOS %'!$J$174:$W$180,9,FALSE))*C28+(VLOOKUP('2 g + %'!$J$19,'DATOS %'!$J$174:$W$180,10,FALSE))</f>
        <v>#N/A</v>
      </c>
      <c r="D30" s="327" t="e">
        <f>D28+(VLOOKUP('2 g + %'!$J$19,'DATOS %'!$J$174:$W$180,11,FALSE))*D28+(VLOOKUP('2 g + %'!$J$19,'DATOS %'!$J$174:$W$180,12,FALSE))</f>
        <v>#N/A</v>
      </c>
      <c r="E30" s="328" t="e">
        <f>E28+(VLOOKUP('2 g + %'!$J$19,'DATOS %'!$J$174:$W$180,13,FALSE))*E28+(VLOOKUP('2 g + %'!$J$19,'DATOS %'!$J$174:$W$180,14,FALSE))</f>
        <v>#N/A</v>
      </c>
      <c r="G30" s="1386"/>
      <c r="H30" s="347" t="s">
        <v>341</v>
      </c>
      <c r="I30" s="334" t="e">
        <f>I28+(VLOOKUP('20 g %'!$J$19,'DATOS %'!$J$174:$W$180,9,FALSE))*I28+(VLOOKUP('20 g %'!$J$19,'DATOS %'!$J$174:$W$180,10,FALSE))</f>
        <v>#N/A</v>
      </c>
      <c r="J30" s="327" t="e">
        <f>J28+(VLOOKUP('20 g + %'!$J$19,'DATOS %'!$J$174:$W$180,11,FALSE))*J28+(VLOOKUP('20 g + %'!$J$19,'DATOS %'!$J$174:$W$180,12,FALSE))</f>
        <v>#N/A</v>
      </c>
      <c r="K30" s="328" t="e">
        <f>K28+(VLOOKUP('20 g + %'!$J$19,'DATOS %'!$J$174:$W$180,13,FALSE))*K28+(VLOOKUP('20 g + %'!$J$19,'DATOS %'!$J$174:$W$180,14,FALSE))</f>
        <v>#N/A</v>
      </c>
      <c r="M30" s="1386"/>
      <c r="N30" s="354" t="s">
        <v>341</v>
      </c>
      <c r="O30" s="357" t="e">
        <f>O28+(VLOOKUP('200 g + %'!$J$19,'DATOS %'!$J$174:$W$180,9,FALSE))*O28+(VLOOKUP('200 g + %'!$J$19,'DATOS %'!$J$174:$W$180,10,FALSE))</f>
        <v>#N/A</v>
      </c>
      <c r="P30" s="358" t="e">
        <f>P28+(VLOOKUP('200 g + %'!$J$19,'DATOS %'!$J$174:$W$180,11,FALSE))*P28+(VLOOKUP('200 g + %'!$J$19,'DATOS %'!$J$174:$W$180,12,FALSE))</f>
        <v>#N/A</v>
      </c>
      <c r="Q30" s="359" t="e">
        <f>Q28+(VLOOKUP('200 g %'!$J$19,'DATOS %'!$J$174:$W$180,13,FALSE))*Q28+(VLOOKUP('200 g %'!$J$19,'DATOS %'!$J$174:$W$180,14,FALSE))</f>
        <v>#N/A</v>
      </c>
      <c r="S30" s="1386"/>
      <c r="T30" s="347" t="s">
        <v>341</v>
      </c>
      <c r="U30" s="334" t="e">
        <f>U28+(VLOOKUP('2 kg + %'!$J$19,'DATOS %'!$J$174:$W$180,9,FALSE))*U28+(VLOOKUP('2 kg + %'!$J$19,'DATOS %'!$J$174:$W$180,10,FALSE))</f>
        <v>#N/A</v>
      </c>
      <c r="V30" s="327" t="e">
        <f>V28+(VLOOKUP('2 kg + %'!$J$19,'DATOS %'!$J$174:$W$180,11,FALSE))*V28+(VLOOKUP('2 kg + %'!$J$19,'DATOS %'!$J$174:$W$180,12,FALSE))</f>
        <v>#N/A</v>
      </c>
      <c r="W30" s="328" t="e">
        <f>W28+(VLOOKUP('2 kg + %'!$J$19,'DATOS %'!$J$174:$W$180,13,FALSE))*W28+(VLOOKUP('2 kg + %'!$J$19,'DATOS %'!$J$174:$W$180,14,FALSE))</f>
        <v>#N/A</v>
      </c>
      <c r="Y30" s="1386"/>
      <c r="Z30" s="347" t="s">
        <v>341</v>
      </c>
      <c r="AA30" s="334" t="e">
        <f>AA28+(VLOOKUP('10 kg % (C)'!$J$19,'DATOS %'!$J$174:$W$180,9,FALSE))*AA28+(VLOOKUP('10 kg % (C)'!$J$19,'DATOS %'!$J$174:$W$180,10,FALSE))</f>
        <v>#N/A</v>
      </c>
      <c r="AB30" s="327" t="e">
        <f>AB28+(VLOOKUP('10 kg % (C)'!$J$19,'DATOS %'!$J$174:$W$180,11,FALSE))*AB28+(VLOOKUP('10 kg % (C)'!$J$19,'DATOS %'!$J$174:$W$180,12,FALSE))</f>
        <v>#N/A</v>
      </c>
      <c r="AC30" s="328" t="e">
        <f>AC28+(VLOOKUP('10 kg % (C)'!$J$19,'DATOS %'!$J$174:$W$180,13,FALSE))*AC28+(VLOOKUP('10 kg % (C)'!$J$19,'DATOS %'!$J$174:$W$180,14,FALSE))</f>
        <v>#N/A</v>
      </c>
    </row>
    <row r="31" spans="1:29" s="305" customFormat="1" ht="300" customHeight="1" x14ac:dyDescent="0.25"/>
    <row r="32" spans="1:29" s="305" customFormat="1" ht="30" customHeight="1" thickBot="1" x14ac:dyDescent="0.3">
      <c r="B32" s="304"/>
      <c r="C32" s="303"/>
      <c r="D32" s="303"/>
      <c r="E32" s="303"/>
    </row>
    <row r="33" spans="1:29" s="305" customFormat="1" ht="30" customHeight="1" thickBot="1" x14ac:dyDescent="0.3">
      <c r="A33" s="379"/>
      <c r="B33" s="374" t="s">
        <v>351</v>
      </c>
      <c r="C33" s="375" t="s">
        <v>352</v>
      </c>
      <c r="D33" s="380"/>
      <c r="E33" s="379"/>
      <c r="G33" s="379"/>
      <c r="H33" s="374" t="s">
        <v>351</v>
      </c>
      <c r="I33" s="375" t="s">
        <v>352</v>
      </c>
      <c r="J33" s="380"/>
      <c r="K33" s="379"/>
      <c r="M33" s="379"/>
      <c r="N33" s="374" t="s">
        <v>351</v>
      </c>
      <c r="O33" s="375" t="s">
        <v>352</v>
      </c>
      <c r="P33" s="380"/>
      <c r="Q33" s="379"/>
      <c r="S33" s="379"/>
      <c r="T33" s="374" t="s">
        <v>351</v>
      </c>
      <c r="U33" s="375" t="s">
        <v>352</v>
      </c>
      <c r="V33" s="380"/>
      <c r="W33" s="379"/>
      <c r="Y33" s="380"/>
      <c r="Z33" s="376" t="s">
        <v>351</v>
      </c>
      <c r="AA33" s="376" t="s">
        <v>352</v>
      </c>
      <c r="AB33" s="380"/>
      <c r="AC33" s="380"/>
    </row>
    <row r="34" spans="1:29" s="305" customFormat="1" ht="30" customHeight="1" thickBot="1" x14ac:dyDescent="0.3">
      <c r="A34" s="365" t="s">
        <v>331</v>
      </c>
      <c r="B34" s="899">
        <f>'5 g %'!B24</f>
        <v>0</v>
      </c>
      <c r="C34" s="899">
        <f>'5 g %'!$B$33</f>
        <v>0</v>
      </c>
      <c r="D34" s="372" t="s">
        <v>353</v>
      </c>
      <c r="E34" s="371">
        <f>'5 g %'!$J$19</f>
        <v>0</v>
      </c>
      <c r="G34" s="381" t="s">
        <v>175</v>
      </c>
      <c r="H34" s="1154">
        <f>'50 g %'!$B$24</f>
        <v>0</v>
      </c>
      <c r="I34" s="1154">
        <f>'50 g %'!$B$33</f>
        <v>0</v>
      </c>
      <c r="J34" s="372" t="s">
        <v>353</v>
      </c>
      <c r="K34" s="371">
        <f>'50 g %'!$J$19</f>
        <v>0</v>
      </c>
      <c r="M34" s="381" t="s">
        <v>179</v>
      </c>
      <c r="N34" s="1154">
        <f>'500 g %'!$B$24</f>
        <v>0</v>
      </c>
      <c r="O34" s="1154">
        <f>'500 g %'!$B$33</f>
        <v>0</v>
      </c>
      <c r="P34" s="372" t="s">
        <v>353</v>
      </c>
      <c r="Q34" s="371">
        <f>'500 g %'!$J$19</f>
        <v>0</v>
      </c>
      <c r="S34" s="381" t="s">
        <v>142</v>
      </c>
      <c r="T34" s="1154">
        <f>'5 kg %'!$B$24</f>
        <v>0</v>
      </c>
      <c r="U34" s="1154">
        <f>'5 kg %'!$B$33</f>
        <v>0</v>
      </c>
      <c r="V34" s="372" t="s">
        <v>353</v>
      </c>
      <c r="W34" s="371">
        <f>'5 kg %'!$J$19</f>
        <v>0</v>
      </c>
      <c r="Y34" s="372" t="s">
        <v>443</v>
      </c>
      <c r="Z34" s="1154">
        <f>'20 kg % (C)'!$B$24</f>
        <v>0</v>
      </c>
      <c r="AA34" s="1154">
        <f>'20 kg % (C)'!$B$33</f>
        <v>0</v>
      </c>
      <c r="AB34" s="372" t="s">
        <v>353</v>
      </c>
      <c r="AC34" s="371">
        <f>'20 kg % (C)'!$J$19</f>
        <v>0</v>
      </c>
    </row>
    <row r="35" spans="1:29" s="305" customFormat="1" ht="30" customHeight="1" thickBot="1" x14ac:dyDescent="0.3">
      <c r="A35" s="365" t="s">
        <v>333</v>
      </c>
      <c r="B35" s="366" t="s">
        <v>342</v>
      </c>
      <c r="C35" s="366" t="s">
        <v>163</v>
      </c>
      <c r="D35" s="366" t="s">
        <v>318</v>
      </c>
      <c r="E35" s="377" t="s">
        <v>164</v>
      </c>
      <c r="G35" s="365" t="s">
        <v>333</v>
      </c>
      <c r="H35" s="366" t="s">
        <v>342</v>
      </c>
      <c r="I35" s="366" t="s">
        <v>163</v>
      </c>
      <c r="J35" s="366" t="s">
        <v>318</v>
      </c>
      <c r="K35" s="377" t="s">
        <v>164</v>
      </c>
      <c r="M35" s="374" t="s">
        <v>333</v>
      </c>
      <c r="N35" s="366" t="s">
        <v>342</v>
      </c>
      <c r="O35" s="378" t="s">
        <v>163</v>
      </c>
      <c r="P35" s="378" t="s">
        <v>318</v>
      </c>
      <c r="Q35" s="375" t="s">
        <v>164</v>
      </c>
      <c r="S35" s="374" t="s">
        <v>333</v>
      </c>
      <c r="T35" s="366" t="s">
        <v>342</v>
      </c>
      <c r="U35" s="378" t="s">
        <v>163</v>
      </c>
      <c r="V35" s="378" t="s">
        <v>318</v>
      </c>
      <c r="W35" s="375" t="s">
        <v>164</v>
      </c>
      <c r="Y35" s="374" t="s">
        <v>333</v>
      </c>
      <c r="Z35" s="366" t="s">
        <v>342</v>
      </c>
      <c r="AA35" s="378" t="s">
        <v>163</v>
      </c>
      <c r="AB35" s="378" t="s">
        <v>318</v>
      </c>
      <c r="AC35" s="375" t="s">
        <v>164</v>
      </c>
    </row>
    <row r="36" spans="1:29" s="305" customFormat="1" ht="39.950000000000003" customHeight="1" x14ac:dyDescent="0.25">
      <c r="A36" s="1387" t="e">
        <f>'5 g %'!$E$4</f>
        <v>#N/A</v>
      </c>
      <c r="B36" s="330" t="s">
        <v>334</v>
      </c>
      <c r="C36" s="435"/>
      <c r="D36" s="436"/>
      <c r="E36" s="437"/>
      <c r="G36" s="1387" t="e">
        <f>'50 g %'!$E$4</f>
        <v>#N/A</v>
      </c>
      <c r="H36" s="330" t="s">
        <v>334</v>
      </c>
      <c r="I36" s="435"/>
      <c r="J36" s="436"/>
      <c r="K36" s="437"/>
      <c r="M36" s="1387" t="e">
        <f>'500 g %'!$E$4</f>
        <v>#N/A</v>
      </c>
      <c r="N36" s="330" t="s">
        <v>334</v>
      </c>
      <c r="O36" s="435"/>
      <c r="P36" s="436"/>
      <c r="Q36" s="437"/>
      <c r="S36" s="1387" t="e">
        <f>'5 kg %'!$E$4</f>
        <v>#N/A</v>
      </c>
      <c r="T36" s="330" t="s">
        <v>334</v>
      </c>
      <c r="U36" s="435"/>
      <c r="V36" s="436"/>
      <c r="W36" s="437"/>
      <c r="Y36" s="1387" t="e">
        <f>'20 kg % (C)'!$E$4</f>
        <v>#N/A</v>
      </c>
      <c r="Z36" s="330" t="s">
        <v>334</v>
      </c>
      <c r="AA36" s="435"/>
      <c r="AB36" s="436"/>
      <c r="AC36" s="437"/>
    </row>
    <row r="37" spans="1:29" s="305" customFormat="1" ht="39.950000000000003" customHeight="1" thickBot="1" x14ac:dyDescent="0.3">
      <c r="A37" s="1385"/>
      <c r="B37" s="332" t="s">
        <v>335</v>
      </c>
      <c r="C37" s="432"/>
      <c r="D37" s="433"/>
      <c r="E37" s="434"/>
      <c r="G37" s="1385"/>
      <c r="H37" s="332" t="s">
        <v>335</v>
      </c>
      <c r="I37" s="432"/>
      <c r="J37" s="433"/>
      <c r="K37" s="434"/>
      <c r="M37" s="1385"/>
      <c r="N37" s="332" t="s">
        <v>335</v>
      </c>
      <c r="O37" s="432"/>
      <c r="P37" s="433"/>
      <c r="Q37" s="434"/>
      <c r="S37" s="1385"/>
      <c r="T37" s="332" t="s">
        <v>335</v>
      </c>
      <c r="U37" s="432"/>
      <c r="V37" s="433"/>
      <c r="W37" s="434"/>
      <c r="Y37" s="1385"/>
      <c r="Z37" s="332" t="s">
        <v>335</v>
      </c>
      <c r="AA37" s="432"/>
      <c r="AB37" s="433"/>
      <c r="AC37" s="434"/>
    </row>
    <row r="38" spans="1:29" s="305" customFormat="1" ht="39.950000000000003" customHeight="1" x14ac:dyDescent="0.25">
      <c r="A38" s="1385"/>
      <c r="B38" s="346" t="s">
        <v>340</v>
      </c>
      <c r="C38" s="338" t="e">
        <f>C36+(VLOOKUP('5 g %'!$J$19,'DATOS %'!$J$174:$W$180,9,FALSE))*C36+(VLOOKUP('5 g %'!$J$19,'DATOS %'!$J$174:$W$180,10,FALSE))</f>
        <v>#N/A</v>
      </c>
      <c r="D38" s="335" t="e">
        <f>D36+(VLOOKUP('5 g %'!$J$19,'DATOS %'!$J$174:$W$180,11,FALSE))*D36+(VLOOKUP('5 g %'!$J$19,'DATOS %'!$J$174:$W$180,12,FALSE))</f>
        <v>#N/A</v>
      </c>
      <c r="E38" s="336" t="e">
        <f>E36+(VLOOKUP('5 g %'!$J$19,'DATOS %'!$J$174:$W$180,13,FALSE))*E36+(VLOOKUP('5 g %'!$J$19,'DATOS %'!$J$174:$W$180,14,FALSE))</f>
        <v>#N/A</v>
      </c>
      <c r="G38" s="1385"/>
      <c r="H38" s="346" t="s">
        <v>340</v>
      </c>
      <c r="I38" s="338" t="e">
        <f>I36+(VLOOKUP('50 g %'!$J$19,'DATOS %'!$J$174:$W$180,9,FALSE))*I36+(VLOOKUP('50 g %'!$J$19,'DATOS %'!$J$174:$W$180,10,FALSE))</f>
        <v>#N/A</v>
      </c>
      <c r="J38" s="335" t="e">
        <f>J36+(VLOOKUP('50 g %'!$J$19,'DATOS %'!$J$174:$W$180,11,FALSE))*J36+(VLOOKUP('50 g %'!$J$19,'DATOS %'!$J$174:$W$180,12,FALSE))</f>
        <v>#N/A</v>
      </c>
      <c r="K38" s="336" t="e">
        <f>K36+(VLOOKUP('50 g %'!$J$19,'DATOS %'!$J$174:$W$180,13,FALSE))*K36+(VLOOKUP('50 g %'!$J$19,'DATOS %'!$J$174:$W$180,14,FALSE))</f>
        <v>#N/A</v>
      </c>
      <c r="M38" s="1385"/>
      <c r="N38" s="346" t="s">
        <v>340</v>
      </c>
      <c r="O38" s="338" t="e">
        <f>O36+(VLOOKUP('500 g %'!$J$19,'DATOS %'!$J$174:$W$180,9,FALSE))*O36+(VLOOKUP('500 g %'!$J$19,'DATOS %'!$J$174:$W$180,10,FALSE))</f>
        <v>#N/A</v>
      </c>
      <c r="P38" s="335" t="e">
        <f>P36+(VLOOKUP('500 g %'!$J$19,'DATOS %'!$J$174:$W$180,11,FALSE))*P36+(VLOOKUP('500 g %'!$J$19,'DATOS %'!$J$174:$W$180,12,FALSE))</f>
        <v>#N/A</v>
      </c>
      <c r="Q38" s="336" t="e">
        <f>Q36+(VLOOKUP('500 g %'!$J$19,'DATOS %'!$J$174:$W$180,13,FALSE))*Q36+(VLOOKUP('500 g %'!$J$19,'DATOS %'!$J$174:$W$180,14,FALSE))</f>
        <v>#N/A</v>
      </c>
      <c r="S38" s="1385"/>
      <c r="T38" s="346" t="s">
        <v>340</v>
      </c>
      <c r="U38" s="338" t="e">
        <f>U36+(VLOOKUP('5 kg %'!$J$19,'DATOS %'!$J$174:$W$180,9,FALSE))*U36+(VLOOKUP('5 kg %'!$J$19,'DATOS %'!$J$174:$W$180,10,FALSE))</f>
        <v>#N/A</v>
      </c>
      <c r="V38" s="335" t="e">
        <f>V36+(VLOOKUP('5 kg %'!$J$19,'DATOS %'!$J$174:$W$180,11,FALSE))*V36+(VLOOKUP('5 kg %'!$J$19,'DATOS %'!$J$174:$W$180,12,FALSE))</f>
        <v>#N/A</v>
      </c>
      <c r="W38" s="336" t="e">
        <f>W36+(VLOOKUP('5 kg %'!$J$19,'DATOS %'!$J$174:$W$180,13,FALSE))*W36+(VLOOKUP('5 kg %'!$J$19,'DATOS %'!$J$174:$W$180,14,FALSE))</f>
        <v>#N/A</v>
      </c>
      <c r="Y38" s="1385"/>
      <c r="Z38" s="346" t="s">
        <v>340</v>
      </c>
      <c r="AA38" s="338" t="e">
        <f>AA36+(VLOOKUP('20 kg % (C)'!$J$19,'DATOS %'!$J$174:$W$180,9,FALSE))*AA36+(VLOOKUP('20 kg % (C)'!$J$19,'DATOS %'!$J$174:$W$180,10,FALSE))</f>
        <v>#N/A</v>
      </c>
      <c r="AB38" s="335" t="e">
        <f>AB36+(VLOOKUP('20 kg % (C)'!$J$19,'DATOS %'!$J$174:$W$180,11,FALSE))*AB36+(VLOOKUP('20 kg % (C)'!$J$19,'DATOS %'!$J$174:$W$180,12,FALSE))</f>
        <v>#N/A</v>
      </c>
      <c r="AC38" s="336" t="e">
        <f>AC36+(VLOOKUP('20 kg % (C)'!$J$19,'DATOS %'!$J$174:$W$180,13,FALSE))*AC36+(VLOOKUP('20 kg % (C)'!$J$19,'DATOS %'!$J$174:$W$180,14,FALSE))</f>
        <v>#N/A</v>
      </c>
    </row>
    <row r="39" spans="1:29" s="305" customFormat="1" ht="39.950000000000003" customHeight="1" thickBot="1" x14ac:dyDescent="0.3">
      <c r="A39" s="1386"/>
      <c r="B39" s="347" t="s">
        <v>341</v>
      </c>
      <c r="C39" s="334" t="e">
        <f>C37+(VLOOKUP('5 g %'!$J$19,'DATOS %'!$J$174:$W$180,9,FALSE))*C37+(VLOOKUP('5 g %'!$J$19,'DATOS %'!$J$174:$W$180,10,FALSE))</f>
        <v>#N/A</v>
      </c>
      <c r="D39" s="327" t="e">
        <f>D37+(VLOOKUP('5 g %'!$J$19,'DATOS %'!$J$174:$W$180,11,FALSE))*D37+(VLOOKUP('5 g %'!$J$19,'DATOS %'!$J$174:$W$180,12,FALSE))</f>
        <v>#N/A</v>
      </c>
      <c r="E39" s="328" t="e">
        <f>E37+(VLOOKUP('5 g %'!$J$19,'DATOS %'!$J$174:$W$180,13,FALSE))*E37+(VLOOKUP('5 g %'!$J$19,'DATOS %'!$J$174:$W$180,14,FALSE))</f>
        <v>#N/A</v>
      </c>
      <c r="G39" s="1386"/>
      <c r="H39" s="347" t="s">
        <v>341</v>
      </c>
      <c r="I39" s="334" t="e">
        <f>I37+(VLOOKUP('50 g %'!$J$19,'DATOS %'!$J$174:$W$180,9,FALSE))*I37+(VLOOKUP('50 g %'!$J$19,'DATOS %'!$J$174:$W$180,10,FALSE))</f>
        <v>#N/A</v>
      </c>
      <c r="J39" s="327" t="e">
        <f>J37+(VLOOKUP('50 g %'!$J$19,'DATOS %'!$J$174:$W$180,11,FALSE))*J37+(VLOOKUP('50 g %'!$J$19,'DATOS %'!$J$174:$W$180,12,FALSE))</f>
        <v>#N/A</v>
      </c>
      <c r="K39" s="328" t="e">
        <f>K37+(VLOOKUP('50 g %'!$J$19,'DATOS %'!$J$174:$W$180,13,FALSE))*K37+(VLOOKUP('50 g %'!$J$19,'DATOS %'!$J$174:$W$180,14,FALSE))</f>
        <v>#N/A</v>
      </c>
      <c r="M39" s="1386"/>
      <c r="N39" s="347" t="s">
        <v>341</v>
      </c>
      <c r="O39" s="334" t="e">
        <f>O37+(VLOOKUP('500 g %'!$J$19,'DATOS %'!$J$174:$W$180,9,FALSE))*O37+(VLOOKUP('500 g %'!$J$19,'DATOS %'!$J$174:$W$180,10,FALSE))</f>
        <v>#N/A</v>
      </c>
      <c r="P39" s="327" t="e">
        <f>P37+(VLOOKUP('500 g %'!$J$19,'DATOS %'!$J$174:$W$180,11,FALSE))*P37+(VLOOKUP('500 g %'!$J$19,'DATOS %'!$J$174:$W$180,12,FALSE))</f>
        <v>#N/A</v>
      </c>
      <c r="Q39" s="328" t="e">
        <f>Q37+(VLOOKUP('500 g %'!$J$19,'DATOS %'!$J$174:$W$180,13,FALSE))*Q37+(VLOOKUP('500 g %'!$J$19,'DATOS %'!$J$174:$W$180,14,FALSE))</f>
        <v>#N/A</v>
      </c>
      <c r="S39" s="1386"/>
      <c r="T39" s="347" t="s">
        <v>341</v>
      </c>
      <c r="U39" s="334" t="e">
        <f>U37+(VLOOKUP('5 kg %'!$J$19,'DATOS %'!$J$174:$W$180,9,FALSE))*U37+(VLOOKUP('5 kg %'!$J$19,'DATOS %'!$J$174:$W$180,10,FALSE))</f>
        <v>#N/A</v>
      </c>
      <c r="V39" s="327" t="e">
        <f>V37+(VLOOKUP('5 kg %'!$J$19,'DATOS %'!$J$174:$W$180,11,FALSE))*V37+(VLOOKUP('5 kg %'!$J$19,'DATOS %'!$J$174:$W$180,12,FALSE))</f>
        <v>#N/A</v>
      </c>
      <c r="W39" s="328" t="e">
        <f>W37+(VLOOKUP('5 kg %'!$J$19,'DATOS %'!$J$174:$W$180,13,FALSE))*W37+(VLOOKUP('5 kg %'!$J$19,'DATOS %'!$J$174:$W$180,14,FALSE))</f>
        <v>#N/A</v>
      </c>
      <c r="Y39" s="1386"/>
      <c r="Z39" s="347" t="s">
        <v>341</v>
      </c>
      <c r="AA39" s="334" t="e">
        <f>AA37+(VLOOKUP('20 kg % (C)'!$J$19,'DATOS %'!$J$174:$W$180,9,FALSE))*AA37+(VLOOKUP('20 kg % (C)'!$J$19,'DATOS %'!$J$174:$W$180,10,FALSE))</f>
        <v>#N/A</v>
      </c>
      <c r="AB39" s="327" t="e">
        <f>AB37+(VLOOKUP('20 kg % (C)'!$J$19,'DATOS %'!$J$174:$W$180,11,FALSE))*AB37+(VLOOKUP('20 kg % (C)'!$J$19,'DATOS %'!$J$174:$W$180,12,FALSE))</f>
        <v>#N/A</v>
      </c>
      <c r="AC39" s="328" t="e">
        <f>AC37+(VLOOKUP('20 kg % (C)'!$J$19,'DATOS %'!$J$174:$W$180,13,FALSE))*AC37+(VLOOKUP('20 kg % (C)'!$J$19,'DATOS %'!$J$174:$W$180,14,FALSE))</f>
        <v>#N/A</v>
      </c>
    </row>
    <row r="40" spans="1:29" s="305" customFormat="1" ht="300" customHeight="1" x14ac:dyDescent="0.25"/>
    <row r="41" spans="1:29" s="305" customFormat="1" x14ac:dyDescent="0.25"/>
    <row r="42" spans="1:29" s="305" customFormat="1" x14ac:dyDescent="0.25"/>
    <row r="43" spans="1:29" s="305" customFormat="1" x14ac:dyDescent="0.25"/>
    <row r="44" spans="1:29" s="305" customFormat="1" x14ac:dyDescent="0.25"/>
    <row r="45" spans="1:29" s="305" customFormat="1" x14ac:dyDescent="0.25"/>
  </sheetData>
  <sheetProtection password="CF5C" sheet="1" objects="1" scenarios="1"/>
  <mergeCells count="23">
    <mergeCell ref="Y18:Y21"/>
    <mergeCell ref="G18:G21"/>
    <mergeCell ref="M18:M21"/>
    <mergeCell ref="S18:S21"/>
    <mergeCell ref="S36:S39"/>
    <mergeCell ref="M36:M39"/>
    <mergeCell ref="G36:G39"/>
    <mergeCell ref="A1:D1"/>
    <mergeCell ref="E1:AD1"/>
    <mergeCell ref="A3:AC4"/>
    <mergeCell ref="Y9:Y12"/>
    <mergeCell ref="A36:A39"/>
    <mergeCell ref="G9:G12"/>
    <mergeCell ref="M9:M12"/>
    <mergeCell ref="S9:S12"/>
    <mergeCell ref="G27:G30"/>
    <mergeCell ref="M27:M30"/>
    <mergeCell ref="A27:A30"/>
    <mergeCell ref="S27:S30"/>
    <mergeCell ref="A18:A21"/>
    <mergeCell ref="A9:A12"/>
    <mergeCell ref="Y27:Y30"/>
    <mergeCell ref="Y36:Y39"/>
  </mergeCells>
  <printOptions horizontalCentered="1"/>
  <pageMargins left="0.70866141732283472" right="0.70866141732283472" top="0.74803149606299213" bottom="0.74803149606299213" header="0.31496062992125984" footer="0.31496062992125984"/>
  <pageSetup scale="13" orientation="portrait" r:id="rId1"/>
  <headerFooter>
    <oddHeader xml:space="preserve">&amp;C
&amp;16   
</oddHeader>
    <oddFooter xml:space="preserve">&amp;RRT03-F13 Vr.14 (2021-05-21)
</oddFoot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XEZ114"/>
  <sheetViews>
    <sheetView showGridLines="0" view="pageBreakPreview" zoomScale="80" zoomScaleNormal="100" zoomScaleSheetLayoutView="80" workbookViewId="0">
      <selection activeCell="D14" sqref="D14:J14"/>
    </sheetView>
  </sheetViews>
  <sheetFormatPr baseColWidth="10" defaultColWidth="11.42578125" defaultRowHeight="15" x14ac:dyDescent="0.2"/>
  <cols>
    <col min="1" max="1" width="5" style="1173" customWidth="1"/>
    <col min="2" max="2" width="15.42578125" style="1173" customWidth="1"/>
    <col min="3" max="3" width="12.28515625" style="1173" customWidth="1"/>
    <col min="4" max="4" width="10.140625" style="1173" customWidth="1"/>
    <col min="5" max="5" width="16" style="1173" customWidth="1"/>
    <col min="6" max="6" width="11.85546875" style="1173" customWidth="1"/>
    <col min="7" max="13" width="9.7109375" style="1173" customWidth="1"/>
    <col min="14" max="16384" width="11.42578125" style="1173"/>
  </cols>
  <sheetData>
    <row r="1" spans="1:13" ht="125.1" customHeight="1" x14ac:dyDescent="0.2">
      <c r="A1" s="1458"/>
      <c r="B1" s="1458"/>
      <c r="C1" s="1458"/>
      <c r="D1" s="1458"/>
      <c r="E1" s="1458"/>
      <c r="F1" s="1458"/>
      <c r="G1" s="1458"/>
      <c r="H1" s="1458"/>
      <c r="I1" s="1458"/>
      <c r="J1" s="1458"/>
      <c r="K1" s="1458"/>
      <c r="L1" s="1458"/>
      <c r="M1" s="1458"/>
    </row>
    <row r="2" spans="1:13" ht="35.1" customHeight="1" x14ac:dyDescent="0.2">
      <c r="A2" s="1174"/>
      <c r="B2" s="1174"/>
      <c r="C2" s="1174"/>
      <c r="D2" s="1174"/>
      <c r="E2" s="1174"/>
      <c r="F2" s="1174"/>
    </row>
    <row r="3" spans="1:13" ht="35.1" customHeight="1" x14ac:dyDescent="0.2">
      <c r="A3" s="1174"/>
      <c r="B3" s="1174"/>
      <c r="C3" s="1174"/>
      <c r="D3" s="1174"/>
      <c r="E3" s="1174"/>
      <c r="F3" s="1174"/>
      <c r="J3" s="1446" t="s">
        <v>24</v>
      </c>
      <c r="K3" s="1446"/>
      <c r="L3" s="1447">
        <f>'DATOS %'!J8</f>
        <v>0</v>
      </c>
      <c r="M3" s="1447"/>
    </row>
    <row r="4" spans="1:13" ht="24.95" customHeight="1" x14ac:dyDescent="0.25">
      <c r="A4" s="1463" t="s">
        <v>6</v>
      </c>
      <c r="B4" s="1463"/>
      <c r="C4" s="1463"/>
      <c r="D4" s="1175"/>
      <c r="E4" s="1175"/>
      <c r="G4" s="1464"/>
      <c r="H4" s="1464"/>
    </row>
    <row r="5" spans="1:13" ht="20.100000000000001" customHeight="1" x14ac:dyDescent="0.2">
      <c r="A5" s="1176"/>
      <c r="B5" s="1175"/>
      <c r="C5" s="1175"/>
      <c r="D5" s="1175"/>
      <c r="E5" s="1175"/>
      <c r="F5" s="1175"/>
    </row>
    <row r="6" spans="1:13" ht="24.95" customHeight="1" x14ac:dyDescent="0.2">
      <c r="A6" s="1455" t="s">
        <v>286</v>
      </c>
      <c r="B6" s="1455"/>
      <c r="D6" s="1460">
        <f>('DATOS %'!E8)</f>
        <v>0</v>
      </c>
      <c r="E6" s="1460"/>
      <c r="F6" s="1460"/>
      <c r="G6" s="1460"/>
      <c r="H6" s="1460"/>
      <c r="I6" s="1460"/>
      <c r="J6" s="1460"/>
    </row>
    <row r="7" spans="1:13" ht="24.95" customHeight="1" x14ac:dyDescent="0.2">
      <c r="A7" s="1455" t="s">
        <v>287</v>
      </c>
      <c r="B7" s="1455"/>
      <c r="C7" s="1177"/>
      <c r="D7" s="1460">
        <f>'DATOS %'!F8</f>
        <v>0</v>
      </c>
      <c r="E7" s="1460"/>
      <c r="F7" s="1460"/>
      <c r="G7" s="1460"/>
      <c r="H7" s="1460"/>
      <c r="I7" s="1460"/>
      <c r="J7" s="1460"/>
    </row>
    <row r="8" spans="1:13" ht="24.95" customHeight="1" x14ac:dyDescent="0.2">
      <c r="A8" s="1455" t="s">
        <v>288</v>
      </c>
      <c r="B8" s="1455"/>
      <c r="D8" s="1460" t="str">
        <f>PROPER('DATOS %'!C8)</f>
        <v/>
      </c>
      <c r="E8" s="1460"/>
      <c r="F8" s="1460"/>
      <c r="G8" s="1460"/>
    </row>
    <row r="9" spans="1:13" ht="24.95" customHeight="1" x14ac:dyDescent="0.2">
      <c r="A9" s="1178"/>
      <c r="B9" s="1178"/>
      <c r="D9" s="1178"/>
      <c r="E9" s="1178"/>
      <c r="F9" s="1175"/>
    </row>
    <row r="10" spans="1:13" ht="24.95" customHeight="1" x14ac:dyDescent="0.2">
      <c r="A10" s="1455" t="s">
        <v>289</v>
      </c>
      <c r="B10" s="1455"/>
      <c r="C10" s="1455"/>
      <c r="D10" s="1462">
        <f>'DATOS %'!D8</f>
        <v>0</v>
      </c>
      <c r="E10" s="1462"/>
      <c r="F10" s="1466" t="s">
        <v>290</v>
      </c>
      <c r="G10" s="1466"/>
      <c r="H10" s="1466"/>
      <c r="I10" s="1462" t="e">
        <f>'10 kg %'!E4</f>
        <v>#N/A</v>
      </c>
      <c r="J10" s="1462"/>
    </row>
    <row r="11" spans="1:13" ht="24.95" customHeight="1" x14ac:dyDescent="0.2">
      <c r="A11" s="1175"/>
      <c r="B11" s="1175"/>
      <c r="C11" s="1175"/>
      <c r="D11" s="1175"/>
      <c r="E11" s="1175"/>
      <c r="F11" s="1175"/>
    </row>
    <row r="12" spans="1:13" ht="24.95" customHeight="1" x14ac:dyDescent="0.2">
      <c r="A12" s="1467" t="s">
        <v>245</v>
      </c>
      <c r="B12" s="1467"/>
      <c r="C12" s="1467"/>
      <c r="D12" s="1467"/>
      <c r="E12" s="1467"/>
      <c r="F12" s="1467"/>
      <c r="G12" s="1467"/>
      <c r="H12" s="1467"/>
      <c r="I12" s="1467"/>
      <c r="J12" s="1467"/>
    </row>
    <row r="13" spans="1:13" ht="20.100000000000001" customHeight="1" x14ac:dyDescent="0.2">
      <c r="A13" s="1139"/>
      <c r="B13" s="1139"/>
      <c r="C13" s="1139"/>
      <c r="D13" s="1139"/>
      <c r="E13" s="1139"/>
      <c r="F13" s="1175"/>
    </row>
    <row r="14" spans="1:13" ht="24.95" customHeight="1" x14ac:dyDescent="0.2">
      <c r="A14" s="1455" t="s">
        <v>291</v>
      </c>
      <c r="B14" s="1455"/>
      <c r="C14" s="1455"/>
      <c r="D14" s="1454" t="s">
        <v>332</v>
      </c>
      <c r="E14" s="1454"/>
      <c r="F14" s="1454"/>
      <c r="G14" s="1454"/>
      <c r="H14" s="1454"/>
      <c r="I14" s="1454"/>
      <c r="J14" s="1454"/>
    </row>
    <row r="15" spans="1:13" ht="24.95" customHeight="1" x14ac:dyDescent="0.2">
      <c r="A15" s="1455" t="s">
        <v>292</v>
      </c>
      <c r="B15" s="1455"/>
      <c r="C15" s="1455"/>
      <c r="D15" s="1456" t="str">
        <f>PROPER('DATOS %'!D48)</f>
        <v/>
      </c>
      <c r="E15" s="1457"/>
      <c r="F15" s="1457"/>
      <c r="G15" s="1457"/>
      <c r="H15" s="1176"/>
      <c r="I15" s="1176"/>
      <c r="J15" s="1176"/>
    </row>
    <row r="16" spans="1:13" ht="24.95" customHeight="1" x14ac:dyDescent="0.2">
      <c r="A16" s="1455" t="s">
        <v>293</v>
      </c>
      <c r="B16" s="1455"/>
      <c r="C16" s="1455"/>
      <c r="D16" s="1465">
        <f>'DATOS %'!E48</f>
        <v>0</v>
      </c>
      <c r="E16" s="1465"/>
      <c r="F16" s="1465"/>
      <c r="G16" s="1465"/>
      <c r="H16" s="1176"/>
      <c r="I16" s="1176"/>
      <c r="J16" s="1176"/>
    </row>
    <row r="17" spans="1:13" ht="24.95" customHeight="1" x14ac:dyDescent="0.2">
      <c r="A17" s="1455" t="s">
        <v>11</v>
      </c>
      <c r="B17" s="1455"/>
      <c r="C17" s="1455"/>
      <c r="D17" s="1461">
        <f>'DATOS %'!C48</f>
        <v>0</v>
      </c>
      <c r="E17" s="1461"/>
      <c r="F17" s="1462"/>
      <c r="G17" s="1462"/>
    </row>
    <row r="18" spans="1:13" ht="24.95" customHeight="1" x14ac:dyDescent="0.2">
      <c r="A18" s="1178"/>
      <c r="B18" s="1178"/>
      <c r="C18" s="1178"/>
      <c r="D18" s="1179"/>
      <c r="E18" s="1176"/>
      <c r="F18" s="1176"/>
      <c r="G18" s="1176"/>
    </row>
    <row r="19" spans="1:13" ht="24.95" customHeight="1" x14ac:dyDescent="0.2">
      <c r="A19" s="1455" t="s">
        <v>12</v>
      </c>
      <c r="B19" s="1455"/>
      <c r="C19" s="1455"/>
      <c r="D19" s="1455"/>
      <c r="E19" s="1455"/>
      <c r="F19" s="1455">
        <f>'DATOS %'!C80</f>
        <v>0</v>
      </c>
      <c r="G19" s="1455"/>
      <c r="H19" s="1455"/>
      <c r="I19" s="1455"/>
      <c r="J19" s="1455"/>
    </row>
    <row r="20" spans="1:13" ht="24.95" customHeight="1" x14ac:dyDescent="0.2">
      <c r="A20" s="1178"/>
      <c r="B20" s="1178"/>
      <c r="C20" s="1178"/>
      <c r="D20" s="1178"/>
      <c r="E20" s="1178"/>
      <c r="F20" s="1178"/>
      <c r="G20" s="1175"/>
    </row>
    <row r="21" spans="1:13" ht="24.95" customHeight="1" x14ac:dyDescent="0.2">
      <c r="A21" s="1463" t="s">
        <v>205</v>
      </c>
      <c r="B21" s="1463"/>
      <c r="C21" s="1463"/>
      <c r="D21" s="1463"/>
      <c r="E21" s="1463"/>
      <c r="F21" s="1463"/>
    </row>
    <row r="22" spans="1:13" ht="24.95" customHeight="1" x14ac:dyDescent="0.2">
      <c r="A22" s="1459" t="str">
        <f>'DATOS %'!G8</f>
        <v>Laboratorio de calibración de masa y volumen, avenida carrera  50 # 26-55 Int 2,  piso 5.</v>
      </c>
      <c r="B22" s="1459"/>
      <c r="C22" s="1459"/>
      <c r="D22" s="1459"/>
      <c r="E22" s="1459"/>
      <c r="F22" s="1459"/>
      <c r="G22" s="1459"/>
      <c r="H22" s="1459"/>
      <c r="I22" s="1459"/>
      <c r="J22" s="1459"/>
      <c r="K22" s="1459"/>
      <c r="L22" s="1459"/>
      <c r="M22" s="1459"/>
    </row>
    <row r="23" spans="1:13" ht="24.95" customHeight="1" x14ac:dyDescent="0.2">
      <c r="B23" s="1463"/>
      <c r="C23" s="1463"/>
      <c r="D23" s="1463"/>
      <c r="E23" s="1463"/>
      <c r="F23" s="1139"/>
      <c r="G23" s="1176"/>
    </row>
    <row r="24" spans="1:13" ht="24.95" customHeight="1" x14ac:dyDescent="0.2">
      <c r="A24" s="1463" t="s">
        <v>206</v>
      </c>
      <c r="B24" s="1463"/>
      <c r="C24" s="1463"/>
      <c r="D24" s="1463"/>
      <c r="E24" s="1445">
        <f>'DATOS %'!I8</f>
        <v>0</v>
      </c>
      <c r="F24" s="1445"/>
      <c r="G24" s="1180"/>
      <c r="H24" s="1180"/>
    </row>
    <row r="25" spans="1:13" ht="24.95" customHeight="1" x14ac:dyDescent="0.25">
      <c r="A25" s="1176"/>
      <c r="B25" s="1176"/>
      <c r="C25" s="1176"/>
      <c r="D25" s="1176"/>
      <c r="E25" s="1176"/>
      <c r="F25" s="1176"/>
      <c r="G25" s="1140"/>
      <c r="H25" s="1140"/>
      <c r="I25" s="1175"/>
      <c r="J25" s="1175"/>
    </row>
    <row r="26" spans="1:13" ht="24.95" customHeight="1" x14ac:dyDescent="0.2">
      <c r="A26" s="1413" t="s">
        <v>248</v>
      </c>
      <c r="B26" s="1413"/>
      <c r="C26" s="1413"/>
      <c r="D26" s="1413"/>
      <c r="E26" s="1413"/>
      <c r="F26" s="1413"/>
      <c r="G26" s="1413"/>
      <c r="H26" s="1413"/>
      <c r="I26" s="1413"/>
      <c r="J26" s="1413"/>
    </row>
    <row r="27" spans="1:13" ht="20.100000000000001" customHeight="1" x14ac:dyDescent="0.2">
      <c r="A27" s="1134"/>
      <c r="B27" s="1134"/>
      <c r="C27" s="1134"/>
      <c r="D27" s="1134"/>
      <c r="G27" s="1175"/>
    </row>
    <row r="28" spans="1:13" ht="33" customHeight="1" x14ac:dyDescent="0.2">
      <c r="A28" s="1452" t="s">
        <v>455</v>
      </c>
      <c r="B28" s="1452"/>
      <c r="C28" s="1452"/>
      <c r="D28" s="1452"/>
      <c r="E28" s="1452"/>
      <c r="F28" s="1452"/>
      <c r="G28" s="1452"/>
      <c r="H28" s="1452"/>
      <c r="I28" s="1452"/>
      <c r="J28" s="1452"/>
      <c r="K28" s="1452"/>
      <c r="L28" s="1452"/>
      <c r="M28" s="1452"/>
    </row>
    <row r="29" spans="1:13" ht="20.100000000000001" customHeight="1" x14ac:dyDescent="0.25">
      <c r="G29" s="1140"/>
      <c r="H29" s="1140"/>
      <c r="I29" s="1181"/>
      <c r="J29" s="1181"/>
    </row>
    <row r="30" spans="1:13" ht="125.1" customHeight="1" x14ac:dyDescent="0.25">
      <c r="G30" s="1140"/>
      <c r="H30" s="1140"/>
      <c r="I30" s="1181"/>
      <c r="J30" s="1181"/>
    </row>
    <row r="31" spans="1:13" ht="35.1" customHeight="1" x14ac:dyDescent="0.25">
      <c r="G31" s="1140"/>
      <c r="H31" s="1140"/>
      <c r="I31" s="1181"/>
      <c r="J31" s="1181"/>
    </row>
    <row r="32" spans="1:13" ht="35.1" customHeight="1" x14ac:dyDescent="0.2">
      <c r="J32" s="1446" t="s">
        <v>24</v>
      </c>
      <c r="K32" s="1446"/>
      <c r="L32" s="1447">
        <f>L3</f>
        <v>0</v>
      </c>
      <c r="M32" s="1447"/>
    </row>
    <row r="33" spans="1:13" ht="23.1" customHeight="1" x14ac:dyDescent="0.2">
      <c r="A33" s="1413" t="s">
        <v>268</v>
      </c>
      <c r="B33" s="1413"/>
      <c r="C33" s="1413"/>
      <c r="D33" s="1413"/>
      <c r="E33" s="1413"/>
      <c r="F33" s="1413"/>
      <c r="G33" s="1413"/>
      <c r="H33" s="1413"/>
      <c r="I33" s="1413"/>
      <c r="J33" s="1413"/>
    </row>
    <row r="34" spans="1:13" ht="15" customHeight="1" thickBot="1" x14ac:dyDescent="0.25">
      <c r="A34" s="1182"/>
      <c r="B34" s="1182"/>
      <c r="C34" s="1182"/>
      <c r="D34" s="1182"/>
      <c r="E34" s="1182"/>
      <c r="F34" s="1182"/>
      <c r="G34" s="1182"/>
      <c r="K34" s="388"/>
    </row>
    <row r="35" spans="1:13" ht="32.1" customHeight="1" thickBot="1" x14ac:dyDescent="0.25">
      <c r="B35" s="1419" t="s">
        <v>256</v>
      </c>
      <c r="C35" s="1420"/>
      <c r="D35" s="1419" t="s">
        <v>218</v>
      </c>
      <c r="E35" s="1420"/>
      <c r="F35" s="1419" t="s">
        <v>219</v>
      </c>
      <c r="G35" s="1420"/>
      <c r="H35" s="1423" t="s">
        <v>220</v>
      </c>
      <c r="I35" s="1424"/>
      <c r="J35" s="1424"/>
      <c r="K35" s="1425"/>
    </row>
    <row r="36" spans="1:13" ht="45.95" customHeight="1" thickBot="1" x14ac:dyDescent="0.25">
      <c r="B36" s="1421"/>
      <c r="C36" s="1422"/>
      <c r="D36" s="1421"/>
      <c r="E36" s="1422"/>
      <c r="F36" s="1421"/>
      <c r="G36" s="1422"/>
      <c r="H36" s="1426" t="s">
        <v>221</v>
      </c>
      <c r="I36" s="1427"/>
      <c r="J36" s="1428" t="s">
        <v>325</v>
      </c>
      <c r="K36" s="1429"/>
    </row>
    <row r="37" spans="1:13" ht="45.95" customHeight="1" thickBot="1" x14ac:dyDescent="0.25">
      <c r="B37" s="1430" t="str">
        <f>D14</f>
        <v>Juego de pesas de 1 g a 10 kg</v>
      </c>
      <c r="C37" s="1431"/>
      <c r="D37" s="1695" t="s">
        <v>5</v>
      </c>
      <c r="E37" s="1696"/>
      <c r="F37" s="1434" t="e">
        <f>VLOOKUP($K$34,'DATOS %'!B175:G185,1,FALSE)</f>
        <v>#N/A</v>
      </c>
      <c r="G37" s="1435"/>
      <c r="H37" s="1183" t="e">
        <f>VLOOKUP($K$34,'DATOS %'!B175:G186,3,FALSE)</f>
        <v>#N/A</v>
      </c>
      <c r="I37" s="1184" t="s">
        <v>213</v>
      </c>
      <c r="J37" s="1185" t="e">
        <f>VLOOKUP($K$34,'DATOS %'!B175:G185,5,FALSE)</f>
        <v>#N/A</v>
      </c>
      <c r="K37" s="1186" t="s">
        <v>128</v>
      </c>
    </row>
    <row r="38" spans="1:13" ht="39.950000000000003" hidden="1" customHeight="1" thickBot="1" x14ac:dyDescent="0.25">
      <c r="A38" s="1414"/>
      <c r="B38" s="1415"/>
      <c r="C38" s="1414"/>
      <c r="D38" s="1416"/>
      <c r="E38" s="1417"/>
      <c r="F38" s="1415"/>
      <c r="G38" s="1187"/>
      <c r="H38" s="1188"/>
      <c r="I38" s="1187"/>
      <c r="J38" s="1189"/>
    </row>
    <row r="39" spans="1:13" ht="27" customHeight="1" x14ac:dyDescent="0.2"/>
    <row r="40" spans="1:13" ht="23.1" customHeight="1" x14ac:dyDescent="0.2">
      <c r="A40" s="1413" t="s">
        <v>257</v>
      </c>
      <c r="B40" s="1413"/>
      <c r="C40" s="1413"/>
      <c r="D40" s="1413"/>
      <c r="E40" s="1413"/>
      <c r="F40" s="1413"/>
      <c r="G40" s="1413"/>
      <c r="H40" s="1413"/>
      <c r="I40" s="1413"/>
      <c r="J40" s="1413"/>
    </row>
    <row r="41" spans="1:13" ht="11.25" customHeight="1" x14ac:dyDescent="0.2">
      <c r="B41" s="1190"/>
      <c r="C41" s="1190"/>
      <c r="D41" s="1190"/>
      <c r="E41" s="1190"/>
      <c r="F41" s="1190"/>
      <c r="G41" s="1190"/>
      <c r="H41" s="1190"/>
      <c r="I41" s="1190"/>
      <c r="J41" s="1190"/>
      <c r="K41" s="1190"/>
      <c r="L41" s="1190"/>
      <c r="M41" s="1190"/>
    </row>
    <row r="42" spans="1:13" ht="33" customHeight="1" x14ac:dyDescent="0.2">
      <c r="A42" s="1452" t="s">
        <v>246</v>
      </c>
      <c r="B42" s="1452"/>
      <c r="C42" s="1452"/>
      <c r="D42" s="1452"/>
      <c r="E42" s="1452"/>
      <c r="F42" s="1452"/>
      <c r="G42" s="1452"/>
      <c r="H42" s="1452"/>
      <c r="I42" s="1452"/>
      <c r="J42" s="1452"/>
      <c r="K42" s="1452"/>
      <c r="L42" s="1452"/>
      <c r="M42" s="1452"/>
    </row>
    <row r="43" spans="1:13" ht="20.100000000000001" customHeight="1" thickBot="1" x14ac:dyDescent="0.25">
      <c r="A43" s="1191"/>
      <c r="B43" s="1191"/>
      <c r="C43" s="1191"/>
      <c r="D43" s="1191"/>
      <c r="E43" s="1191"/>
      <c r="F43" s="1191"/>
      <c r="G43" s="1191"/>
      <c r="H43" s="1191"/>
      <c r="I43" s="1191"/>
      <c r="J43" s="1191"/>
    </row>
    <row r="44" spans="1:13" ht="42" customHeight="1" thickBot="1" x14ac:dyDescent="0.25">
      <c r="B44" s="1448" t="s">
        <v>13</v>
      </c>
      <c r="C44" s="1448"/>
      <c r="D44" s="1448"/>
      <c r="E44" s="1138" t="s">
        <v>21</v>
      </c>
      <c r="F44" s="1138" t="s">
        <v>10</v>
      </c>
      <c r="G44" s="390" t="s">
        <v>209</v>
      </c>
      <c r="H44" s="1448" t="s">
        <v>14</v>
      </c>
      <c r="I44" s="1448"/>
      <c r="J44" s="1448" t="s">
        <v>8</v>
      </c>
      <c r="K44" s="1448"/>
    </row>
    <row r="45" spans="1:13" ht="42" customHeight="1" thickBot="1" x14ac:dyDescent="0.25">
      <c r="B45" s="1449" t="s">
        <v>440</v>
      </c>
      <c r="C45" s="1449"/>
      <c r="D45" s="1449"/>
      <c r="E45" s="391" t="e">
        <f>VLOOKUP('1 g %'!$E$6,'DATOS %'!N11:AA62,2,FALSE)</f>
        <v>#N/A</v>
      </c>
      <c r="F45" s="1141" t="e">
        <f>VLOOKUP('1 g %'!$E$6,'DATOS %'!N11:AA62,3,FALSE)</f>
        <v>#N/A</v>
      </c>
      <c r="G45" s="392" t="e">
        <f>VLOOKUP('1 g %'!$E$6,'DATOS %'!N11:AA62,14,FALSE)</f>
        <v>#N/A</v>
      </c>
      <c r="H45" s="1450" t="e">
        <f>VLOOKUP('1 g %'!$E$6,'DATOS %'!N11:AA62,6,FALSE)</f>
        <v>#N/A</v>
      </c>
      <c r="I45" s="1450"/>
      <c r="J45" s="1451" t="e">
        <f>VLOOKUP('1 g %'!$E$6,'DATOS %'!N11:AA62,7,FALSE)</f>
        <v>#N/A</v>
      </c>
      <c r="K45" s="1451"/>
    </row>
    <row r="46" spans="1:13" ht="42" customHeight="1" thickBot="1" x14ac:dyDescent="0.25">
      <c r="B46" s="1692" t="s">
        <v>294</v>
      </c>
      <c r="C46" s="1692"/>
      <c r="D46" s="1692"/>
      <c r="E46" s="391" t="e">
        <f>VLOOKUP('10 kg %'!$E$6,'DATOS %'!N11:AA62,2,FALSE)</f>
        <v>#N/A</v>
      </c>
      <c r="F46" s="1141" t="e">
        <f>VLOOKUP('10 kg %'!$E$6,'DATOS %'!N11:AA62,3,FALSE)</f>
        <v>#N/A</v>
      </c>
      <c r="G46" s="392" t="e">
        <f>VLOOKUP('10 kg %'!$E$6,'DATOS %'!N11:AA62,14,FALSE)</f>
        <v>#N/A</v>
      </c>
      <c r="H46" s="1693" t="e">
        <f>VLOOKUP('10 kg %'!$E$6,'DATOS %'!N11:AA62,6,FALSE)</f>
        <v>#N/A</v>
      </c>
      <c r="I46" s="1694"/>
      <c r="J46" s="1451" t="e">
        <f>VLOOKUP('10 kg %'!$E$6,'DATOS %'!N11:AA62,7,FALSE)</f>
        <v>#N/A</v>
      </c>
      <c r="K46" s="1451"/>
    </row>
    <row r="47" spans="1:13" ht="27" customHeight="1" x14ac:dyDescent="0.2">
      <c r="A47" s="1135"/>
      <c r="B47" s="1135"/>
      <c r="C47" s="1135"/>
      <c r="D47" s="393"/>
      <c r="E47" s="1135"/>
      <c r="F47" s="1135"/>
      <c r="G47" s="1135"/>
      <c r="H47" s="1135"/>
      <c r="I47" s="394"/>
      <c r="J47" s="394"/>
    </row>
    <row r="48" spans="1:13" ht="23.1" customHeight="1" x14ac:dyDescent="0.2">
      <c r="A48" s="1418" t="s">
        <v>249</v>
      </c>
      <c r="B48" s="1418"/>
      <c r="C48" s="1418"/>
      <c r="D48" s="1418"/>
      <c r="E48" s="1418"/>
      <c r="F48" s="1418"/>
      <c r="G48" s="1418"/>
      <c r="H48" s="1418"/>
      <c r="I48" s="1418"/>
      <c r="J48" s="1418"/>
    </row>
    <row r="49" spans="1:1020 1029:2040 2049:3070 3079:4090 4099:5120 5129:6140 6149:7160 7169:8190 8199:9210 9219:10240 10249:11260 11269:12280 12289:13310 13319:14330 14339:15360 15369:16380" ht="11.25" customHeight="1" x14ac:dyDescent="0.2">
      <c r="A49" s="389"/>
      <c r="B49" s="389"/>
    </row>
    <row r="50" spans="1:1020 1029:2040 2049:3070 3079:4090 4099:5120 5129:6140 6149:7160 7169:8190 8199:9210 9219:10240 10249:11260 11269:12280 12289:13310 13319:14330 14339:15360 15369:16380" ht="33" customHeight="1" x14ac:dyDescent="0.2">
      <c r="A50" s="1453" t="s">
        <v>269</v>
      </c>
      <c r="B50" s="1453"/>
      <c r="C50" s="1453"/>
      <c r="D50" s="1453"/>
      <c r="E50" s="1453"/>
      <c r="F50" s="1453"/>
      <c r="G50" s="1453"/>
      <c r="H50" s="1453"/>
      <c r="I50" s="1453"/>
      <c r="J50" s="1453"/>
      <c r="K50" s="1453"/>
      <c r="L50" s="1453"/>
      <c r="M50" s="1453"/>
    </row>
    <row r="51" spans="1:1020 1029:2040 2049:3070 3079:4090 4099:5120 5129:6140 6149:7160 7169:8190 8199:9210 9219:10240 10249:11260 11269:12280 12289:13310 13319:14330 14339:15360 15369:16380" ht="33" customHeight="1" x14ac:dyDescent="0.2">
      <c r="A51" s="1192"/>
      <c r="B51" s="1192"/>
      <c r="C51" s="1192"/>
      <c r="D51" s="1192"/>
      <c r="E51" s="1192"/>
      <c r="F51" s="1192"/>
      <c r="G51" s="1192"/>
      <c r="H51" s="1192"/>
      <c r="I51" s="1192"/>
      <c r="J51" s="1192"/>
    </row>
    <row r="52" spans="1:1020 1029:2040 2049:3070 3079:4090 4099:5120 5129:6140 6149:7160 7169:8190 8199:9210 9219:10240 10249:11260 11269:12280 12289:13310 13319:14330 14339:15360 15369:16380" ht="125.1" customHeight="1" x14ac:dyDescent="0.2">
      <c r="A52" s="1412"/>
      <c r="B52" s="1412"/>
      <c r="C52" s="1412"/>
      <c r="D52" s="1412"/>
      <c r="E52" s="1412"/>
      <c r="F52" s="1412"/>
      <c r="G52" s="1412"/>
      <c r="H52" s="1412"/>
      <c r="I52" s="1412"/>
      <c r="J52" s="1412"/>
      <c r="K52" s="1412"/>
      <c r="L52" s="1412"/>
      <c r="M52" s="1412"/>
    </row>
    <row r="53" spans="1:1020 1029:2040 2049:3070 3079:4090 4099:5120 5129:6140 6149:7160 7169:8190 8199:9210 9219:10240 10249:11260 11269:12280 12289:13310 13319:14330 14339:15360 15369:16380" ht="35.1" customHeight="1" x14ac:dyDescent="0.2">
      <c r="A53" s="1192"/>
      <c r="B53" s="1192"/>
      <c r="C53" s="1192"/>
      <c r="D53" s="1192"/>
      <c r="E53" s="1192"/>
      <c r="F53" s="1192"/>
    </row>
    <row r="54" spans="1:1020 1029:2040 2049:3070 3079:4090 4099:5120 5129:6140 6149:7160 7169:8190 8199:9210 9219:10240 10249:11260 11269:12280 12289:13310 13319:14330 14339:15360 15369:16380" ht="35.1" customHeight="1" x14ac:dyDescent="0.2">
      <c r="A54" s="1192"/>
      <c r="B54" s="1192"/>
      <c r="C54" s="1192"/>
      <c r="D54" s="1192"/>
      <c r="E54" s="1192"/>
      <c r="F54" s="1192"/>
      <c r="J54" s="1446" t="s">
        <v>24</v>
      </c>
      <c r="K54" s="1446"/>
      <c r="L54" s="1469">
        <f>L3</f>
        <v>0</v>
      </c>
      <c r="M54" s="1469"/>
    </row>
    <row r="55" spans="1:1020 1029:2040 2049:3070 3079:4090 4099:5120 5129:6140 6149:7160 7169:8190 8199:9210 9219:10240 10249:11260 11269:12280 12289:13310 13319:14330 14339:15360 15369:16380" ht="23.1" customHeight="1" x14ac:dyDescent="0.2">
      <c r="A55" s="1418" t="s">
        <v>250</v>
      </c>
      <c r="B55" s="1418"/>
      <c r="C55" s="1418"/>
      <c r="D55" s="1418"/>
      <c r="E55" s="1418"/>
      <c r="F55" s="1418"/>
      <c r="G55" s="1418"/>
      <c r="H55" s="1418"/>
      <c r="I55" s="1418"/>
      <c r="J55" s="1418"/>
    </row>
    <row r="56" spans="1:1020 1029:2040 2049:3070 3079:4090 4099:5120 5129:6140 6149:7160 7169:8190 8199:9210 9219:10240 10249:11260 11269:12280 12289:13310 13319:14330 14339:15360 15369:16380" ht="20.100000000000001" customHeight="1" thickBot="1" x14ac:dyDescent="0.25">
      <c r="A56" s="389"/>
      <c r="B56" s="389"/>
      <c r="S56" s="389"/>
      <c r="T56" s="389"/>
      <c r="AC56" s="389"/>
      <c r="AD56" s="389"/>
      <c r="AM56" s="389"/>
      <c r="AN56" s="389"/>
      <c r="AW56" s="389"/>
      <c r="AX56" s="389"/>
      <c r="BG56" s="389"/>
      <c r="BH56" s="389"/>
      <c r="BQ56" s="389"/>
      <c r="BR56" s="389"/>
      <c r="CA56" s="389"/>
      <c r="CB56" s="389"/>
      <c r="CK56" s="389"/>
      <c r="CL56" s="389"/>
      <c r="CU56" s="389"/>
      <c r="CV56" s="389"/>
      <c r="DE56" s="389"/>
      <c r="DF56" s="389"/>
      <c r="DO56" s="389"/>
      <c r="DP56" s="389"/>
      <c r="DY56" s="389"/>
      <c r="DZ56" s="389"/>
      <c r="EI56" s="389"/>
      <c r="EJ56" s="389"/>
      <c r="ES56" s="389"/>
      <c r="ET56" s="389"/>
      <c r="FC56" s="389"/>
      <c r="FD56" s="389"/>
      <c r="FM56" s="389"/>
      <c r="FN56" s="389"/>
      <c r="FW56" s="389"/>
      <c r="FX56" s="389"/>
      <c r="GG56" s="389"/>
      <c r="GH56" s="389"/>
      <c r="GQ56" s="389"/>
      <c r="GR56" s="389"/>
      <c r="HA56" s="389"/>
      <c r="HB56" s="389"/>
      <c r="HK56" s="389"/>
      <c r="HL56" s="389"/>
      <c r="HU56" s="389"/>
      <c r="HV56" s="389"/>
      <c r="IE56" s="389"/>
      <c r="IF56" s="389"/>
      <c r="IO56" s="389"/>
      <c r="IP56" s="389"/>
      <c r="IY56" s="389"/>
      <c r="IZ56" s="389"/>
      <c r="JI56" s="389"/>
      <c r="JJ56" s="389"/>
      <c r="JS56" s="389"/>
      <c r="JT56" s="389"/>
      <c r="KC56" s="389"/>
      <c r="KD56" s="389"/>
      <c r="KM56" s="389"/>
      <c r="KN56" s="389"/>
      <c r="KW56" s="389"/>
      <c r="KX56" s="389"/>
      <c r="LG56" s="389"/>
      <c r="LH56" s="389"/>
      <c r="LQ56" s="389"/>
      <c r="LR56" s="389"/>
      <c r="MA56" s="389"/>
      <c r="MB56" s="389"/>
      <c r="MK56" s="389"/>
      <c r="ML56" s="389"/>
      <c r="MU56" s="389"/>
      <c r="MV56" s="389"/>
      <c r="NE56" s="389"/>
      <c r="NF56" s="389"/>
      <c r="NO56" s="389"/>
      <c r="NP56" s="389"/>
      <c r="NY56" s="389"/>
      <c r="NZ56" s="389"/>
      <c r="OI56" s="389"/>
      <c r="OJ56" s="389"/>
      <c r="OS56" s="389"/>
      <c r="OT56" s="389"/>
      <c r="PC56" s="389"/>
      <c r="PD56" s="389"/>
      <c r="PM56" s="389"/>
      <c r="PN56" s="389"/>
      <c r="PW56" s="389"/>
      <c r="PX56" s="389"/>
      <c r="QG56" s="389"/>
      <c r="QH56" s="389"/>
      <c r="QQ56" s="389"/>
      <c r="QR56" s="389"/>
      <c r="RA56" s="389"/>
      <c r="RB56" s="389"/>
      <c r="RK56" s="389"/>
      <c r="RL56" s="389"/>
      <c r="RU56" s="389"/>
      <c r="RV56" s="389"/>
      <c r="SE56" s="389"/>
      <c r="SF56" s="389"/>
      <c r="SO56" s="389"/>
      <c r="SP56" s="389"/>
      <c r="SY56" s="389"/>
      <c r="SZ56" s="389"/>
      <c r="TI56" s="389"/>
      <c r="TJ56" s="389"/>
      <c r="TS56" s="389"/>
      <c r="TT56" s="389"/>
      <c r="UC56" s="389"/>
      <c r="UD56" s="389"/>
      <c r="UM56" s="389"/>
      <c r="UN56" s="389"/>
      <c r="UW56" s="389"/>
      <c r="UX56" s="389"/>
      <c r="VG56" s="389"/>
      <c r="VH56" s="389"/>
      <c r="VQ56" s="389"/>
      <c r="VR56" s="389"/>
      <c r="WA56" s="389"/>
      <c r="WB56" s="389"/>
      <c r="WK56" s="389"/>
      <c r="WL56" s="389"/>
      <c r="WU56" s="389"/>
      <c r="WV56" s="389"/>
      <c r="XE56" s="389"/>
      <c r="XF56" s="389"/>
      <c r="XO56" s="389"/>
      <c r="XP56" s="389"/>
      <c r="XY56" s="389"/>
      <c r="XZ56" s="389"/>
      <c r="YI56" s="389"/>
      <c r="YJ56" s="389"/>
      <c r="YS56" s="389"/>
      <c r="YT56" s="389"/>
      <c r="ZC56" s="389"/>
      <c r="ZD56" s="389"/>
      <c r="ZM56" s="389"/>
      <c r="ZN56" s="389"/>
      <c r="ZW56" s="389"/>
      <c r="ZX56" s="389"/>
      <c r="AAG56" s="389"/>
      <c r="AAH56" s="389"/>
      <c r="AAQ56" s="389"/>
      <c r="AAR56" s="389"/>
      <c r="ABA56" s="389"/>
      <c r="ABB56" s="389"/>
      <c r="ABK56" s="389"/>
      <c r="ABL56" s="389"/>
      <c r="ABU56" s="389"/>
      <c r="ABV56" s="389"/>
      <c r="ACE56" s="389"/>
      <c r="ACF56" s="389"/>
      <c r="ACO56" s="389"/>
      <c r="ACP56" s="389"/>
      <c r="ACY56" s="389"/>
      <c r="ACZ56" s="389"/>
      <c r="ADI56" s="389"/>
      <c r="ADJ56" s="389"/>
      <c r="ADS56" s="389"/>
      <c r="ADT56" s="389"/>
      <c r="AEC56" s="389"/>
      <c r="AED56" s="389"/>
      <c r="AEM56" s="389"/>
      <c r="AEN56" s="389"/>
      <c r="AEW56" s="389"/>
      <c r="AEX56" s="389"/>
      <c r="AFG56" s="389"/>
      <c r="AFH56" s="389"/>
      <c r="AFQ56" s="389"/>
      <c r="AFR56" s="389"/>
      <c r="AGA56" s="389"/>
      <c r="AGB56" s="389"/>
      <c r="AGK56" s="389"/>
      <c r="AGL56" s="389"/>
      <c r="AGU56" s="389"/>
      <c r="AGV56" s="389"/>
      <c r="AHE56" s="389"/>
      <c r="AHF56" s="389"/>
      <c r="AHO56" s="389"/>
      <c r="AHP56" s="389"/>
      <c r="AHY56" s="389"/>
      <c r="AHZ56" s="389"/>
      <c r="AII56" s="389"/>
      <c r="AIJ56" s="389"/>
      <c r="AIS56" s="389"/>
      <c r="AIT56" s="389"/>
      <c r="AJC56" s="389"/>
      <c r="AJD56" s="389"/>
      <c r="AJM56" s="389"/>
      <c r="AJN56" s="389"/>
      <c r="AJW56" s="389"/>
      <c r="AJX56" s="389"/>
      <c r="AKG56" s="389"/>
      <c r="AKH56" s="389"/>
      <c r="AKQ56" s="389"/>
      <c r="AKR56" s="389"/>
      <c r="ALA56" s="389"/>
      <c r="ALB56" s="389"/>
      <c r="ALK56" s="389"/>
      <c r="ALL56" s="389"/>
      <c r="ALU56" s="389"/>
      <c r="ALV56" s="389"/>
      <c r="AME56" s="389"/>
      <c r="AMF56" s="389"/>
      <c r="AMO56" s="389"/>
      <c r="AMP56" s="389"/>
      <c r="AMY56" s="389"/>
      <c r="AMZ56" s="389"/>
      <c r="ANI56" s="389"/>
      <c r="ANJ56" s="389"/>
      <c r="ANS56" s="389"/>
      <c r="ANT56" s="389"/>
      <c r="AOC56" s="389"/>
      <c r="AOD56" s="389"/>
      <c r="AOM56" s="389"/>
      <c r="AON56" s="389"/>
      <c r="AOW56" s="389"/>
      <c r="AOX56" s="389"/>
      <c r="APG56" s="389"/>
      <c r="APH56" s="389"/>
      <c r="APQ56" s="389"/>
      <c r="APR56" s="389"/>
      <c r="AQA56" s="389"/>
      <c r="AQB56" s="389"/>
      <c r="AQK56" s="389"/>
      <c r="AQL56" s="389"/>
      <c r="AQU56" s="389"/>
      <c r="AQV56" s="389"/>
      <c r="ARE56" s="389"/>
      <c r="ARF56" s="389"/>
      <c r="ARO56" s="389"/>
      <c r="ARP56" s="389"/>
      <c r="ARY56" s="389"/>
      <c r="ARZ56" s="389"/>
      <c r="ASI56" s="389"/>
      <c r="ASJ56" s="389"/>
      <c r="ASS56" s="389"/>
      <c r="AST56" s="389"/>
      <c r="ATC56" s="389"/>
      <c r="ATD56" s="389"/>
      <c r="ATM56" s="389"/>
      <c r="ATN56" s="389"/>
      <c r="ATW56" s="389"/>
      <c r="ATX56" s="389"/>
      <c r="AUG56" s="389"/>
      <c r="AUH56" s="389"/>
      <c r="AUQ56" s="389"/>
      <c r="AUR56" s="389"/>
      <c r="AVA56" s="389"/>
      <c r="AVB56" s="389"/>
      <c r="AVK56" s="389"/>
      <c r="AVL56" s="389"/>
      <c r="AVU56" s="389"/>
      <c r="AVV56" s="389"/>
      <c r="AWE56" s="389"/>
      <c r="AWF56" s="389"/>
      <c r="AWO56" s="389"/>
      <c r="AWP56" s="389"/>
      <c r="AWY56" s="389"/>
      <c r="AWZ56" s="389"/>
      <c r="AXI56" s="389"/>
      <c r="AXJ56" s="389"/>
      <c r="AXS56" s="389"/>
      <c r="AXT56" s="389"/>
      <c r="AYC56" s="389"/>
      <c r="AYD56" s="389"/>
      <c r="AYM56" s="389"/>
      <c r="AYN56" s="389"/>
      <c r="AYW56" s="389"/>
      <c r="AYX56" s="389"/>
      <c r="AZG56" s="389"/>
      <c r="AZH56" s="389"/>
      <c r="AZQ56" s="389"/>
      <c r="AZR56" s="389"/>
      <c r="BAA56" s="389"/>
      <c r="BAB56" s="389"/>
      <c r="BAK56" s="389"/>
      <c r="BAL56" s="389"/>
      <c r="BAU56" s="389"/>
      <c r="BAV56" s="389"/>
      <c r="BBE56" s="389"/>
      <c r="BBF56" s="389"/>
      <c r="BBO56" s="389"/>
      <c r="BBP56" s="389"/>
      <c r="BBY56" s="389"/>
      <c r="BBZ56" s="389"/>
      <c r="BCI56" s="389"/>
      <c r="BCJ56" s="389"/>
      <c r="BCS56" s="389"/>
      <c r="BCT56" s="389"/>
      <c r="BDC56" s="389"/>
      <c r="BDD56" s="389"/>
      <c r="BDM56" s="389"/>
      <c r="BDN56" s="389"/>
      <c r="BDW56" s="389"/>
      <c r="BDX56" s="389"/>
      <c r="BEG56" s="389"/>
      <c r="BEH56" s="389"/>
      <c r="BEQ56" s="389"/>
      <c r="BER56" s="389"/>
      <c r="BFA56" s="389"/>
      <c r="BFB56" s="389"/>
      <c r="BFK56" s="389"/>
      <c r="BFL56" s="389"/>
      <c r="BFU56" s="389"/>
      <c r="BFV56" s="389"/>
      <c r="BGE56" s="389"/>
      <c r="BGF56" s="389"/>
      <c r="BGO56" s="389"/>
      <c r="BGP56" s="389"/>
      <c r="BGY56" s="389"/>
      <c r="BGZ56" s="389"/>
      <c r="BHI56" s="389"/>
      <c r="BHJ56" s="389"/>
      <c r="BHS56" s="389"/>
      <c r="BHT56" s="389"/>
      <c r="BIC56" s="389"/>
      <c r="BID56" s="389"/>
      <c r="BIM56" s="389"/>
      <c r="BIN56" s="389"/>
      <c r="BIW56" s="389"/>
      <c r="BIX56" s="389"/>
      <c r="BJG56" s="389"/>
      <c r="BJH56" s="389"/>
      <c r="BJQ56" s="389"/>
      <c r="BJR56" s="389"/>
      <c r="BKA56" s="389"/>
      <c r="BKB56" s="389"/>
      <c r="BKK56" s="389"/>
      <c r="BKL56" s="389"/>
      <c r="BKU56" s="389"/>
      <c r="BKV56" s="389"/>
      <c r="BLE56" s="389"/>
      <c r="BLF56" s="389"/>
      <c r="BLO56" s="389"/>
      <c r="BLP56" s="389"/>
      <c r="BLY56" s="389"/>
      <c r="BLZ56" s="389"/>
      <c r="BMI56" s="389"/>
      <c r="BMJ56" s="389"/>
      <c r="BMS56" s="389"/>
      <c r="BMT56" s="389"/>
      <c r="BNC56" s="389"/>
      <c r="BND56" s="389"/>
      <c r="BNM56" s="389"/>
      <c r="BNN56" s="389"/>
      <c r="BNW56" s="389"/>
      <c r="BNX56" s="389"/>
      <c r="BOG56" s="389"/>
      <c r="BOH56" s="389"/>
      <c r="BOQ56" s="389"/>
      <c r="BOR56" s="389"/>
      <c r="BPA56" s="389"/>
      <c r="BPB56" s="389"/>
      <c r="BPK56" s="389"/>
      <c r="BPL56" s="389"/>
      <c r="BPU56" s="389"/>
      <c r="BPV56" s="389"/>
      <c r="BQE56" s="389"/>
      <c r="BQF56" s="389"/>
      <c r="BQO56" s="389"/>
      <c r="BQP56" s="389"/>
      <c r="BQY56" s="389"/>
      <c r="BQZ56" s="389"/>
      <c r="BRI56" s="389"/>
      <c r="BRJ56" s="389"/>
      <c r="BRS56" s="389"/>
      <c r="BRT56" s="389"/>
      <c r="BSC56" s="389"/>
      <c r="BSD56" s="389"/>
      <c r="BSM56" s="389"/>
      <c r="BSN56" s="389"/>
      <c r="BSW56" s="389"/>
      <c r="BSX56" s="389"/>
      <c r="BTG56" s="389"/>
      <c r="BTH56" s="389"/>
      <c r="BTQ56" s="389"/>
      <c r="BTR56" s="389"/>
      <c r="BUA56" s="389"/>
      <c r="BUB56" s="389"/>
      <c r="BUK56" s="389"/>
      <c r="BUL56" s="389"/>
      <c r="BUU56" s="389"/>
      <c r="BUV56" s="389"/>
      <c r="BVE56" s="389"/>
      <c r="BVF56" s="389"/>
      <c r="BVO56" s="389"/>
      <c r="BVP56" s="389"/>
      <c r="BVY56" s="389"/>
      <c r="BVZ56" s="389"/>
      <c r="BWI56" s="389"/>
      <c r="BWJ56" s="389"/>
      <c r="BWS56" s="389"/>
      <c r="BWT56" s="389"/>
      <c r="BXC56" s="389"/>
      <c r="BXD56" s="389"/>
      <c r="BXM56" s="389"/>
      <c r="BXN56" s="389"/>
      <c r="BXW56" s="389"/>
      <c r="BXX56" s="389"/>
      <c r="BYG56" s="389"/>
      <c r="BYH56" s="389"/>
      <c r="BYQ56" s="389"/>
      <c r="BYR56" s="389"/>
      <c r="BZA56" s="389"/>
      <c r="BZB56" s="389"/>
      <c r="BZK56" s="389"/>
      <c r="BZL56" s="389"/>
      <c r="BZU56" s="389"/>
      <c r="BZV56" s="389"/>
      <c r="CAE56" s="389"/>
      <c r="CAF56" s="389"/>
      <c r="CAO56" s="389"/>
      <c r="CAP56" s="389"/>
      <c r="CAY56" s="389"/>
      <c r="CAZ56" s="389"/>
      <c r="CBI56" s="389"/>
      <c r="CBJ56" s="389"/>
      <c r="CBS56" s="389"/>
      <c r="CBT56" s="389"/>
      <c r="CCC56" s="389"/>
      <c r="CCD56" s="389"/>
      <c r="CCM56" s="389"/>
      <c r="CCN56" s="389"/>
      <c r="CCW56" s="389"/>
      <c r="CCX56" s="389"/>
      <c r="CDG56" s="389"/>
      <c r="CDH56" s="389"/>
      <c r="CDQ56" s="389"/>
      <c r="CDR56" s="389"/>
      <c r="CEA56" s="389"/>
      <c r="CEB56" s="389"/>
      <c r="CEK56" s="389"/>
      <c r="CEL56" s="389"/>
      <c r="CEU56" s="389"/>
      <c r="CEV56" s="389"/>
      <c r="CFE56" s="389"/>
      <c r="CFF56" s="389"/>
      <c r="CFO56" s="389"/>
      <c r="CFP56" s="389"/>
      <c r="CFY56" s="389"/>
      <c r="CFZ56" s="389"/>
      <c r="CGI56" s="389"/>
      <c r="CGJ56" s="389"/>
      <c r="CGS56" s="389"/>
      <c r="CGT56" s="389"/>
      <c r="CHC56" s="389"/>
      <c r="CHD56" s="389"/>
      <c r="CHM56" s="389"/>
      <c r="CHN56" s="389"/>
      <c r="CHW56" s="389"/>
      <c r="CHX56" s="389"/>
      <c r="CIG56" s="389"/>
      <c r="CIH56" s="389"/>
      <c r="CIQ56" s="389"/>
      <c r="CIR56" s="389"/>
      <c r="CJA56" s="389"/>
      <c r="CJB56" s="389"/>
      <c r="CJK56" s="389"/>
      <c r="CJL56" s="389"/>
      <c r="CJU56" s="389"/>
      <c r="CJV56" s="389"/>
      <c r="CKE56" s="389"/>
      <c r="CKF56" s="389"/>
      <c r="CKO56" s="389"/>
      <c r="CKP56" s="389"/>
      <c r="CKY56" s="389"/>
      <c r="CKZ56" s="389"/>
      <c r="CLI56" s="389"/>
      <c r="CLJ56" s="389"/>
      <c r="CLS56" s="389"/>
      <c r="CLT56" s="389"/>
      <c r="CMC56" s="389"/>
      <c r="CMD56" s="389"/>
      <c r="CMM56" s="389"/>
      <c r="CMN56" s="389"/>
      <c r="CMW56" s="389"/>
      <c r="CMX56" s="389"/>
      <c r="CNG56" s="389"/>
      <c r="CNH56" s="389"/>
      <c r="CNQ56" s="389"/>
      <c r="CNR56" s="389"/>
      <c r="COA56" s="389"/>
      <c r="COB56" s="389"/>
      <c r="COK56" s="389"/>
      <c r="COL56" s="389"/>
      <c r="COU56" s="389"/>
      <c r="COV56" s="389"/>
      <c r="CPE56" s="389"/>
      <c r="CPF56" s="389"/>
      <c r="CPO56" s="389"/>
      <c r="CPP56" s="389"/>
      <c r="CPY56" s="389"/>
      <c r="CPZ56" s="389"/>
      <c r="CQI56" s="389"/>
      <c r="CQJ56" s="389"/>
      <c r="CQS56" s="389"/>
      <c r="CQT56" s="389"/>
      <c r="CRC56" s="389"/>
      <c r="CRD56" s="389"/>
      <c r="CRM56" s="389"/>
      <c r="CRN56" s="389"/>
      <c r="CRW56" s="389"/>
      <c r="CRX56" s="389"/>
      <c r="CSG56" s="389"/>
      <c r="CSH56" s="389"/>
      <c r="CSQ56" s="389"/>
      <c r="CSR56" s="389"/>
      <c r="CTA56" s="389"/>
      <c r="CTB56" s="389"/>
      <c r="CTK56" s="389"/>
      <c r="CTL56" s="389"/>
      <c r="CTU56" s="389"/>
      <c r="CTV56" s="389"/>
      <c r="CUE56" s="389"/>
      <c r="CUF56" s="389"/>
      <c r="CUO56" s="389"/>
      <c r="CUP56" s="389"/>
      <c r="CUY56" s="389"/>
      <c r="CUZ56" s="389"/>
      <c r="CVI56" s="389"/>
      <c r="CVJ56" s="389"/>
      <c r="CVS56" s="389"/>
      <c r="CVT56" s="389"/>
      <c r="CWC56" s="389"/>
      <c r="CWD56" s="389"/>
      <c r="CWM56" s="389"/>
      <c r="CWN56" s="389"/>
      <c r="CWW56" s="389"/>
      <c r="CWX56" s="389"/>
      <c r="CXG56" s="389"/>
      <c r="CXH56" s="389"/>
      <c r="CXQ56" s="389"/>
      <c r="CXR56" s="389"/>
      <c r="CYA56" s="389"/>
      <c r="CYB56" s="389"/>
      <c r="CYK56" s="389"/>
      <c r="CYL56" s="389"/>
      <c r="CYU56" s="389"/>
      <c r="CYV56" s="389"/>
      <c r="CZE56" s="389"/>
      <c r="CZF56" s="389"/>
      <c r="CZO56" s="389"/>
      <c r="CZP56" s="389"/>
      <c r="CZY56" s="389"/>
      <c r="CZZ56" s="389"/>
      <c r="DAI56" s="389"/>
      <c r="DAJ56" s="389"/>
      <c r="DAS56" s="389"/>
      <c r="DAT56" s="389"/>
      <c r="DBC56" s="389"/>
      <c r="DBD56" s="389"/>
      <c r="DBM56" s="389"/>
      <c r="DBN56" s="389"/>
      <c r="DBW56" s="389"/>
      <c r="DBX56" s="389"/>
      <c r="DCG56" s="389"/>
      <c r="DCH56" s="389"/>
      <c r="DCQ56" s="389"/>
      <c r="DCR56" s="389"/>
      <c r="DDA56" s="389"/>
      <c r="DDB56" s="389"/>
      <c r="DDK56" s="389"/>
      <c r="DDL56" s="389"/>
      <c r="DDU56" s="389"/>
      <c r="DDV56" s="389"/>
      <c r="DEE56" s="389"/>
      <c r="DEF56" s="389"/>
      <c r="DEO56" s="389"/>
      <c r="DEP56" s="389"/>
      <c r="DEY56" s="389"/>
      <c r="DEZ56" s="389"/>
      <c r="DFI56" s="389"/>
      <c r="DFJ56" s="389"/>
      <c r="DFS56" s="389"/>
      <c r="DFT56" s="389"/>
      <c r="DGC56" s="389"/>
      <c r="DGD56" s="389"/>
      <c r="DGM56" s="389"/>
      <c r="DGN56" s="389"/>
      <c r="DGW56" s="389"/>
      <c r="DGX56" s="389"/>
      <c r="DHG56" s="389"/>
      <c r="DHH56" s="389"/>
      <c r="DHQ56" s="389"/>
      <c r="DHR56" s="389"/>
      <c r="DIA56" s="389"/>
      <c r="DIB56" s="389"/>
      <c r="DIK56" s="389"/>
      <c r="DIL56" s="389"/>
      <c r="DIU56" s="389"/>
      <c r="DIV56" s="389"/>
      <c r="DJE56" s="389"/>
      <c r="DJF56" s="389"/>
      <c r="DJO56" s="389"/>
      <c r="DJP56" s="389"/>
      <c r="DJY56" s="389"/>
      <c r="DJZ56" s="389"/>
      <c r="DKI56" s="389"/>
      <c r="DKJ56" s="389"/>
      <c r="DKS56" s="389"/>
      <c r="DKT56" s="389"/>
      <c r="DLC56" s="389"/>
      <c r="DLD56" s="389"/>
      <c r="DLM56" s="389"/>
      <c r="DLN56" s="389"/>
      <c r="DLW56" s="389"/>
      <c r="DLX56" s="389"/>
      <c r="DMG56" s="389"/>
      <c r="DMH56" s="389"/>
      <c r="DMQ56" s="389"/>
      <c r="DMR56" s="389"/>
      <c r="DNA56" s="389"/>
      <c r="DNB56" s="389"/>
      <c r="DNK56" s="389"/>
      <c r="DNL56" s="389"/>
      <c r="DNU56" s="389"/>
      <c r="DNV56" s="389"/>
      <c r="DOE56" s="389"/>
      <c r="DOF56" s="389"/>
      <c r="DOO56" s="389"/>
      <c r="DOP56" s="389"/>
      <c r="DOY56" s="389"/>
      <c r="DOZ56" s="389"/>
      <c r="DPI56" s="389"/>
      <c r="DPJ56" s="389"/>
      <c r="DPS56" s="389"/>
      <c r="DPT56" s="389"/>
      <c r="DQC56" s="389"/>
      <c r="DQD56" s="389"/>
      <c r="DQM56" s="389"/>
      <c r="DQN56" s="389"/>
      <c r="DQW56" s="389"/>
      <c r="DQX56" s="389"/>
      <c r="DRG56" s="389"/>
      <c r="DRH56" s="389"/>
      <c r="DRQ56" s="389"/>
      <c r="DRR56" s="389"/>
      <c r="DSA56" s="389"/>
      <c r="DSB56" s="389"/>
      <c r="DSK56" s="389"/>
      <c r="DSL56" s="389"/>
      <c r="DSU56" s="389"/>
      <c r="DSV56" s="389"/>
      <c r="DTE56" s="389"/>
      <c r="DTF56" s="389"/>
      <c r="DTO56" s="389"/>
      <c r="DTP56" s="389"/>
      <c r="DTY56" s="389"/>
      <c r="DTZ56" s="389"/>
      <c r="DUI56" s="389"/>
      <c r="DUJ56" s="389"/>
      <c r="DUS56" s="389"/>
      <c r="DUT56" s="389"/>
      <c r="DVC56" s="389"/>
      <c r="DVD56" s="389"/>
      <c r="DVM56" s="389"/>
      <c r="DVN56" s="389"/>
      <c r="DVW56" s="389"/>
      <c r="DVX56" s="389"/>
      <c r="DWG56" s="389"/>
      <c r="DWH56" s="389"/>
      <c r="DWQ56" s="389"/>
      <c r="DWR56" s="389"/>
      <c r="DXA56" s="389"/>
      <c r="DXB56" s="389"/>
      <c r="DXK56" s="389"/>
      <c r="DXL56" s="389"/>
      <c r="DXU56" s="389"/>
      <c r="DXV56" s="389"/>
      <c r="DYE56" s="389"/>
      <c r="DYF56" s="389"/>
      <c r="DYO56" s="389"/>
      <c r="DYP56" s="389"/>
      <c r="DYY56" s="389"/>
      <c r="DYZ56" s="389"/>
      <c r="DZI56" s="389"/>
      <c r="DZJ56" s="389"/>
      <c r="DZS56" s="389"/>
      <c r="DZT56" s="389"/>
      <c r="EAC56" s="389"/>
      <c r="EAD56" s="389"/>
      <c r="EAM56" s="389"/>
      <c r="EAN56" s="389"/>
      <c r="EAW56" s="389"/>
      <c r="EAX56" s="389"/>
      <c r="EBG56" s="389"/>
      <c r="EBH56" s="389"/>
      <c r="EBQ56" s="389"/>
      <c r="EBR56" s="389"/>
      <c r="ECA56" s="389"/>
      <c r="ECB56" s="389"/>
      <c r="ECK56" s="389"/>
      <c r="ECL56" s="389"/>
      <c r="ECU56" s="389"/>
      <c r="ECV56" s="389"/>
      <c r="EDE56" s="389"/>
      <c r="EDF56" s="389"/>
      <c r="EDO56" s="389"/>
      <c r="EDP56" s="389"/>
      <c r="EDY56" s="389"/>
      <c r="EDZ56" s="389"/>
      <c r="EEI56" s="389"/>
      <c r="EEJ56" s="389"/>
      <c r="EES56" s="389"/>
      <c r="EET56" s="389"/>
      <c r="EFC56" s="389"/>
      <c r="EFD56" s="389"/>
      <c r="EFM56" s="389"/>
      <c r="EFN56" s="389"/>
      <c r="EFW56" s="389"/>
      <c r="EFX56" s="389"/>
      <c r="EGG56" s="389"/>
      <c r="EGH56" s="389"/>
      <c r="EGQ56" s="389"/>
      <c r="EGR56" s="389"/>
      <c r="EHA56" s="389"/>
      <c r="EHB56" s="389"/>
      <c r="EHK56" s="389"/>
      <c r="EHL56" s="389"/>
      <c r="EHU56" s="389"/>
      <c r="EHV56" s="389"/>
      <c r="EIE56" s="389"/>
      <c r="EIF56" s="389"/>
      <c r="EIO56" s="389"/>
      <c r="EIP56" s="389"/>
      <c r="EIY56" s="389"/>
      <c r="EIZ56" s="389"/>
      <c r="EJI56" s="389"/>
      <c r="EJJ56" s="389"/>
      <c r="EJS56" s="389"/>
      <c r="EJT56" s="389"/>
      <c r="EKC56" s="389"/>
      <c r="EKD56" s="389"/>
      <c r="EKM56" s="389"/>
      <c r="EKN56" s="389"/>
      <c r="EKW56" s="389"/>
      <c r="EKX56" s="389"/>
      <c r="ELG56" s="389"/>
      <c r="ELH56" s="389"/>
      <c r="ELQ56" s="389"/>
      <c r="ELR56" s="389"/>
      <c r="EMA56" s="389"/>
      <c r="EMB56" s="389"/>
      <c r="EMK56" s="389"/>
      <c r="EML56" s="389"/>
      <c r="EMU56" s="389"/>
      <c r="EMV56" s="389"/>
      <c r="ENE56" s="389"/>
      <c r="ENF56" s="389"/>
      <c r="ENO56" s="389"/>
      <c r="ENP56" s="389"/>
      <c r="ENY56" s="389"/>
      <c r="ENZ56" s="389"/>
      <c r="EOI56" s="389"/>
      <c r="EOJ56" s="389"/>
      <c r="EOS56" s="389"/>
      <c r="EOT56" s="389"/>
      <c r="EPC56" s="389"/>
      <c r="EPD56" s="389"/>
      <c r="EPM56" s="389"/>
      <c r="EPN56" s="389"/>
      <c r="EPW56" s="389"/>
      <c r="EPX56" s="389"/>
      <c r="EQG56" s="389"/>
      <c r="EQH56" s="389"/>
      <c r="EQQ56" s="389"/>
      <c r="EQR56" s="389"/>
      <c r="ERA56" s="389"/>
      <c r="ERB56" s="389"/>
      <c r="ERK56" s="389"/>
      <c r="ERL56" s="389"/>
      <c r="ERU56" s="389"/>
      <c r="ERV56" s="389"/>
      <c r="ESE56" s="389"/>
      <c r="ESF56" s="389"/>
      <c r="ESO56" s="389"/>
      <c r="ESP56" s="389"/>
      <c r="ESY56" s="389"/>
      <c r="ESZ56" s="389"/>
      <c r="ETI56" s="389"/>
      <c r="ETJ56" s="389"/>
      <c r="ETS56" s="389"/>
      <c r="ETT56" s="389"/>
      <c r="EUC56" s="389"/>
      <c r="EUD56" s="389"/>
      <c r="EUM56" s="389"/>
      <c r="EUN56" s="389"/>
      <c r="EUW56" s="389"/>
      <c r="EUX56" s="389"/>
      <c r="EVG56" s="389"/>
      <c r="EVH56" s="389"/>
      <c r="EVQ56" s="389"/>
      <c r="EVR56" s="389"/>
      <c r="EWA56" s="389"/>
      <c r="EWB56" s="389"/>
      <c r="EWK56" s="389"/>
      <c r="EWL56" s="389"/>
      <c r="EWU56" s="389"/>
      <c r="EWV56" s="389"/>
      <c r="EXE56" s="389"/>
      <c r="EXF56" s="389"/>
      <c r="EXO56" s="389"/>
      <c r="EXP56" s="389"/>
      <c r="EXY56" s="389"/>
      <c r="EXZ56" s="389"/>
      <c r="EYI56" s="389"/>
      <c r="EYJ56" s="389"/>
      <c r="EYS56" s="389"/>
      <c r="EYT56" s="389"/>
      <c r="EZC56" s="389"/>
      <c r="EZD56" s="389"/>
      <c r="EZM56" s="389"/>
      <c r="EZN56" s="389"/>
      <c r="EZW56" s="389"/>
      <c r="EZX56" s="389"/>
      <c r="FAG56" s="389"/>
      <c r="FAH56" s="389"/>
      <c r="FAQ56" s="389"/>
      <c r="FAR56" s="389"/>
      <c r="FBA56" s="389"/>
      <c r="FBB56" s="389"/>
      <c r="FBK56" s="389"/>
      <c r="FBL56" s="389"/>
      <c r="FBU56" s="389"/>
      <c r="FBV56" s="389"/>
      <c r="FCE56" s="389"/>
      <c r="FCF56" s="389"/>
      <c r="FCO56" s="389"/>
      <c r="FCP56" s="389"/>
      <c r="FCY56" s="389"/>
      <c r="FCZ56" s="389"/>
      <c r="FDI56" s="389"/>
      <c r="FDJ56" s="389"/>
      <c r="FDS56" s="389"/>
      <c r="FDT56" s="389"/>
      <c r="FEC56" s="389"/>
      <c r="FED56" s="389"/>
      <c r="FEM56" s="389"/>
      <c r="FEN56" s="389"/>
      <c r="FEW56" s="389"/>
      <c r="FEX56" s="389"/>
      <c r="FFG56" s="389"/>
      <c r="FFH56" s="389"/>
      <c r="FFQ56" s="389"/>
      <c r="FFR56" s="389"/>
      <c r="FGA56" s="389"/>
      <c r="FGB56" s="389"/>
      <c r="FGK56" s="389"/>
      <c r="FGL56" s="389"/>
      <c r="FGU56" s="389"/>
      <c r="FGV56" s="389"/>
      <c r="FHE56" s="389"/>
      <c r="FHF56" s="389"/>
      <c r="FHO56" s="389"/>
      <c r="FHP56" s="389"/>
      <c r="FHY56" s="389"/>
      <c r="FHZ56" s="389"/>
      <c r="FII56" s="389"/>
      <c r="FIJ56" s="389"/>
      <c r="FIS56" s="389"/>
      <c r="FIT56" s="389"/>
      <c r="FJC56" s="389"/>
      <c r="FJD56" s="389"/>
      <c r="FJM56" s="389"/>
      <c r="FJN56" s="389"/>
      <c r="FJW56" s="389"/>
      <c r="FJX56" s="389"/>
      <c r="FKG56" s="389"/>
      <c r="FKH56" s="389"/>
      <c r="FKQ56" s="389"/>
      <c r="FKR56" s="389"/>
      <c r="FLA56" s="389"/>
      <c r="FLB56" s="389"/>
      <c r="FLK56" s="389"/>
      <c r="FLL56" s="389"/>
      <c r="FLU56" s="389"/>
      <c r="FLV56" s="389"/>
      <c r="FME56" s="389"/>
      <c r="FMF56" s="389"/>
      <c r="FMO56" s="389"/>
      <c r="FMP56" s="389"/>
      <c r="FMY56" s="389"/>
      <c r="FMZ56" s="389"/>
      <c r="FNI56" s="389"/>
      <c r="FNJ56" s="389"/>
      <c r="FNS56" s="389"/>
      <c r="FNT56" s="389"/>
      <c r="FOC56" s="389"/>
      <c r="FOD56" s="389"/>
      <c r="FOM56" s="389"/>
      <c r="FON56" s="389"/>
      <c r="FOW56" s="389"/>
      <c r="FOX56" s="389"/>
      <c r="FPG56" s="389"/>
      <c r="FPH56" s="389"/>
      <c r="FPQ56" s="389"/>
      <c r="FPR56" s="389"/>
      <c r="FQA56" s="389"/>
      <c r="FQB56" s="389"/>
      <c r="FQK56" s="389"/>
      <c r="FQL56" s="389"/>
      <c r="FQU56" s="389"/>
      <c r="FQV56" s="389"/>
      <c r="FRE56" s="389"/>
      <c r="FRF56" s="389"/>
      <c r="FRO56" s="389"/>
      <c r="FRP56" s="389"/>
      <c r="FRY56" s="389"/>
      <c r="FRZ56" s="389"/>
      <c r="FSI56" s="389"/>
      <c r="FSJ56" s="389"/>
      <c r="FSS56" s="389"/>
      <c r="FST56" s="389"/>
      <c r="FTC56" s="389"/>
      <c r="FTD56" s="389"/>
      <c r="FTM56" s="389"/>
      <c r="FTN56" s="389"/>
      <c r="FTW56" s="389"/>
      <c r="FTX56" s="389"/>
      <c r="FUG56" s="389"/>
      <c r="FUH56" s="389"/>
      <c r="FUQ56" s="389"/>
      <c r="FUR56" s="389"/>
      <c r="FVA56" s="389"/>
      <c r="FVB56" s="389"/>
      <c r="FVK56" s="389"/>
      <c r="FVL56" s="389"/>
      <c r="FVU56" s="389"/>
      <c r="FVV56" s="389"/>
      <c r="FWE56" s="389"/>
      <c r="FWF56" s="389"/>
      <c r="FWO56" s="389"/>
      <c r="FWP56" s="389"/>
      <c r="FWY56" s="389"/>
      <c r="FWZ56" s="389"/>
      <c r="FXI56" s="389"/>
      <c r="FXJ56" s="389"/>
      <c r="FXS56" s="389"/>
      <c r="FXT56" s="389"/>
      <c r="FYC56" s="389"/>
      <c r="FYD56" s="389"/>
      <c r="FYM56" s="389"/>
      <c r="FYN56" s="389"/>
      <c r="FYW56" s="389"/>
      <c r="FYX56" s="389"/>
      <c r="FZG56" s="389"/>
      <c r="FZH56" s="389"/>
      <c r="FZQ56" s="389"/>
      <c r="FZR56" s="389"/>
      <c r="GAA56" s="389"/>
      <c r="GAB56" s="389"/>
      <c r="GAK56" s="389"/>
      <c r="GAL56" s="389"/>
      <c r="GAU56" s="389"/>
      <c r="GAV56" s="389"/>
      <c r="GBE56" s="389"/>
      <c r="GBF56" s="389"/>
      <c r="GBO56" s="389"/>
      <c r="GBP56" s="389"/>
      <c r="GBY56" s="389"/>
      <c r="GBZ56" s="389"/>
      <c r="GCI56" s="389"/>
      <c r="GCJ56" s="389"/>
      <c r="GCS56" s="389"/>
      <c r="GCT56" s="389"/>
      <c r="GDC56" s="389"/>
      <c r="GDD56" s="389"/>
      <c r="GDM56" s="389"/>
      <c r="GDN56" s="389"/>
      <c r="GDW56" s="389"/>
      <c r="GDX56" s="389"/>
      <c r="GEG56" s="389"/>
      <c r="GEH56" s="389"/>
      <c r="GEQ56" s="389"/>
      <c r="GER56" s="389"/>
      <c r="GFA56" s="389"/>
      <c r="GFB56" s="389"/>
      <c r="GFK56" s="389"/>
      <c r="GFL56" s="389"/>
      <c r="GFU56" s="389"/>
      <c r="GFV56" s="389"/>
      <c r="GGE56" s="389"/>
      <c r="GGF56" s="389"/>
      <c r="GGO56" s="389"/>
      <c r="GGP56" s="389"/>
      <c r="GGY56" s="389"/>
      <c r="GGZ56" s="389"/>
      <c r="GHI56" s="389"/>
      <c r="GHJ56" s="389"/>
      <c r="GHS56" s="389"/>
      <c r="GHT56" s="389"/>
      <c r="GIC56" s="389"/>
      <c r="GID56" s="389"/>
      <c r="GIM56" s="389"/>
      <c r="GIN56" s="389"/>
      <c r="GIW56" s="389"/>
      <c r="GIX56" s="389"/>
      <c r="GJG56" s="389"/>
      <c r="GJH56" s="389"/>
      <c r="GJQ56" s="389"/>
      <c r="GJR56" s="389"/>
      <c r="GKA56" s="389"/>
      <c r="GKB56" s="389"/>
      <c r="GKK56" s="389"/>
      <c r="GKL56" s="389"/>
      <c r="GKU56" s="389"/>
      <c r="GKV56" s="389"/>
      <c r="GLE56" s="389"/>
      <c r="GLF56" s="389"/>
      <c r="GLO56" s="389"/>
      <c r="GLP56" s="389"/>
      <c r="GLY56" s="389"/>
      <c r="GLZ56" s="389"/>
      <c r="GMI56" s="389"/>
      <c r="GMJ56" s="389"/>
      <c r="GMS56" s="389"/>
      <c r="GMT56" s="389"/>
      <c r="GNC56" s="389"/>
      <c r="GND56" s="389"/>
      <c r="GNM56" s="389"/>
      <c r="GNN56" s="389"/>
      <c r="GNW56" s="389"/>
      <c r="GNX56" s="389"/>
      <c r="GOG56" s="389"/>
      <c r="GOH56" s="389"/>
      <c r="GOQ56" s="389"/>
      <c r="GOR56" s="389"/>
      <c r="GPA56" s="389"/>
      <c r="GPB56" s="389"/>
      <c r="GPK56" s="389"/>
      <c r="GPL56" s="389"/>
      <c r="GPU56" s="389"/>
      <c r="GPV56" s="389"/>
      <c r="GQE56" s="389"/>
      <c r="GQF56" s="389"/>
      <c r="GQO56" s="389"/>
      <c r="GQP56" s="389"/>
      <c r="GQY56" s="389"/>
      <c r="GQZ56" s="389"/>
      <c r="GRI56" s="389"/>
      <c r="GRJ56" s="389"/>
      <c r="GRS56" s="389"/>
      <c r="GRT56" s="389"/>
      <c r="GSC56" s="389"/>
      <c r="GSD56" s="389"/>
      <c r="GSM56" s="389"/>
      <c r="GSN56" s="389"/>
      <c r="GSW56" s="389"/>
      <c r="GSX56" s="389"/>
      <c r="GTG56" s="389"/>
      <c r="GTH56" s="389"/>
      <c r="GTQ56" s="389"/>
      <c r="GTR56" s="389"/>
      <c r="GUA56" s="389"/>
      <c r="GUB56" s="389"/>
      <c r="GUK56" s="389"/>
      <c r="GUL56" s="389"/>
      <c r="GUU56" s="389"/>
      <c r="GUV56" s="389"/>
      <c r="GVE56" s="389"/>
      <c r="GVF56" s="389"/>
      <c r="GVO56" s="389"/>
      <c r="GVP56" s="389"/>
      <c r="GVY56" s="389"/>
      <c r="GVZ56" s="389"/>
      <c r="GWI56" s="389"/>
      <c r="GWJ56" s="389"/>
      <c r="GWS56" s="389"/>
      <c r="GWT56" s="389"/>
      <c r="GXC56" s="389"/>
      <c r="GXD56" s="389"/>
      <c r="GXM56" s="389"/>
      <c r="GXN56" s="389"/>
      <c r="GXW56" s="389"/>
      <c r="GXX56" s="389"/>
      <c r="GYG56" s="389"/>
      <c r="GYH56" s="389"/>
      <c r="GYQ56" s="389"/>
      <c r="GYR56" s="389"/>
      <c r="GZA56" s="389"/>
      <c r="GZB56" s="389"/>
      <c r="GZK56" s="389"/>
      <c r="GZL56" s="389"/>
      <c r="GZU56" s="389"/>
      <c r="GZV56" s="389"/>
      <c r="HAE56" s="389"/>
      <c r="HAF56" s="389"/>
      <c r="HAO56" s="389"/>
      <c r="HAP56" s="389"/>
      <c r="HAY56" s="389"/>
      <c r="HAZ56" s="389"/>
      <c r="HBI56" s="389"/>
      <c r="HBJ56" s="389"/>
      <c r="HBS56" s="389"/>
      <c r="HBT56" s="389"/>
      <c r="HCC56" s="389"/>
      <c r="HCD56" s="389"/>
      <c r="HCM56" s="389"/>
      <c r="HCN56" s="389"/>
      <c r="HCW56" s="389"/>
      <c r="HCX56" s="389"/>
      <c r="HDG56" s="389"/>
      <c r="HDH56" s="389"/>
      <c r="HDQ56" s="389"/>
      <c r="HDR56" s="389"/>
      <c r="HEA56" s="389"/>
      <c r="HEB56" s="389"/>
      <c r="HEK56" s="389"/>
      <c r="HEL56" s="389"/>
      <c r="HEU56" s="389"/>
      <c r="HEV56" s="389"/>
      <c r="HFE56" s="389"/>
      <c r="HFF56" s="389"/>
      <c r="HFO56" s="389"/>
      <c r="HFP56" s="389"/>
      <c r="HFY56" s="389"/>
      <c r="HFZ56" s="389"/>
      <c r="HGI56" s="389"/>
      <c r="HGJ56" s="389"/>
      <c r="HGS56" s="389"/>
      <c r="HGT56" s="389"/>
      <c r="HHC56" s="389"/>
      <c r="HHD56" s="389"/>
      <c r="HHM56" s="389"/>
      <c r="HHN56" s="389"/>
      <c r="HHW56" s="389"/>
      <c r="HHX56" s="389"/>
      <c r="HIG56" s="389"/>
      <c r="HIH56" s="389"/>
      <c r="HIQ56" s="389"/>
      <c r="HIR56" s="389"/>
      <c r="HJA56" s="389"/>
      <c r="HJB56" s="389"/>
      <c r="HJK56" s="389"/>
      <c r="HJL56" s="389"/>
      <c r="HJU56" s="389"/>
      <c r="HJV56" s="389"/>
      <c r="HKE56" s="389"/>
      <c r="HKF56" s="389"/>
      <c r="HKO56" s="389"/>
      <c r="HKP56" s="389"/>
      <c r="HKY56" s="389"/>
      <c r="HKZ56" s="389"/>
      <c r="HLI56" s="389"/>
      <c r="HLJ56" s="389"/>
      <c r="HLS56" s="389"/>
      <c r="HLT56" s="389"/>
      <c r="HMC56" s="389"/>
      <c r="HMD56" s="389"/>
      <c r="HMM56" s="389"/>
      <c r="HMN56" s="389"/>
      <c r="HMW56" s="389"/>
      <c r="HMX56" s="389"/>
      <c r="HNG56" s="389"/>
      <c r="HNH56" s="389"/>
      <c r="HNQ56" s="389"/>
      <c r="HNR56" s="389"/>
      <c r="HOA56" s="389"/>
      <c r="HOB56" s="389"/>
      <c r="HOK56" s="389"/>
      <c r="HOL56" s="389"/>
      <c r="HOU56" s="389"/>
      <c r="HOV56" s="389"/>
      <c r="HPE56" s="389"/>
      <c r="HPF56" s="389"/>
      <c r="HPO56" s="389"/>
      <c r="HPP56" s="389"/>
      <c r="HPY56" s="389"/>
      <c r="HPZ56" s="389"/>
      <c r="HQI56" s="389"/>
      <c r="HQJ56" s="389"/>
      <c r="HQS56" s="389"/>
      <c r="HQT56" s="389"/>
      <c r="HRC56" s="389"/>
      <c r="HRD56" s="389"/>
      <c r="HRM56" s="389"/>
      <c r="HRN56" s="389"/>
      <c r="HRW56" s="389"/>
      <c r="HRX56" s="389"/>
      <c r="HSG56" s="389"/>
      <c r="HSH56" s="389"/>
      <c r="HSQ56" s="389"/>
      <c r="HSR56" s="389"/>
      <c r="HTA56" s="389"/>
      <c r="HTB56" s="389"/>
      <c r="HTK56" s="389"/>
      <c r="HTL56" s="389"/>
      <c r="HTU56" s="389"/>
      <c r="HTV56" s="389"/>
      <c r="HUE56" s="389"/>
      <c r="HUF56" s="389"/>
      <c r="HUO56" s="389"/>
      <c r="HUP56" s="389"/>
      <c r="HUY56" s="389"/>
      <c r="HUZ56" s="389"/>
      <c r="HVI56" s="389"/>
      <c r="HVJ56" s="389"/>
      <c r="HVS56" s="389"/>
      <c r="HVT56" s="389"/>
      <c r="HWC56" s="389"/>
      <c r="HWD56" s="389"/>
      <c r="HWM56" s="389"/>
      <c r="HWN56" s="389"/>
      <c r="HWW56" s="389"/>
      <c r="HWX56" s="389"/>
      <c r="HXG56" s="389"/>
      <c r="HXH56" s="389"/>
      <c r="HXQ56" s="389"/>
      <c r="HXR56" s="389"/>
      <c r="HYA56" s="389"/>
      <c r="HYB56" s="389"/>
      <c r="HYK56" s="389"/>
      <c r="HYL56" s="389"/>
      <c r="HYU56" s="389"/>
      <c r="HYV56" s="389"/>
      <c r="HZE56" s="389"/>
      <c r="HZF56" s="389"/>
      <c r="HZO56" s="389"/>
      <c r="HZP56" s="389"/>
      <c r="HZY56" s="389"/>
      <c r="HZZ56" s="389"/>
      <c r="IAI56" s="389"/>
      <c r="IAJ56" s="389"/>
      <c r="IAS56" s="389"/>
      <c r="IAT56" s="389"/>
      <c r="IBC56" s="389"/>
      <c r="IBD56" s="389"/>
      <c r="IBM56" s="389"/>
      <c r="IBN56" s="389"/>
      <c r="IBW56" s="389"/>
      <c r="IBX56" s="389"/>
      <c r="ICG56" s="389"/>
      <c r="ICH56" s="389"/>
      <c r="ICQ56" s="389"/>
      <c r="ICR56" s="389"/>
      <c r="IDA56" s="389"/>
      <c r="IDB56" s="389"/>
      <c r="IDK56" s="389"/>
      <c r="IDL56" s="389"/>
      <c r="IDU56" s="389"/>
      <c r="IDV56" s="389"/>
      <c r="IEE56" s="389"/>
      <c r="IEF56" s="389"/>
      <c r="IEO56" s="389"/>
      <c r="IEP56" s="389"/>
      <c r="IEY56" s="389"/>
      <c r="IEZ56" s="389"/>
      <c r="IFI56" s="389"/>
      <c r="IFJ56" s="389"/>
      <c r="IFS56" s="389"/>
      <c r="IFT56" s="389"/>
      <c r="IGC56" s="389"/>
      <c r="IGD56" s="389"/>
      <c r="IGM56" s="389"/>
      <c r="IGN56" s="389"/>
      <c r="IGW56" s="389"/>
      <c r="IGX56" s="389"/>
      <c r="IHG56" s="389"/>
      <c r="IHH56" s="389"/>
      <c r="IHQ56" s="389"/>
      <c r="IHR56" s="389"/>
      <c r="IIA56" s="389"/>
      <c r="IIB56" s="389"/>
      <c r="IIK56" s="389"/>
      <c r="IIL56" s="389"/>
      <c r="IIU56" s="389"/>
      <c r="IIV56" s="389"/>
      <c r="IJE56" s="389"/>
      <c r="IJF56" s="389"/>
      <c r="IJO56" s="389"/>
      <c r="IJP56" s="389"/>
      <c r="IJY56" s="389"/>
      <c r="IJZ56" s="389"/>
      <c r="IKI56" s="389"/>
      <c r="IKJ56" s="389"/>
      <c r="IKS56" s="389"/>
      <c r="IKT56" s="389"/>
      <c r="ILC56" s="389"/>
      <c r="ILD56" s="389"/>
      <c r="ILM56" s="389"/>
      <c r="ILN56" s="389"/>
      <c r="ILW56" s="389"/>
      <c r="ILX56" s="389"/>
      <c r="IMG56" s="389"/>
      <c r="IMH56" s="389"/>
      <c r="IMQ56" s="389"/>
      <c r="IMR56" s="389"/>
      <c r="INA56" s="389"/>
      <c r="INB56" s="389"/>
      <c r="INK56" s="389"/>
      <c r="INL56" s="389"/>
      <c r="INU56" s="389"/>
      <c r="INV56" s="389"/>
      <c r="IOE56" s="389"/>
      <c r="IOF56" s="389"/>
      <c r="IOO56" s="389"/>
      <c r="IOP56" s="389"/>
      <c r="IOY56" s="389"/>
      <c r="IOZ56" s="389"/>
      <c r="IPI56" s="389"/>
      <c r="IPJ56" s="389"/>
      <c r="IPS56" s="389"/>
      <c r="IPT56" s="389"/>
      <c r="IQC56" s="389"/>
      <c r="IQD56" s="389"/>
      <c r="IQM56" s="389"/>
      <c r="IQN56" s="389"/>
      <c r="IQW56" s="389"/>
      <c r="IQX56" s="389"/>
      <c r="IRG56" s="389"/>
      <c r="IRH56" s="389"/>
      <c r="IRQ56" s="389"/>
      <c r="IRR56" s="389"/>
      <c r="ISA56" s="389"/>
      <c r="ISB56" s="389"/>
      <c r="ISK56" s="389"/>
      <c r="ISL56" s="389"/>
      <c r="ISU56" s="389"/>
      <c r="ISV56" s="389"/>
      <c r="ITE56" s="389"/>
      <c r="ITF56" s="389"/>
      <c r="ITO56" s="389"/>
      <c r="ITP56" s="389"/>
      <c r="ITY56" s="389"/>
      <c r="ITZ56" s="389"/>
      <c r="IUI56" s="389"/>
      <c r="IUJ56" s="389"/>
      <c r="IUS56" s="389"/>
      <c r="IUT56" s="389"/>
      <c r="IVC56" s="389"/>
      <c r="IVD56" s="389"/>
      <c r="IVM56" s="389"/>
      <c r="IVN56" s="389"/>
      <c r="IVW56" s="389"/>
      <c r="IVX56" s="389"/>
      <c r="IWG56" s="389"/>
      <c r="IWH56" s="389"/>
      <c r="IWQ56" s="389"/>
      <c r="IWR56" s="389"/>
      <c r="IXA56" s="389"/>
      <c r="IXB56" s="389"/>
      <c r="IXK56" s="389"/>
      <c r="IXL56" s="389"/>
      <c r="IXU56" s="389"/>
      <c r="IXV56" s="389"/>
      <c r="IYE56" s="389"/>
      <c r="IYF56" s="389"/>
      <c r="IYO56" s="389"/>
      <c r="IYP56" s="389"/>
      <c r="IYY56" s="389"/>
      <c r="IYZ56" s="389"/>
      <c r="IZI56" s="389"/>
      <c r="IZJ56" s="389"/>
      <c r="IZS56" s="389"/>
      <c r="IZT56" s="389"/>
      <c r="JAC56" s="389"/>
      <c r="JAD56" s="389"/>
      <c r="JAM56" s="389"/>
      <c r="JAN56" s="389"/>
      <c r="JAW56" s="389"/>
      <c r="JAX56" s="389"/>
      <c r="JBG56" s="389"/>
      <c r="JBH56" s="389"/>
      <c r="JBQ56" s="389"/>
      <c r="JBR56" s="389"/>
      <c r="JCA56" s="389"/>
      <c r="JCB56" s="389"/>
      <c r="JCK56" s="389"/>
      <c r="JCL56" s="389"/>
      <c r="JCU56" s="389"/>
      <c r="JCV56" s="389"/>
      <c r="JDE56" s="389"/>
      <c r="JDF56" s="389"/>
      <c r="JDO56" s="389"/>
      <c r="JDP56" s="389"/>
      <c r="JDY56" s="389"/>
      <c r="JDZ56" s="389"/>
      <c r="JEI56" s="389"/>
      <c r="JEJ56" s="389"/>
      <c r="JES56" s="389"/>
      <c r="JET56" s="389"/>
      <c r="JFC56" s="389"/>
      <c r="JFD56" s="389"/>
      <c r="JFM56" s="389"/>
      <c r="JFN56" s="389"/>
      <c r="JFW56" s="389"/>
      <c r="JFX56" s="389"/>
      <c r="JGG56" s="389"/>
      <c r="JGH56" s="389"/>
      <c r="JGQ56" s="389"/>
      <c r="JGR56" s="389"/>
      <c r="JHA56" s="389"/>
      <c r="JHB56" s="389"/>
      <c r="JHK56" s="389"/>
      <c r="JHL56" s="389"/>
      <c r="JHU56" s="389"/>
      <c r="JHV56" s="389"/>
      <c r="JIE56" s="389"/>
      <c r="JIF56" s="389"/>
      <c r="JIO56" s="389"/>
      <c r="JIP56" s="389"/>
      <c r="JIY56" s="389"/>
      <c r="JIZ56" s="389"/>
      <c r="JJI56" s="389"/>
      <c r="JJJ56" s="389"/>
      <c r="JJS56" s="389"/>
      <c r="JJT56" s="389"/>
      <c r="JKC56" s="389"/>
      <c r="JKD56" s="389"/>
      <c r="JKM56" s="389"/>
      <c r="JKN56" s="389"/>
      <c r="JKW56" s="389"/>
      <c r="JKX56" s="389"/>
      <c r="JLG56" s="389"/>
      <c r="JLH56" s="389"/>
      <c r="JLQ56" s="389"/>
      <c r="JLR56" s="389"/>
      <c r="JMA56" s="389"/>
      <c r="JMB56" s="389"/>
      <c r="JMK56" s="389"/>
      <c r="JML56" s="389"/>
      <c r="JMU56" s="389"/>
      <c r="JMV56" s="389"/>
      <c r="JNE56" s="389"/>
      <c r="JNF56" s="389"/>
      <c r="JNO56" s="389"/>
      <c r="JNP56" s="389"/>
      <c r="JNY56" s="389"/>
      <c r="JNZ56" s="389"/>
      <c r="JOI56" s="389"/>
      <c r="JOJ56" s="389"/>
      <c r="JOS56" s="389"/>
      <c r="JOT56" s="389"/>
      <c r="JPC56" s="389"/>
      <c r="JPD56" s="389"/>
      <c r="JPM56" s="389"/>
      <c r="JPN56" s="389"/>
      <c r="JPW56" s="389"/>
      <c r="JPX56" s="389"/>
      <c r="JQG56" s="389"/>
      <c r="JQH56" s="389"/>
      <c r="JQQ56" s="389"/>
      <c r="JQR56" s="389"/>
      <c r="JRA56" s="389"/>
      <c r="JRB56" s="389"/>
      <c r="JRK56" s="389"/>
      <c r="JRL56" s="389"/>
      <c r="JRU56" s="389"/>
      <c r="JRV56" s="389"/>
      <c r="JSE56" s="389"/>
      <c r="JSF56" s="389"/>
      <c r="JSO56" s="389"/>
      <c r="JSP56" s="389"/>
      <c r="JSY56" s="389"/>
      <c r="JSZ56" s="389"/>
      <c r="JTI56" s="389"/>
      <c r="JTJ56" s="389"/>
      <c r="JTS56" s="389"/>
      <c r="JTT56" s="389"/>
      <c r="JUC56" s="389"/>
      <c r="JUD56" s="389"/>
      <c r="JUM56" s="389"/>
      <c r="JUN56" s="389"/>
      <c r="JUW56" s="389"/>
      <c r="JUX56" s="389"/>
      <c r="JVG56" s="389"/>
      <c r="JVH56" s="389"/>
      <c r="JVQ56" s="389"/>
      <c r="JVR56" s="389"/>
      <c r="JWA56" s="389"/>
      <c r="JWB56" s="389"/>
      <c r="JWK56" s="389"/>
      <c r="JWL56" s="389"/>
      <c r="JWU56" s="389"/>
      <c r="JWV56" s="389"/>
      <c r="JXE56" s="389"/>
      <c r="JXF56" s="389"/>
      <c r="JXO56" s="389"/>
      <c r="JXP56" s="389"/>
      <c r="JXY56" s="389"/>
      <c r="JXZ56" s="389"/>
      <c r="JYI56" s="389"/>
      <c r="JYJ56" s="389"/>
      <c r="JYS56" s="389"/>
      <c r="JYT56" s="389"/>
      <c r="JZC56" s="389"/>
      <c r="JZD56" s="389"/>
      <c r="JZM56" s="389"/>
      <c r="JZN56" s="389"/>
      <c r="JZW56" s="389"/>
      <c r="JZX56" s="389"/>
      <c r="KAG56" s="389"/>
      <c r="KAH56" s="389"/>
      <c r="KAQ56" s="389"/>
      <c r="KAR56" s="389"/>
      <c r="KBA56" s="389"/>
      <c r="KBB56" s="389"/>
      <c r="KBK56" s="389"/>
      <c r="KBL56" s="389"/>
      <c r="KBU56" s="389"/>
      <c r="KBV56" s="389"/>
      <c r="KCE56" s="389"/>
      <c r="KCF56" s="389"/>
      <c r="KCO56" s="389"/>
      <c r="KCP56" s="389"/>
      <c r="KCY56" s="389"/>
      <c r="KCZ56" s="389"/>
      <c r="KDI56" s="389"/>
      <c r="KDJ56" s="389"/>
      <c r="KDS56" s="389"/>
      <c r="KDT56" s="389"/>
      <c r="KEC56" s="389"/>
      <c r="KED56" s="389"/>
      <c r="KEM56" s="389"/>
      <c r="KEN56" s="389"/>
      <c r="KEW56" s="389"/>
      <c r="KEX56" s="389"/>
      <c r="KFG56" s="389"/>
      <c r="KFH56" s="389"/>
      <c r="KFQ56" s="389"/>
      <c r="KFR56" s="389"/>
      <c r="KGA56" s="389"/>
      <c r="KGB56" s="389"/>
      <c r="KGK56" s="389"/>
      <c r="KGL56" s="389"/>
      <c r="KGU56" s="389"/>
      <c r="KGV56" s="389"/>
      <c r="KHE56" s="389"/>
      <c r="KHF56" s="389"/>
      <c r="KHO56" s="389"/>
      <c r="KHP56" s="389"/>
      <c r="KHY56" s="389"/>
      <c r="KHZ56" s="389"/>
      <c r="KII56" s="389"/>
      <c r="KIJ56" s="389"/>
      <c r="KIS56" s="389"/>
      <c r="KIT56" s="389"/>
      <c r="KJC56" s="389"/>
      <c r="KJD56" s="389"/>
      <c r="KJM56" s="389"/>
      <c r="KJN56" s="389"/>
      <c r="KJW56" s="389"/>
      <c r="KJX56" s="389"/>
      <c r="KKG56" s="389"/>
      <c r="KKH56" s="389"/>
      <c r="KKQ56" s="389"/>
      <c r="KKR56" s="389"/>
      <c r="KLA56" s="389"/>
      <c r="KLB56" s="389"/>
      <c r="KLK56" s="389"/>
      <c r="KLL56" s="389"/>
      <c r="KLU56" s="389"/>
      <c r="KLV56" s="389"/>
      <c r="KME56" s="389"/>
      <c r="KMF56" s="389"/>
      <c r="KMO56" s="389"/>
      <c r="KMP56" s="389"/>
      <c r="KMY56" s="389"/>
      <c r="KMZ56" s="389"/>
      <c r="KNI56" s="389"/>
      <c r="KNJ56" s="389"/>
      <c r="KNS56" s="389"/>
      <c r="KNT56" s="389"/>
      <c r="KOC56" s="389"/>
      <c r="KOD56" s="389"/>
      <c r="KOM56" s="389"/>
      <c r="KON56" s="389"/>
      <c r="KOW56" s="389"/>
      <c r="KOX56" s="389"/>
      <c r="KPG56" s="389"/>
      <c r="KPH56" s="389"/>
      <c r="KPQ56" s="389"/>
      <c r="KPR56" s="389"/>
      <c r="KQA56" s="389"/>
      <c r="KQB56" s="389"/>
      <c r="KQK56" s="389"/>
      <c r="KQL56" s="389"/>
      <c r="KQU56" s="389"/>
      <c r="KQV56" s="389"/>
      <c r="KRE56" s="389"/>
      <c r="KRF56" s="389"/>
      <c r="KRO56" s="389"/>
      <c r="KRP56" s="389"/>
      <c r="KRY56" s="389"/>
      <c r="KRZ56" s="389"/>
      <c r="KSI56" s="389"/>
      <c r="KSJ56" s="389"/>
      <c r="KSS56" s="389"/>
      <c r="KST56" s="389"/>
      <c r="KTC56" s="389"/>
      <c r="KTD56" s="389"/>
      <c r="KTM56" s="389"/>
      <c r="KTN56" s="389"/>
      <c r="KTW56" s="389"/>
      <c r="KTX56" s="389"/>
      <c r="KUG56" s="389"/>
      <c r="KUH56" s="389"/>
      <c r="KUQ56" s="389"/>
      <c r="KUR56" s="389"/>
      <c r="KVA56" s="389"/>
      <c r="KVB56" s="389"/>
      <c r="KVK56" s="389"/>
      <c r="KVL56" s="389"/>
      <c r="KVU56" s="389"/>
      <c r="KVV56" s="389"/>
      <c r="KWE56" s="389"/>
      <c r="KWF56" s="389"/>
      <c r="KWO56" s="389"/>
      <c r="KWP56" s="389"/>
      <c r="KWY56" s="389"/>
      <c r="KWZ56" s="389"/>
      <c r="KXI56" s="389"/>
      <c r="KXJ56" s="389"/>
      <c r="KXS56" s="389"/>
      <c r="KXT56" s="389"/>
      <c r="KYC56" s="389"/>
      <c r="KYD56" s="389"/>
      <c r="KYM56" s="389"/>
      <c r="KYN56" s="389"/>
      <c r="KYW56" s="389"/>
      <c r="KYX56" s="389"/>
      <c r="KZG56" s="389"/>
      <c r="KZH56" s="389"/>
      <c r="KZQ56" s="389"/>
      <c r="KZR56" s="389"/>
      <c r="LAA56" s="389"/>
      <c r="LAB56" s="389"/>
      <c r="LAK56" s="389"/>
      <c r="LAL56" s="389"/>
      <c r="LAU56" s="389"/>
      <c r="LAV56" s="389"/>
      <c r="LBE56" s="389"/>
      <c r="LBF56" s="389"/>
      <c r="LBO56" s="389"/>
      <c r="LBP56" s="389"/>
      <c r="LBY56" s="389"/>
      <c r="LBZ56" s="389"/>
      <c r="LCI56" s="389"/>
      <c r="LCJ56" s="389"/>
      <c r="LCS56" s="389"/>
      <c r="LCT56" s="389"/>
      <c r="LDC56" s="389"/>
      <c r="LDD56" s="389"/>
      <c r="LDM56" s="389"/>
      <c r="LDN56" s="389"/>
      <c r="LDW56" s="389"/>
      <c r="LDX56" s="389"/>
      <c r="LEG56" s="389"/>
      <c r="LEH56" s="389"/>
      <c r="LEQ56" s="389"/>
      <c r="LER56" s="389"/>
      <c r="LFA56" s="389"/>
      <c r="LFB56" s="389"/>
      <c r="LFK56" s="389"/>
      <c r="LFL56" s="389"/>
      <c r="LFU56" s="389"/>
      <c r="LFV56" s="389"/>
      <c r="LGE56" s="389"/>
      <c r="LGF56" s="389"/>
      <c r="LGO56" s="389"/>
      <c r="LGP56" s="389"/>
      <c r="LGY56" s="389"/>
      <c r="LGZ56" s="389"/>
      <c r="LHI56" s="389"/>
      <c r="LHJ56" s="389"/>
      <c r="LHS56" s="389"/>
      <c r="LHT56" s="389"/>
      <c r="LIC56" s="389"/>
      <c r="LID56" s="389"/>
      <c r="LIM56" s="389"/>
      <c r="LIN56" s="389"/>
      <c r="LIW56" s="389"/>
      <c r="LIX56" s="389"/>
      <c r="LJG56" s="389"/>
      <c r="LJH56" s="389"/>
      <c r="LJQ56" s="389"/>
      <c r="LJR56" s="389"/>
      <c r="LKA56" s="389"/>
      <c r="LKB56" s="389"/>
      <c r="LKK56" s="389"/>
      <c r="LKL56" s="389"/>
      <c r="LKU56" s="389"/>
      <c r="LKV56" s="389"/>
      <c r="LLE56" s="389"/>
      <c r="LLF56" s="389"/>
      <c r="LLO56" s="389"/>
      <c r="LLP56" s="389"/>
      <c r="LLY56" s="389"/>
      <c r="LLZ56" s="389"/>
      <c r="LMI56" s="389"/>
      <c r="LMJ56" s="389"/>
      <c r="LMS56" s="389"/>
      <c r="LMT56" s="389"/>
      <c r="LNC56" s="389"/>
      <c r="LND56" s="389"/>
      <c r="LNM56" s="389"/>
      <c r="LNN56" s="389"/>
      <c r="LNW56" s="389"/>
      <c r="LNX56" s="389"/>
      <c r="LOG56" s="389"/>
      <c r="LOH56" s="389"/>
      <c r="LOQ56" s="389"/>
      <c r="LOR56" s="389"/>
      <c r="LPA56" s="389"/>
      <c r="LPB56" s="389"/>
      <c r="LPK56" s="389"/>
      <c r="LPL56" s="389"/>
      <c r="LPU56" s="389"/>
      <c r="LPV56" s="389"/>
      <c r="LQE56" s="389"/>
      <c r="LQF56" s="389"/>
      <c r="LQO56" s="389"/>
      <c r="LQP56" s="389"/>
      <c r="LQY56" s="389"/>
      <c r="LQZ56" s="389"/>
      <c r="LRI56" s="389"/>
      <c r="LRJ56" s="389"/>
      <c r="LRS56" s="389"/>
      <c r="LRT56" s="389"/>
      <c r="LSC56" s="389"/>
      <c r="LSD56" s="389"/>
      <c r="LSM56" s="389"/>
      <c r="LSN56" s="389"/>
      <c r="LSW56" s="389"/>
      <c r="LSX56" s="389"/>
      <c r="LTG56" s="389"/>
      <c r="LTH56" s="389"/>
      <c r="LTQ56" s="389"/>
      <c r="LTR56" s="389"/>
      <c r="LUA56" s="389"/>
      <c r="LUB56" s="389"/>
      <c r="LUK56" s="389"/>
      <c r="LUL56" s="389"/>
      <c r="LUU56" s="389"/>
      <c r="LUV56" s="389"/>
      <c r="LVE56" s="389"/>
      <c r="LVF56" s="389"/>
      <c r="LVO56" s="389"/>
      <c r="LVP56" s="389"/>
      <c r="LVY56" s="389"/>
      <c r="LVZ56" s="389"/>
      <c r="LWI56" s="389"/>
      <c r="LWJ56" s="389"/>
      <c r="LWS56" s="389"/>
      <c r="LWT56" s="389"/>
      <c r="LXC56" s="389"/>
      <c r="LXD56" s="389"/>
      <c r="LXM56" s="389"/>
      <c r="LXN56" s="389"/>
      <c r="LXW56" s="389"/>
      <c r="LXX56" s="389"/>
      <c r="LYG56" s="389"/>
      <c r="LYH56" s="389"/>
      <c r="LYQ56" s="389"/>
      <c r="LYR56" s="389"/>
      <c r="LZA56" s="389"/>
      <c r="LZB56" s="389"/>
      <c r="LZK56" s="389"/>
      <c r="LZL56" s="389"/>
      <c r="LZU56" s="389"/>
      <c r="LZV56" s="389"/>
      <c r="MAE56" s="389"/>
      <c r="MAF56" s="389"/>
      <c r="MAO56" s="389"/>
      <c r="MAP56" s="389"/>
      <c r="MAY56" s="389"/>
      <c r="MAZ56" s="389"/>
      <c r="MBI56" s="389"/>
      <c r="MBJ56" s="389"/>
      <c r="MBS56" s="389"/>
      <c r="MBT56" s="389"/>
      <c r="MCC56" s="389"/>
      <c r="MCD56" s="389"/>
      <c r="MCM56" s="389"/>
      <c r="MCN56" s="389"/>
      <c r="MCW56" s="389"/>
      <c r="MCX56" s="389"/>
      <c r="MDG56" s="389"/>
      <c r="MDH56" s="389"/>
      <c r="MDQ56" s="389"/>
      <c r="MDR56" s="389"/>
      <c r="MEA56" s="389"/>
      <c r="MEB56" s="389"/>
      <c r="MEK56" s="389"/>
      <c r="MEL56" s="389"/>
      <c r="MEU56" s="389"/>
      <c r="MEV56" s="389"/>
      <c r="MFE56" s="389"/>
      <c r="MFF56" s="389"/>
      <c r="MFO56" s="389"/>
      <c r="MFP56" s="389"/>
      <c r="MFY56" s="389"/>
      <c r="MFZ56" s="389"/>
      <c r="MGI56" s="389"/>
      <c r="MGJ56" s="389"/>
      <c r="MGS56" s="389"/>
      <c r="MGT56" s="389"/>
      <c r="MHC56" s="389"/>
      <c r="MHD56" s="389"/>
      <c r="MHM56" s="389"/>
      <c r="MHN56" s="389"/>
      <c r="MHW56" s="389"/>
      <c r="MHX56" s="389"/>
      <c r="MIG56" s="389"/>
      <c r="MIH56" s="389"/>
      <c r="MIQ56" s="389"/>
      <c r="MIR56" s="389"/>
      <c r="MJA56" s="389"/>
      <c r="MJB56" s="389"/>
      <c r="MJK56" s="389"/>
      <c r="MJL56" s="389"/>
      <c r="MJU56" s="389"/>
      <c r="MJV56" s="389"/>
      <c r="MKE56" s="389"/>
      <c r="MKF56" s="389"/>
      <c r="MKO56" s="389"/>
      <c r="MKP56" s="389"/>
      <c r="MKY56" s="389"/>
      <c r="MKZ56" s="389"/>
      <c r="MLI56" s="389"/>
      <c r="MLJ56" s="389"/>
      <c r="MLS56" s="389"/>
      <c r="MLT56" s="389"/>
      <c r="MMC56" s="389"/>
      <c r="MMD56" s="389"/>
      <c r="MMM56" s="389"/>
      <c r="MMN56" s="389"/>
      <c r="MMW56" s="389"/>
      <c r="MMX56" s="389"/>
      <c r="MNG56" s="389"/>
      <c r="MNH56" s="389"/>
      <c r="MNQ56" s="389"/>
      <c r="MNR56" s="389"/>
      <c r="MOA56" s="389"/>
      <c r="MOB56" s="389"/>
      <c r="MOK56" s="389"/>
      <c r="MOL56" s="389"/>
      <c r="MOU56" s="389"/>
      <c r="MOV56" s="389"/>
      <c r="MPE56" s="389"/>
      <c r="MPF56" s="389"/>
      <c r="MPO56" s="389"/>
      <c r="MPP56" s="389"/>
      <c r="MPY56" s="389"/>
      <c r="MPZ56" s="389"/>
      <c r="MQI56" s="389"/>
      <c r="MQJ56" s="389"/>
      <c r="MQS56" s="389"/>
      <c r="MQT56" s="389"/>
      <c r="MRC56" s="389"/>
      <c r="MRD56" s="389"/>
      <c r="MRM56" s="389"/>
      <c r="MRN56" s="389"/>
      <c r="MRW56" s="389"/>
      <c r="MRX56" s="389"/>
      <c r="MSG56" s="389"/>
      <c r="MSH56" s="389"/>
      <c r="MSQ56" s="389"/>
      <c r="MSR56" s="389"/>
      <c r="MTA56" s="389"/>
      <c r="MTB56" s="389"/>
      <c r="MTK56" s="389"/>
      <c r="MTL56" s="389"/>
      <c r="MTU56" s="389"/>
      <c r="MTV56" s="389"/>
      <c r="MUE56" s="389"/>
      <c r="MUF56" s="389"/>
      <c r="MUO56" s="389"/>
      <c r="MUP56" s="389"/>
      <c r="MUY56" s="389"/>
      <c r="MUZ56" s="389"/>
      <c r="MVI56" s="389"/>
      <c r="MVJ56" s="389"/>
      <c r="MVS56" s="389"/>
      <c r="MVT56" s="389"/>
      <c r="MWC56" s="389"/>
      <c r="MWD56" s="389"/>
      <c r="MWM56" s="389"/>
      <c r="MWN56" s="389"/>
      <c r="MWW56" s="389"/>
      <c r="MWX56" s="389"/>
      <c r="MXG56" s="389"/>
      <c r="MXH56" s="389"/>
      <c r="MXQ56" s="389"/>
      <c r="MXR56" s="389"/>
      <c r="MYA56" s="389"/>
      <c r="MYB56" s="389"/>
      <c r="MYK56" s="389"/>
      <c r="MYL56" s="389"/>
      <c r="MYU56" s="389"/>
      <c r="MYV56" s="389"/>
      <c r="MZE56" s="389"/>
      <c r="MZF56" s="389"/>
      <c r="MZO56" s="389"/>
      <c r="MZP56" s="389"/>
      <c r="MZY56" s="389"/>
      <c r="MZZ56" s="389"/>
      <c r="NAI56" s="389"/>
      <c r="NAJ56" s="389"/>
      <c r="NAS56" s="389"/>
      <c r="NAT56" s="389"/>
      <c r="NBC56" s="389"/>
      <c r="NBD56" s="389"/>
      <c r="NBM56" s="389"/>
      <c r="NBN56" s="389"/>
      <c r="NBW56" s="389"/>
      <c r="NBX56" s="389"/>
      <c r="NCG56" s="389"/>
      <c r="NCH56" s="389"/>
      <c r="NCQ56" s="389"/>
      <c r="NCR56" s="389"/>
      <c r="NDA56" s="389"/>
      <c r="NDB56" s="389"/>
      <c r="NDK56" s="389"/>
      <c r="NDL56" s="389"/>
      <c r="NDU56" s="389"/>
      <c r="NDV56" s="389"/>
      <c r="NEE56" s="389"/>
      <c r="NEF56" s="389"/>
      <c r="NEO56" s="389"/>
      <c r="NEP56" s="389"/>
      <c r="NEY56" s="389"/>
      <c r="NEZ56" s="389"/>
      <c r="NFI56" s="389"/>
      <c r="NFJ56" s="389"/>
      <c r="NFS56" s="389"/>
      <c r="NFT56" s="389"/>
      <c r="NGC56" s="389"/>
      <c r="NGD56" s="389"/>
      <c r="NGM56" s="389"/>
      <c r="NGN56" s="389"/>
      <c r="NGW56" s="389"/>
      <c r="NGX56" s="389"/>
      <c r="NHG56" s="389"/>
      <c r="NHH56" s="389"/>
      <c r="NHQ56" s="389"/>
      <c r="NHR56" s="389"/>
      <c r="NIA56" s="389"/>
      <c r="NIB56" s="389"/>
      <c r="NIK56" s="389"/>
      <c r="NIL56" s="389"/>
      <c r="NIU56" s="389"/>
      <c r="NIV56" s="389"/>
      <c r="NJE56" s="389"/>
      <c r="NJF56" s="389"/>
      <c r="NJO56" s="389"/>
      <c r="NJP56" s="389"/>
      <c r="NJY56" s="389"/>
      <c r="NJZ56" s="389"/>
      <c r="NKI56" s="389"/>
      <c r="NKJ56" s="389"/>
      <c r="NKS56" s="389"/>
      <c r="NKT56" s="389"/>
      <c r="NLC56" s="389"/>
      <c r="NLD56" s="389"/>
      <c r="NLM56" s="389"/>
      <c r="NLN56" s="389"/>
      <c r="NLW56" s="389"/>
      <c r="NLX56" s="389"/>
      <c r="NMG56" s="389"/>
      <c r="NMH56" s="389"/>
      <c r="NMQ56" s="389"/>
      <c r="NMR56" s="389"/>
      <c r="NNA56" s="389"/>
      <c r="NNB56" s="389"/>
      <c r="NNK56" s="389"/>
      <c r="NNL56" s="389"/>
      <c r="NNU56" s="389"/>
      <c r="NNV56" s="389"/>
      <c r="NOE56" s="389"/>
      <c r="NOF56" s="389"/>
      <c r="NOO56" s="389"/>
      <c r="NOP56" s="389"/>
      <c r="NOY56" s="389"/>
      <c r="NOZ56" s="389"/>
      <c r="NPI56" s="389"/>
      <c r="NPJ56" s="389"/>
      <c r="NPS56" s="389"/>
      <c r="NPT56" s="389"/>
      <c r="NQC56" s="389"/>
      <c r="NQD56" s="389"/>
      <c r="NQM56" s="389"/>
      <c r="NQN56" s="389"/>
      <c r="NQW56" s="389"/>
      <c r="NQX56" s="389"/>
      <c r="NRG56" s="389"/>
      <c r="NRH56" s="389"/>
      <c r="NRQ56" s="389"/>
      <c r="NRR56" s="389"/>
      <c r="NSA56" s="389"/>
      <c r="NSB56" s="389"/>
      <c r="NSK56" s="389"/>
      <c r="NSL56" s="389"/>
      <c r="NSU56" s="389"/>
      <c r="NSV56" s="389"/>
      <c r="NTE56" s="389"/>
      <c r="NTF56" s="389"/>
      <c r="NTO56" s="389"/>
      <c r="NTP56" s="389"/>
      <c r="NTY56" s="389"/>
      <c r="NTZ56" s="389"/>
      <c r="NUI56" s="389"/>
      <c r="NUJ56" s="389"/>
      <c r="NUS56" s="389"/>
      <c r="NUT56" s="389"/>
      <c r="NVC56" s="389"/>
      <c r="NVD56" s="389"/>
      <c r="NVM56" s="389"/>
      <c r="NVN56" s="389"/>
      <c r="NVW56" s="389"/>
      <c r="NVX56" s="389"/>
      <c r="NWG56" s="389"/>
      <c r="NWH56" s="389"/>
      <c r="NWQ56" s="389"/>
      <c r="NWR56" s="389"/>
      <c r="NXA56" s="389"/>
      <c r="NXB56" s="389"/>
      <c r="NXK56" s="389"/>
      <c r="NXL56" s="389"/>
      <c r="NXU56" s="389"/>
      <c r="NXV56" s="389"/>
      <c r="NYE56" s="389"/>
      <c r="NYF56" s="389"/>
      <c r="NYO56" s="389"/>
      <c r="NYP56" s="389"/>
      <c r="NYY56" s="389"/>
      <c r="NYZ56" s="389"/>
      <c r="NZI56" s="389"/>
      <c r="NZJ56" s="389"/>
      <c r="NZS56" s="389"/>
      <c r="NZT56" s="389"/>
      <c r="OAC56" s="389"/>
      <c r="OAD56" s="389"/>
      <c r="OAM56" s="389"/>
      <c r="OAN56" s="389"/>
      <c r="OAW56" s="389"/>
      <c r="OAX56" s="389"/>
      <c r="OBG56" s="389"/>
      <c r="OBH56" s="389"/>
      <c r="OBQ56" s="389"/>
      <c r="OBR56" s="389"/>
      <c r="OCA56" s="389"/>
      <c r="OCB56" s="389"/>
      <c r="OCK56" s="389"/>
      <c r="OCL56" s="389"/>
      <c r="OCU56" s="389"/>
      <c r="OCV56" s="389"/>
      <c r="ODE56" s="389"/>
      <c r="ODF56" s="389"/>
      <c r="ODO56" s="389"/>
      <c r="ODP56" s="389"/>
      <c r="ODY56" s="389"/>
      <c r="ODZ56" s="389"/>
      <c r="OEI56" s="389"/>
      <c r="OEJ56" s="389"/>
      <c r="OES56" s="389"/>
      <c r="OET56" s="389"/>
      <c r="OFC56" s="389"/>
      <c r="OFD56" s="389"/>
      <c r="OFM56" s="389"/>
      <c r="OFN56" s="389"/>
      <c r="OFW56" s="389"/>
      <c r="OFX56" s="389"/>
      <c r="OGG56" s="389"/>
      <c r="OGH56" s="389"/>
      <c r="OGQ56" s="389"/>
      <c r="OGR56" s="389"/>
      <c r="OHA56" s="389"/>
      <c r="OHB56" s="389"/>
      <c r="OHK56" s="389"/>
      <c r="OHL56" s="389"/>
      <c r="OHU56" s="389"/>
      <c r="OHV56" s="389"/>
      <c r="OIE56" s="389"/>
      <c r="OIF56" s="389"/>
      <c r="OIO56" s="389"/>
      <c r="OIP56" s="389"/>
      <c r="OIY56" s="389"/>
      <c r="OIZ56" s="389"/>
      <c r="OJI56" s="389"/>
      <c r="OJJ56" s="389"/>
      <c r="OJS56" s="389"/>
      <c r="OJT56" s="389"/>
      <c r="OKC56" s="389"/>
      <c r="OKD56" s="389"/>
      <c r="OKM56" s="389"/>
      <c r="OKN56" s="389"/>
      <c r="OKW56" s="389"/>
      <c r="OKX56" s="389"/>
      <c r="OLG56" s="389"/>
      <c r="OLH56" s="389"/>
      <c r="OLQ56" s="389"/>
      <c r="OLR56" s="389"/>
      <c r="OMA56" s="389"/>
      <c r="OMB56" s="389"/>
      <c r="OMK56" s="389"/>
      <c r="OML56" s="389"/>
      <c r="OMU56" s="389"/>
      <c r="OMV56" s="389"/>
      <c r="ONE56" s="389"/>
      <c r="ONF56" s="389"/>
      <c r="ONO56" s="389"/>
      <c r="ONP56" s="389"/>
      <c r="ONY56" s="389"/>
      <c r="ONZ56" s="389"/>
      <c r="OOI56" s="389"/>
      <c r="OOJ56" s="389"/>
      <c r="OOS56" s="389"/>
      <c r="OOT56" s="389"/>
      <c r="OPC56" s="389"/>
      <c r="OPD56" s="389"/>
      <c r="OPM56" s="389"/>
      <c r="OPN56" s="389"/>
      <c r="OPW56" s="389"/>
      <c r="OPX56" s="389"/>
      <c r="OQG56" s="389"/>
      <c r="OQH56" s="389"/>
      <c r="OQQ56" s="389"/>
      <c r="OQR56" s="389"/>
      <c r="ORA56" s="389"/>
      <c r="ORB56" s="389"/>
      <c r="ORK56" s="389"/>
      <c r="ORL56" s="389"/>
      <c r="ORU56" s="389"/>
      <c r="ORV56" s="389"/>
      <c r="OSE56" s="389"/>
      <c r="OSF56" s="389"/>
      <c r="OSO56" s="389"/>
      <c r="OSP56" s="389"/>
      <c r="OSY56" s="389"/>
      <c r="OSZ56" s="389"/>
      <c r="OTI56" s="389"/>
      <c r="OTJ56" s="389"/>
      <c r="OTS56" s="389"/>
      <c r="OTT56" s="389"/>
      <c r="OUC56" s="389"/>
      <c r="OUD56" s="389"/>
      <c r="OUM56" s="389"/>
      <c r="OUN56" s="389"/>
      <c r="OUW56" s="389"/>
      <c r="OUX56" s="389"/>
      <c r="OVG56" s="389"/>
      <c r="OVH56" s="389"/>
      <c r="OVQ56" s="389"/>
      <c r="OVR56" s="389"/>
      <c r="OWA56" s="389"/>
      <c r="OWB56" s="389"/>
      <c r="OWK56" s="389"/>
      <c r="OWL56" s="389"/>
      <c r="OWU56" s="389"/>
      <c r="OWV56" s="389"/>
      <c r="OXE56" s="389"/>
      <c r="OXF56" s="389"/>
      <c r="OXO56" s="389"/>
      <c r="OXP56" s="389"/>
      <c r="OXY56" s="389"/>
      <c r="OXZ56" s="389"/>
      <c r="OYI56" s="389"/>
      <c r="OYJ56" s="389"/>
      <c r="OYS56" s="389"/>
      <c r="OYT56" s="389"/>
      <c r="OZC56" s="389"/>
      <c r="OZD56" s="389"/>
      <c r="OZM56" s="389"/>
      <c r="OZN56" s="389"/>
      <c r="OZW56" s="389"/>
      <c r="OZX56" s="389"/>
      <c r="PAG56" s="389"/>
      <c r="PAH56" s="389"/>
      <c r="PAQ56" s="389"/>
      <c r="PAR56" s="389"/>
      <c r="PBA56" s="389"/>
      <c r="PBB56" s="389"/>
      <c r="PBK56" s="389"/>
      <c r="PBL56" s="389"/>
      <c r="PBU56" s="389"/>
      <c r="PBV56" s="389"/>
      <c r="PCE56" s="389"/>
      <c r="PCF56" s="389"/>
      <c r="PCO56" s="389"/>
      <c r="PCP56" s="389"/>
      <c r="PCY56" s="389"/>
      <c r="PCZ56" s="389"/>
      <c r="PDI56" s="389"/>
      <c r="PDJ56" s="389"/>
      <c r="PDS56" s="389"/>
      <c r="PDT56" s="389"/>
      <c r="PEC56" s="389"/>
      <c r="PED56" s="389"/>
      <c r="PEM56" s="389"/>
      <c r="PEN56" s="389"/>
      <c r="PEW56" s="389"/>
      <c r="PEX56" s="389"/>
      <c r="PFG56" s="389"/>
      <c r="PFH56" s="389"/>
      <c r="PFQ56" s="389"/>
      <c r="PFR56" s="389"/>
      <c r="PGA56" s="389"/>
      <c r="PGB56" s="389"/>
      <c r="PGK56" s="389"/>
      <c r="PGL56" s="389"/>
      <c r="PGU56" s="389"/>
      <c r="PGV56" s="389"/>
      <c r="PHE56" s="389"/>
      <c r="PHF56" s="389"/>
      <c r="PHO56" s="389"/>
      <c r="PHP56" s="389"/>
      <c r="PHY56" s="389"/>
      <c r="PHZ56" s="389"/>
      <c r="PII56" s="389"/>
      <c r="PIJ56" s="389"/>
      <c r="PIS56" s="389"/>
      <c r="PIT56" s="389"/>
      <c r="PJC56" s="389"/>
      <c r="PJD56" s="389"/>
      <c r="PJM56" s="389"/>
      <c r="PJN56" s="389"/>
      <c r="PJW56" s="389"/>
      <c r="PJX56" s="389"/>
      <c r="PKG56" s="389"/>
      <c r="PKH56" s="389"/>
      <c r="PKQ56" s="389"/>
      <c r="PKR56" s="389"/>
      <c r="PLA56" s="389"/>
      <c r="PLB56" s="389"/>
      <c r="PLK56" s="389"/>
      <c r="PLL56" s="389"/>
      <c r="PLU56" s="389"/>
      <c r="PLV56" s="389"/>
      <c r="PME56" s="389"/>
      <c r="PMF56" s="389"/>
      <c r="PMO56" s="389"/>
      <c r="PMP56" s="389"/>
      <c r="PMY56" s="389"/>
      <c r="PMZ56" s="389"/>
      <c r="PNI56" s="389"/>
      <c r="PNJ56" s="389"/>
      <c r="PNS56" s="389"/>
      <c r="PNT56" s="389"/>
      <c r="POC56" s="389"/>
      <c r="POD56" s="389"/>
      <c r="POM56" s="389"/>
      <c r="PON56" s="389"/>
      <c r="POW56" s="389"/>
      <c r="POX56" s="389"/>
      <c r="PPG56" s="389"/>
      <c r="PPH56" s="389"/>
      <c r="PPQ56" s="389"/>
      <c r="PPR56" s="389"/>
      <c r="PQA56" s="389"/>
      <c r="PQB56" s="389"/>
      <c r="PQK56" s="389"/>
      <c r="PQL56" s="389"/>
      <c r="PQU56" s="389"/>
      <c r="PQV56" s="389"/>
      <c r="PRE56" s="389"/>
      <c r="PRF56" s="389"/>
      <c r="PRO56" s="389"/>
      <c r="PRP56" s="389"/>
      <c r="PRY56" s="389"/>
      <c r="PRZ56" s="389"/>
      <c r="PSI56" s="389"/>
      <c r="PSJ56" s="389"/>
      <c r="PSS56" s="389"/>
      <c r="PST56" s="389"/>
      <c r="PTC56" s="389"/>
      <c r="PTD56" s="389"/>
      <c r="PTM56" s="389"/>
      <c r="PTN56" s="389"/>
      <c r="PTW56" s="389"/>
      <c r="PTX56" s="389"/>
      <c r="PUG56" s="389"/>
      <c r="PUH56" s="389"/>
      <c r="PUQ56" s="389"/>
      <c r="PUR56" s="389"/>
      <c r="PVA56" s="389"/>
      <c r="PVB56" s="389"/>
      <c r="PVK56" s="389"/>
      <c r="PVL56" s="389"/>
      <c r="PVU56" s="389"/>
      <c r="PVV56" s="389"/>
      <c r="PWE56" s="389"/>
      <c r="PWF56" s="389"/>
      <c r="PWO56" s="389"/>
      <c r="PWP56" s="389"/>
      <c r="PWY56" s="389"/>
      <c r="PWZ56" s="389"/>
      <c r="PXI56" s="389"/>
      <c r="PXJ56" s="389"/>
      <c r="PXS56" s="389"/>
      <c r="PXT56" s="389"/>
      <c r="PYC56" s="389"/>
      <c r="PYD56" s="389"/>
      <c r="PYM56" s="389"/>
      <c r="PYN56" s="389"/>
      <c r="PYW56" s="389"/>
      <c r="PYX56" s="389"/>
      <c r="PZG56" s="389"/>
      <c r="PZH56" s="389"/>
      <c r="PZQ56" s="389"/>
      <c r="PZR56" s="389"/>
      <c r="QAA56" s="389"/>
      <c r="QAB56" s="389"/>
      <c r="QAK56" s="389"/>
      <c r="QAL56" s="389"/>
      <c r="QAU56" s="389"/>
      <c r="QAV56" s="389"/>
      <c r="QBE56" s="389"/>
      <c r="QBF56" s="389"/>
      <c r="QBO56" s="389"/>
      <c r="QBP56" s="389"/>
      <c r="QBY56" s="389"/>
      <c r="QBZ56" s="389"/>
      <c r="QCI56" s="389"/>
      <c r="QCJ56" s="389"/>
      <c r="QCS56" s="389"/>
      <c r="QCT56" s="389"/>
      <c r="QDC56" s="389"/>
      <c r="QDD56" s="389"/>
      <c r="QDM56" s="389"/>
      <c r="QDN56" s="389"/>
      <c r="QDW56" s="389"/>
      <c r="QDX56" s="389"/>
      <c r="QEG56" s="389"/>
      <c r="QEH56" s="389"/>
      <c r="QEQ56" s="389"/>
      <c r="QER56" s="389"/>
      <c r="QFA56" s="389"/>
      <c r="QFB56" s="389"/>
      <c r="QFK56" s="389"/>
      <c r="QFL56" s="389"/>
      <c r="QFU56" s="389"/>
      <c r="QFV56" s="389"/>
      <c r="QGE56" s="389"/>
      <c r="QGF56" s="389"/>
      <c r="QGO56" s="389"/>
      <c r="QGP56" s="389"/>
      <c r="QGY56" s="389"/>
      <c r="QGZ56" s="389"/>
      <c r="QHI56" s="389"/>
      <c r="QHJ56" s="389"/>
      <c r="QHS56" s="389"/>
      <c r="QHT56" s="389"/>
      <c r="QIC56" s="389"/>
      <c r="QID56" s="389"/>
      <c r="QIM56" s="389"/>
      <c r="QIN56" s="389"/>
      <c r="QIW56" s="389"/>
      <c r="QIX56" s="389"/>
      <c r="QJG56" s="389"/>
      <c r="QJH56" s="389"/>
      <c r="QJQ56" s="389"/>
      <c r="QJR56" s="389"/>
      <c r="QKA56" s="389"/>
      <c r="QKB56" s="389"/>
      <c r="QKK56" s="389"/>
      <c r="QKL56" s="389"/>
      <c r="QKU56" s="389"/>
      <c r="QKV56" s="389"/>
      <c r="QLE56" s="389"/>
      <c r="QLF56" s="389"/>
      <c r="QLO56" s="389"/>
      <c r="QLP56" s="389"/>
      <c r="QLY56" s="389"/>
      <c r="QLZ56" s="389"/>
      <c r="QMI56" s="389"/>
      <c r="QMJ56" s="389"/>
      <c r="QMS56" s="389"/>
      <c r="QMT56" s="389"/>
      <c r="QNC56" s="389"/>
      <c r="QND56" s="389"/>
      <c r="QNM56" s="389"/>
      <c r="QNN56" s="389"/>
      <c r="QNW56" s="389"/>
      <c r="QNX56" s="389"/>
      <c r="QOG56" s="389"/>
      <c r="QOH56" s="389"/>
      <c r="QOQ56" s="389"/>
      <c r="QOR56" s="389"/>
      <c r="QPA56" s="389"/>
      <c r="QPB56" s="389"/>
      <c r="QPK56" s="389"/>
      <c r="QPL56" s="389"/>
      <c r="QPU56" s="389"/>
      <c r="QPV56" s="389"/>
      <c r="QQE56" s="389"/>
      <c r="QQF56" s="389"/>
      <c r="QQO56" s="389"/>
      <c r="QQP56" s="389"/>
      <c r="QQY56" s="389"/>
      <c r="QQZ56" s="389"/>
      <c r="QRI56" s="389"/>
      <c r="QRJ56" s="389"/>
      <c r="QRS56" s="389"/>
      <c r="QRT56" s="389"/>
      <c r="QSC56" s="389"/>
      <c r="QSD56" s="389"/>
      <c r="QSM56" s="389"/>
      <c r="QSN56" s="389"/>
      <c r="QSW56" s="389"/>
      <c r="QSX56" s="389"/>
      <c r="QTG56" s="389"/>
      <c r="QTH56" s="389"/>
      <c r="QTQ56" s="389"/>
      <c r="QTR56" s="389"/>
      <c r="QUA56" s="389"/>
      <c r="QUB56" s="389"/>
      <c r="QUK56" s="389"/>
      <c r="QUL56" s="389"/>
      <c r="QUU56" s="389"/>
      <c r="QUV56" s="389"/>
      <c r="QVE56" s="389"/>
      <c r="QVF56" s="389"/>
      <c r="QVO56" s="389"/>
      <c r="QVP56" s="389"/>
      <c r="QVY56" s="389"/>
      <c r="QVZ56" s="389"/>
      <c r="QWI56" s="389"/>
      <c r="QWJ56" s="389"/>
      <c r="QWS56" s="389"/>
      <c r="QWT56" s="389"/>
      <c r="QXC56" s="389"/>
      <c r="QXD56" s="389"/>
      <c r="QXM56" s="389"/>
      <c r="QXN56" s="389"/>
      <c r="QXW56" s="389"/>
      <c r="QXX56" s="389"/>
      <c r="QYG56" s="389"/>
      <c r="QYH56" s="389"/>
      <c r="QYQ56" s="389"/>
      <c r="QYR56" s="389"/>
      <c r="QZA56" s="389"/>
      <c r="QZB56" s="389"/>
      <c r="QZK56" s="389"/>
      <c r="QZL56" s="389"/>
      <c r="QZU56" s="389"/>
      <c r="QZV56" s="389"/>
      <c r="RAE56" s="389"/>
      <c r="RAF56" s="389"/>
      <c r="RAO56" s="389"/>
      <c r="RAP56" s="389"/>
      <c r="RAY56" s="389"/>
      <c r="RAZ56" s="389"/>
      <c r="RBI56" s="389"/>
      <c r="RBJ56" s="389"/>
      <c r="RBS56" s="389"/>
      <c r="RBT56" s="389"/>
      <c r="RCC56" s="389"/>
      <c r="RCD56" s="389"/>
      <c r="RCM56" s="389"/>
      <c r="RCN56" s="389"/>
      <c r="RCW56" s="389"/>
      <c r="RCX56" s="389"/>
      <c r="RDG56" s="389"/>
      <c r="RDH56" s="389"/>
      <c r="RDQ56" s="389"/>
      <c r="RDR56" s="389"/>
      <c r="REA56" s="389"/>
      <c r="REB56" s="389"/>
      <c r="REK56" s="389"/>
      <c r="REL56" s="389"/>
      <c r="REU56" s="389"/>
      <c r="REV56" s="389"/>
      <c r="RFE56" s="389"/>
      <c r="RFF56" s="389"/>
      <c r="RFO56" s="389"/>
      <c r="RFP56" s="389"/>
      <c r="RFY56" s="389"/>
      <c r="RFZ56" s="389"/>
      <c r="RGI56" s="389"/>
      <c r="RGJ56" s="389"/>
      <c r="RGS56" s="389"/>
      <c r="RGT56" s="389"/>
      <c r="RHC56" s="389"/>
      <c r="RHD56" s="389"/>
      <c r="RHM56" s="389"/>
      <c r="RHN56" s="389"/>
      <c r="RHW56" s="389"/>
      <c r="RHX56" s="389"/>
      <c r="RIG56" s="389"/>
      <c r="RIH56" s="389"/>
      <c r="RIQ56" s="389"/>
      <c r="RIR56" s="389"/>
      <c r="RJA56" s="389"/>
      <c r="RJB56" s="389"/>
      <c r="RJK56" s="389"/>
      <c r="RJL56" s="389"/>
      <c r="RJU56" s="389"/>
      <c r="RJV56" s="389"/>
      <c r="RKE56" s="389"/>
      <c r="RKF56" s="389"/>
      <c r="RKO56" s="389"/>
      <c r="RKP56" s="389"/>
      <c r="RKY56" s="389"/>
      <c r="RKZ56" s="389"/>
      <c r="RLI56" s="389"/>
      <c r="RLJ56" s="389"/>
      <c r="RLS56" s="389"/>
      <c r="RLT56" s="389"/>
      <c r="RMC56" s="389"/>
      <c r="RMD56" s="389"/>
      <c r="RMM56" s="389"/>
      <c r="RMN56" s="389"/>
      <c r="RMW56" s="389"/>
      <c r="RMX56" s="389"/>
      <c r="RNG56" s="389"/>
      <c r="RNH56" s="389"/>
      <c r="RNQ56" s="389"/>
      <c r="RNR56" s="389"/>
      <c r="ROA56" s="389"/>
      <c r="ROB56" s="389"/>
      <c r="ROK56" s="389"/>
      <c r="ROL56" s="389"/>
      <c r="ROU56" s="389"/>
      <c r="ROV56" s="389"/>
      <c r="RPE56" s="389"/>
      <c r="RPF56" s="389"/>
      <c r="RPO56" s="389"/>
      <c r="RPP56" s="389"/>
      <c r="RPY56" s="389"/>
      <c r="RPZ56" s="389"/>
      <c r="RQI56" s="389"/>
      <c r="RQJ56" s="389"/>
      <c r="RQS56" s="389"/>
      <c r="RQT56" s="389"/>
      <c r="RRC56" s="389"/>
      <c r="RRD56" s="389"/>
      <c r="RRM56" s="389"/>
      <c r="RRN56" s="389"/>
      <c r="RRW56" s="389"/>
      <c r="RRX56" s="389"/>
      <c r="RSG56" s="389"/>
      <c r="RSH56" s="389"/>
      <c r="RSQ56" s="389"/>
      <c r="RSR56" s="389"/>
      <c r="RTA56" s="389"/>
      <c r="RTB56" s="389"/>
      <c r="RTK56" s="389"/>
      <c r="RTL56" s="389"/>
      <c r="RTU56" s="389"/>
      <c r="RTV56" s="389"/>
      <c r="RUE56" s="389"/>
      <c r="RUF56" s="389"/>
      <c r="RUO56" s="389"/>
      <c r="RUP56" s="389"/>
      <c r="RUY56" s="389"/>
      <c r="RUZ56" s="389"/>
      <c r="RVI56" s="389"/>
      <c r="RVJ56" s="389"/>
      <c r="RVS56" s="389"/>
      <c r="RVT56" s="389"/>
      <c r="RWC56" s="389"/>
      <c r="RWD56" s="389"/>
      <c r="RWM56" s="389"/>
      <c r="RWN56" s="389"/>
      <c r="RWW56" s="389"/>
      <c r="RWX56" s="389"/>
      <c r="RXG56" s="389"/>
      <c r="RXH56" s="389"/>
      <c r="RXQ56" s="389"/>
      <c r="RXR56" s="389"/>
      <c r="RYA56" s="389"/>
      <c r="RYB56" s="389"/>
      <c r="RYK56" s="389"/>
      <c r="RYL56" s="389"/>
      <c r="RYU56" s="389"/>
      <c r="RYV56" s="389"/>
      <c r="RZE56" s="389"/>
      <c r="RZF56" s="389"/>
      <c r="RZO56" s="389"/>
      <c r="RZP56" s="389"/>
      <c r="RZY56" s="389"/>
      <c r="RZZ56" s="389"/>
      <c r="SAI56" s="389"/>
      <c r="SAJ56" s="389"/>
      <c r="SAS56" s="389"/>
      <c r="SAT56" s="389"/>
      <c r="SBC56" s="389"/>
      <c r="SBD56" s="389"/>
      <c r="SBM56" s="389"/>
      <c r="SBN56" s="389"/>
      <c r="SBW56" s="389"/>
      <c r="SBX56" s="389"/>
      <c r="SCG56" s="389"/>
      <c r="SCH56" s="389"/>
      <c r="SCQ56" s="389"/>
      <c r="SCR56" s="389"/>
      <c r="SDA56" s="389"/>
      <c r="SDB56" s="389"/>
      <c r="SDK56" s="389"/>
      <c r="SDL56" s="389"/>
      <c r="SDU56" s="389"/>
      <c r="SDV56" s="389"/>
      <c r="SEE56" s="389"/>
      <c r="SEF56" s="389"/>
      <c r="SEO56" s="389"/>
      <c r="SEP56" s="389"/>
      <c r="SEY56" s="389"/>
      <c r="SEZ56" s="389"/>
      <c r="SFI56" s="389"/>
      <c r="SFJ56" s="389"/>
      <c r="SFS56" s="389"/>
      <c r="SFT56" s="389"/>
      <c r="SGC56" s="389"/>
      <c r="SGD56" s="389"/>
      <c r="SGM56" s="389"/>
      <c r="SGN56" s="389"/>
      <c r="SGW56" s="389"/>
      <c r="SGX56" s="389"/>
      <c r="SHG56" s="389"/>
      <c r="SHH56" s="389"/>
      <c r="SHQ56" s="389"/>
      <c r="SHR56" s="389"/>
      <c r="SIA56" s="389"/>
      <c r="SIB56" s="389"/>
      <c r="SIK56" s="389"/>
      <c r="SIL56" s="389"/>
      <c r="SIU56" s="389"/>
      <c r="SIV56" s="389"/>
      <c r="SJE56" s="389"/>
      <c r="SJF56" s="389"/>
      <c r="SJO56" s="389"/>
      <c r="SJP56" s="389"/>
      <c r="SJY56" s="389"/>
      <c r="SJZ56" s="389"/>
      <c r="SKI56" s="389"/>
      <c r="SKJ56" s="389"/>
      <c r="SKS56" s="389"/>
      <c r="SKT56" s="389"/>
      <c r="SLC56" s="389"/>
      <c r="SLD56" s="389"/>
      <c r="SLM56" s="389"/>
      <c r="SLN56" s="389"/>
      <c r="SLW56" s="389"/>
      <c r="SLX56" s="389"/>
      <c r="SMG56" s="389"/>
      <c r="SMH56" s="389"/>
      <c r="SMQ56" s="389"/>
      <c r="SMR56" s="389"/>
      <c r="SNA56" s="389"/>
      <c r="SNB56" s="389"/>
      <c r="SNK56" s="389"/>
      <c r="SNL56" s="389"/>
      <c r="SNU56" s="389"/>
      <c r="SNV56" s="389"/>
      <c r="SOE56" s="389"/>
      <c r="SOF56" s="389"/>
      <c r="SOO56" s="389"/>
      <c r="SOP56" s="389"/>
      <c r="SOY56" s="389"/>
      <c r="SOZ56" s="389"/>
      <c r="SPI56" s="389"/>
      <c r="SPJ56" s="389"/>
      <c r="SPS56" s="389"/>
      <c r="SPT56" s="389"/>
      <c r="SQC56" s="389"/>
      <c r="SQD56" s="389"/>
      <c r="SQM56" s="389"/>
      <c r="SQN56" s="389"/>
      <c r="SQW56" s="389"/>
      <c r="SQX56" s="389"/>
      <c r="SRG56" s="389"/>
      <c r="SRH56" s="389"/>
      <c r="SRQ56" s="389"/>
      <c r="SRR56" s="389"/>
      <c r="SSA56" s="389"/>
      <c r="SSB56" s="389"/>
      <c r="SSK56" s="389"/>
      <c r="SSL56" s="389"/>
      <c r="SSU56" s="389"/>
      <c r="SSV56" s="389"/>
      <c r="STE56" s="389"/>
      <c r="STF56" s="389"/>
      <c r="STO56" s="389"/>
      <c r="STP56" s="389"/>
      <c r="STY56" s="389"/>
      <c r="STZ56" s="389"/>
      <c r="SUI56" s="389"/>
      <c r="SUJ56" s="389"/>
      <c r="SUS56" s="389"/>
      <c r="SUT56" s="389"/>
      <c r="SVC56" s="389"/>
      <c r="SVD56" s="389"/>
      <c r="SVM56" s="389"/>
      <c r="SVN56" s="389"/>
      <c r="SVW56" s="389"/>
      <c r="SVX56" s="389"/>
      <c r="SWG56" s="389"/>
      <c r="SWH56" s="389"/>
      <c r="SWQ56" s="389"/>
      <c r="SWR56" s="389"/>
      <c r="SXA56" s="389"/>
      <c r="SXB56" s="389"/>
      <c r="SXK56" s="389"/>
      <c r="SXL56" s="389"/>
      <c r="SXU56" s="389"/>
      <c r="SXV56" s="389"/>
      <c r="SYE56" s="389"/>
      <c r="SYF56" s="389"/>
      <c r="SYO56" s="389"/>
      <c r="SYP56" s="389"/>
      <c r="SYY56" s="389"/>
      <c r="SYZ56" s="389"/>
      <c r="SZI56" s="389"/>
      <c r="SZJ56" s="389"/>
      <c r="SZS56" s="389"/>
      <c r="SZT56" s="389"/>
      <c r="TAC56" s="389"/>
      <c r="TAD56" s="389"/>
      <c r="TAM56" s="389"/>
      <c r="TAN56" s="389"/>
      <c r="TAW56" s="389"/>
      <c r="TAX56" s="389"/>
      <c r="TBG56" s="389"/>
      <c r="TBH56" s="389"/>
      <c r="TBQ56" s="389"/>
      <c r="TBR56" s="389"/>
      <c r="TCA56" s="389"/>
      <c r="TCB56" s="389"/>
      <c r="TCK56" s="389"/>
      <c r="TCL56" s="389"/>
      <c r="TCU56" s="389"/>
      <c r="TCV56" s="389"/>
      <c r="TDE56" s="389"/>
      <c r="TDF56" s="389"/>
      <c r="TDO56" s="389"/>
      <c r="TDP56" s="389"/>
      <c r="TDY56" s="389"/>
      <c r="TDZ56" s="389"/>
      <c r="TEI56" s="389"/>
      <c r="TEJ56" s="389"/>
      <c r="TES56" s="389"/>
      <c r="TET56" s="389"/>
      <c r="TFC56" s="389"/>
      <c r="TFD56" s="389"/>
      <c r="TFM56" s="389"/>
      <c r="TFN56" s="389"/>
      <c r="TFW56" s="389"/>
      <c r="TFX56" s="389"/>
      <c r="TGG56" s="389"/>
      <c r="TGH56" s="389"/>
      <c r="TGQ56" s="389"/>
      <c r="TGR56" s="389"/>
      <c r="THA56" s="389"/>
      <c r="THB56" s="389"/>
      <c r="THK56" s="389"/>
      <c r="THL56" s="389"/>
      <c r="THU56" s="389"/>
      <c r="THV56" s="389"/>
      <c r="TIE56" s="389"/>
      <c r="TIF56" s="389"/>
      <c r="TIO56" s="389"/>
      <c r="TIP56" s="389"/>
      <c r="TIY56" s="389"/>
      <c r="TIZ56" s="389"/>
      <c r="TJI56" s="389"/>
      <c r="TJJ56" s="389"/>
      <c r="TJS56" s="389"/>
      <c r="TJT56" s="389"/>
      <c r="TKC56" s="389"/>
      <c r="TKD56" s="389"/>
      <c r="TKM56" s="389"/>
      <c r="TKN56" s="389"/>
      <c r="TKW56" s="389"/>
      <c r="TKX56" s="389"/>
      <c r="TLG56" s="389"/>
      <c r="TLH56" s="389"/>
      <c r="TLQ56" s="389"/>
      <c r="TLR56" s="389"/>
      <c r="TMA56" s="389"/>
      <c r="TMB56" s="389"/>
      <c r="TMK56" s="389"/>
      <c r="TML56" s="389"/>
      <c r="TMU56" s="389"/>
      <c r="TMV56" s="389"/>
      <c r="TNE56" s="389"/>
      <c r="TNF56" s="389"/>
      <c r="TNO56" s="389"/>
      <c r="TNP56" s="389"/>
      <c r="TNY56" s="389"/>
      <c r="TNZ56" s="389"/>
      <c r="TOI56" s="389"/>
      <c r="TOJ56" s="389"/>
      <c r="TOS56" s="389"/>
      <c r="TOT56" s="389"/>
      <c r="TPC56" s="389"/>
      <c r="TPD56" s="389"/>
      <c r="TPM56" s="389"/>
      <c r="TPN56" s="389"/>
      <c r="TPW56" s="389"/>
      <c r="TPX56" s="389"/>
      <c r="TQG56" s="389"/>
      <c r="TQH56" s="389"/>
      <c r="TQQ56" s="389"/>
      <c r="TQR56" s="389"/>
      <c r="TRA56" s="389"/>
      <c r="TRB56" s="389"/>
      <c r="TRK56" s="389"/>
      <c r="TRL56" s="389"/>
      <c r="TRU56" s="389"/>
      <c r="TRV56" s="389"/>
      <c r="TSE56" s="389"/>
      <c r="TSF56" s="389"/>
      <c r="TSO56" s="389"/>
      <c r="TSP56" s="389"/>
      <c r="TSY56" s="389"/>
      <c r="TSZ56" s="389"/>
      <c r="TTI56" s="389"/>
      <c r="TTJ56" s="389"/>
      <c r="TTS56" s="389"/>
      <c r="TTT56" s="389"/>
      <c r="TUC56" s="389"/>
      <c r="TUD56" s="389"/>
      <c r="TUM56" s="389"/>
      <c r="TUN56" s="389"/>
      <c r="TUW56" s="389"/>
      <c r="TUX56" s="389"/>
      <c r="TVG56" s="389"/>
      <c r="TVH56" s="389"/>
      <c r="TVQ56" s="389"/>
      <c r="TVR56" s="389"/>
      <c r="TWA56" s="389"/>
      <c r="TWB56" s="389"/>
      <c r="TWK56" s="389"/>
      <c r="TWL56" s="389"/>
      <c r="TWU56" s="389"/>
      <c r="TWV56" s="389"/>
      <c r="TXE56" s="389"/>
      <c r="TXF56" s="389"/>
      <c r="TXO56" s="389"/>
      <c r="TXP56" s="389"/>
      <c r="TXY56" s="389"/>
      <c r="TXZ56" s="389"/>
      <c r="TYI56" s="389"/>
      <c r="TYJ56" s="389"/>
      <c r="TYS56" s="389"/>
      <c r="TYT56" s="389"/>
      <c r="TZC56" s="389"/>
      <c r="TZD56" s="389"/>
      <c r="TZM56" s="389"/>
      <c r="TZN56" s="389"/>
      <c r="TZW56" s="389"/>
      <c r="TZX56" s="389"/>
      <c r="UAG56" s="389"/>
      <c r="UAH56" s="389"/>
      <c r="UAQ56" s="389"/>
      <c r="UAR56" s="389"/>
      <c r="UBA56" s="389"/>
      <c r="UBB56" s="389"/>
      <c r="UBK56" s="389"/>
      <c r="UBL56" s="389"/>
      <c r="UBU56" s="389"/>
      <c r="UBV56" s="389"/>
      <c r="UCE56" s="389"/>
      <c r="UCF56" s="389"/>
      <c r="UCO56" s="389"/>
      <c r="UCP56" s="389"/>
      <c r="UCY56" s="389"/>
      <c r="UCZ56" s="389"/>
      <c r="UDI56" s="389"/>
      <c r="UDJ56" s="389"/>
      <c r="UDS56" s="389"/>
      <c r="UDT56" s="389"/>
      <c r="UEC56" s="389"/>
      <c r="UED56" s="389"/>
      <c r="UEM56" s="389"/>
      <c r="UEN56" s="389"/>
      <c r="UEW56" s="389"/>
      <c r="UEX56" s="389"/>
      <c r="UFG56" s="389"/>
      <c r="UFH56" s="389"/>
      <c r="UFQ56" s="389"/>
      <c r="UFR56" s="389"/>
      <c r="UGA56" s="389"/>
      <c r="UGB56" s="389"/>
      <c r="UGK56" s="389"/>
      <c r="UGL56" s="389"/>
      <c r="UGU56" s="389"/>
      <c r="UGV56" s="389"/>
      <c r="UHE56" s="389"/>
      <c r="UHF56" s="389"/>
      <c r="UHO56" s="389"/>
      <c r="UHP56" s="389"/>
      <c r="UHY56" s="389"/>
      <c r="UHZ56" s="389"/>
      <c r="UII56" s="389"/>
      <c r="UIJ56" s="389"/>
      <c r="UIS56" s="389"/>
      <c r="UIT56" s="389"/>
      <c r="UJC56" s="389"/>
      <c r="UJD56" s="389"/>
      <c r="UJM56" s="389"/>
      <c r="UJN56" s="389"/>
      <c r="UJW56" s="389"/>
      <c r="UJX56" s="389"/>
      <c r="UKG56" s="389"/>
      <c r="UKH56" s="389"/>
      <c r="UKQ56" s="389"/>
      <c r="UKR56" s="389"/>
      <c r="ULA56" s="389"/>
      <c r="ULB56" s="389"/>
      <c r="ULK56" s="389"/>
      <c r="ULL56" s="389"/>
      <c r="ULU56" s="389"/>
      <c r="ULV56" s="389"/>
      <c r="UME56" s="389"/>
      <c r="UMF56" s="389"/>
      <c r="UMO56" s="389"/>
      <c r="UMP56" s="389"/>
      <c r="UMY56" s="389"/>
      <c r="UMZ56" s="389"/>
      <c r="UNI56" s="389"/>
      <c r="UNJ56" s="389"/>
      <c r="UNS56" s="389"/>
      <c r="UNT56" s="389"/>
      <c r="UOC56" s="389"/>
      <c r="UOD56" s="389"/>
      <c r="UOM56" s="389"/>
      <c r="UON56" s="389"/>
      <c r="UOW56" s="389"/>
      <c r="UOX56" s="389"/>
      <c r="UPG56" s="389"/>
      <c r="UPH56" s="389"/>
      <c r="UPQ56" s="389"/>
      <c r="UPR56" s="389"/>
      <c r="UQA56" s="389"/>
      <c r="UQB56" s="389"/>
      <c r="UQK56" s="389"/>
      <c r="UQL56" s="389"/>
      <c r="UQU56" s="389"/>
      <c r="UQV56" s="389"/>
      <c r="URE56" s="389"/>
      <c r="URF56" s="389"/>
      <c r="URO56" s="389"/>
      <c r="URP56" s="389"/>
      <c r="URY56" s="389"/>
      <c r="URZ56" s="389"/>
      <c r="USI56" s="389"/>
      <c r="USJ56" s="389"/>
      <c r="USS56" s="389"/>
      <c r="UST56" s="389"/>
      <c r="UTC56" s="389"/>
      <c r="UTD56" s="389"/>
      <c r="UTM56" s="389"/>
      <c r="UTN56" s="389"/>
      <c r="UTW56" s="389"/>
      <c r="UTX56" s="389"/>
      <c r="UUG56" s="389"/>
      <c r="UUH56" s="389"/>
      <c r="UUQ56" s="389"/>
      <c r="UUR56" s="389"/>
      <c r="UVA56" s="389"/>
      <c r="UVB56" s="389"/>
      <c r="UVK56" s="389"/>
      <c r="UVL56" s="389"/>
      <c r="UVU56" s="389"/>
      <c r="UVV56" s="389"/>
      <c r="UWE56" s="389"/>
      <c r="UWF56" s="389"/>
      <c r="UWO56" s="389"/>
      <c r="UWP56" s="389"/>
      <c r="UWY56" s="389"/>
      <c r="UWZ56" s="389"/>
      <c r="UXI56" s="389"/>
      <c r="UXJ56" s="389"/>
      <c r="UXS56" s="389"/>
      <c r="UXT56" s="389"/>
      <c r="UYC56" s="389"/>
      <c r="UYD56" s="389"/>
      <c r="UYM56" s="389"/>
      <c r="UYN56" s="389"/>
      <c r="UYW56" s="389"/>
      <c r="UYX56" s="389"/>
      <c r="UZG56" s="389"/>
      <c r="UZH56" s="389"/>
      <c r="UZQ56" s="389"/>
      <c r="UZR56" s="389"/>
      <c r="VAA56" s="389"/>
      <c r="VAB56" s="389"/>
      <c r="VAK56" s="389"/>
      <c r="VAL56" s="389"/>
      <c r="VAU56" s="389"/>
      <c r="VAV56" s="389"/>
      <c r="VBE56" s="389"/>
      <c r="VBF56" s="389"/>
      <c r="VBO56" s="389"/>
      <c r="VBP56" s="389"/>
      <c r="VBY56" s="389"/>
      <c r="VBZ56" s="389"/>
      <c r="VCI56" s="389"/>
      <c r="VCJ56" s="389"/>
      <c r="VCS56" s="389"/>
      <c r="VCT56" s="389"/>
      <c r="VDC56" s="389"/>
      <c r="VDD56" s="389"/>
      <c r="VDM56" s="389"/>
      <c r="VDN56" s="389"/>
      <c r="VDW56" s="389"/>
      <c r="VDX56" s="389"/>
      <c r="VEG56" s="389"/>
      <c r="VEH56" s="389"/>
      <c r="VEQ56" s="389"/>
      <c r="VER56" s="389"/>
      <c r="VFA56" s="389"/>
      <c r="VFB56" s="389"/>
      <c r="VFK56" s="389"/>
      <c r="VFL56" s="389"/>
      <c r="VFU56" s="389"/>
      <c r="VFV56" s="389"/>
      <c r="VGE56" s="389"/>
      <c r="VGF56" s="389"/>
      <c r="VGO56" s="389"/>
      <c r="VGP56" s="389"/>
      <c r="VGY56" s="389"/>
      <c r="VGZ56" s="389"/>
      <c r="VHI56" s="389"/>
      <c r="VHJ56" s="389"/>
      <c r="VHS56" s="389"/>
      <c r="VHT56" s="389"/>
      <c r="VIC56" s="389"/>
      <c r="VID56" s="389"/>
      <c r="VIM56" s="389"/>
      <c r="VIN56" s="389"/>
      <c r="VIW56" s="389"/>
      <c r="VIX56" s="389"/>
      <c r="VJG56" s="389"/>
      <c r="VJH56" s="389"/>
      <c r="VJQ56" s="389"/>
      <c r="VJR56" s="389"/>
      <c r="VKA56" s="389"/>
      <c r="VKB56" s="389"/>
      <c r="VKK56" s="389"/>
      <c r="VKL56" s="389"/>
      <c r="VKU56" s="389"/>
      <c r="VKV56" s="389"/>
      <c r="VLE56" s="389"/>
      <c r="VLF56" s="389"/>
      <c r="VLO56" s="389"/>
      <c r="VLP56" s="389"/>
      <c r="VLY56" s="389"/>
      <c r="VLZ56" s="389"/>
      <c r="VMI56" s="389"/>
      <c r="VMJ56" s="389"/>
      <c r="VMS56" s="389"/>
      <c r="VMT56" s="389"/>
      <c r="VNC56" s="389"/>
      <c r="VND56" s="389"/>
      <c r="VNM56" s="389"/>
      <c r="VNN56" s="389"/>
      <c r="VNW56" s="389"/>
      <c r="VNX56" s="389"/>
      <c r="VOG56" s="389"/>
      <c r="VOH56" s="389"/>
      <c r="VOQ56" s="389"/>
      <c r="VOR56" s="389"/>
      <c r="VPA56" s="389"/>
      <c r="VPB56" s="389"/>
      <c r="VPK56" s="389"/>
      <c r="VPL56" s="389"/>
      <c r="VPU56" s="389"/>
      <c r="VPV56" s="389"/>
      <c r="VQE56" s="389"/>
      <c r="VQF56" s="389"/>
      <c r="VQO56" s="389"/>
      <c r="VQP56" s="389"/>
      <c r="VQY56" s="389"/>
      <c r="VQZ56" s="389"/>
      <c r="VRI56" s="389"/>
      <c r="VRJ56" s="389"/>
      <c r="VRS56" s="389"/>
      <c r="VRT56" s="389"/>
      <c r="VSC56" s="389"/>
      <c r="VSD56" s="389"/>
      <c r="VSM56" s="389"/>
      <c r="VSN56" s="389"/>
      <c r="VSW56" s="389"/>
      <c r="VSX56" s="389"/>
      <c r="VTG56" s="389"/>
      <c r="VTH56" s="389"/>
      <c r="VTQ56" s="389"/>
      <c r="VTR56" s="389"/>
      <c r="VUA56" s="389"/>
      <c r="VUB56" s="389"/>
      <c r="VUK56" s="389"/>
      <c r="VUL56" s="389"/>
      <c r="VUU56" s="389"/>
      <c r="VUV56" s="389"/>
      <c r="VVE56" s="389"/>
      <c r="VVF56" s="389"/>
      <c r="VVO56" s="389"/>
      <c r="VVP56" s="389"/>
      <c r="VVY56" s="389"/>
      <c r="VVZ56" s="389"/>
      <c r="VWI56" s="389"/>
      <c r="VWJ56" s="389"/>
      <c r="VWS56" s="389"/>
      <c r="VWT56" s="389"/>
      <c r="VXC56" s="389"/>
      <c r="VXD56" s="389"/>
      <c r="VXM56" s="389"/>
      <c r="VXN56" s="389"/>
      <c r="VXW56" s="389"/>
      <c r="VXX56" s="389"/>
      <c r="VYG56" s="389"/>
      <c r="VYH56" s="389"/>
      <c r="VYQ56" s="389"/>
      <c r="VYR56" s="389"/>
      <c r="VZA56" s="389"/>
      <c r="VZB56" s="389"/>
      <c r="VZK56" s="389"/>
      <c r="VZL56" s="389"/>
      <c r="VZU56" s="389"/>
      <c r="VZV56" s="389"/>
      <c r="WAE56" s="389"/>
      <c r="WAF56" s="389"/>
      <c r="WAO56" s="389"/>
      <c r="WAP56" s="389"/>
      <c r="WAY56" s="389"/>
      <c r="WAZ56" s="389"/>
      <c r="WBI56" s="389"/>
      <c r="WBJ56" s="389"/>
      <c r="WBS56" s="389"/>
      <c r="WBT56" s="389"/>
      <c r="WCC56" s="389"/>
      <c r="WCD56" s="389"/>
      <c r="WCM56" s="389"/>
      <c r="WCN56" s="389"/>
      <c r="WCW56" s="389"/>
      <c r="WCX56" s="389"/>
      <c r="WDG56" s="389"/>
      <c r="WDH56" s="389"/>
      <c r="WDQ56" s="389"/>
      <c r="WDR56" s="389"/>
      <c r="WEA56" s="389"/>
      <c r="WEB56" s="389"/>
      <c r="WEK56" s="389"/>
      <c r="WEL56" s="389"/>
      <c r="WEU56" s="389"/>
      <c r="WEV56" s="389"/>
      <c r="WFE56" s="389"/>
      <c r="WFF56" s="389"/>
      <c r="WFO56" s="389"/>
      <c r="WFP56" s="389"/>
      <c r="WFY56" s="389"/>
      <c r="WFZ56" s="389"/>
      <c r="WGI56" s="389"/>
      <c r="WGJ56" s="389"/>
      <c r="WGS56" s="389"/>
      <c r="WGT56" s="389"/>
      <c r="WHC56" s="389"/>
      <c r="WHD56" s="389"/>
      <c r="WHM56" s="389"/>
      <c r="WHN56" s="389"/>
      <c r="WHW56" s="389"/>
      <c r="WHX56" s="389"/>
      <c r="WIG56" s="389"/>
      <c r="WIH56" s="389"/>
      <c r="WIQ56" s="389"/>
      <c r="WIR56" s="389"/>
      <c r="WJA56" s="389"/>
      <c r="WJB56" s="389"/>
      <c r="WJK56" s="389"/>
      <c r="WJL56" s="389"/>
      <c r="WJU56" s="389"/>
      <c r="WJV56" s="389"/>
      <c r="WKE56" s="389"/>
      <c r="WKF56" s="389"/>
      <c r="WKO56" s="389"/>
      <c r="WKP56" s="389"/>
      <c r="WKY56" s="389"/>
      <c r="WKZ56" s="389"/>
      <c r="WLI56" s="389"/>
      <c r="WLJ56" s="389"/>
      <c r="WLS56" s="389"/>
      <c r="WLT56" s="389"/>
      <c r="WMC56" s="389"/>
      <c r="WMD56" s="389"/>
      <c r="WMM56" s="389"/>
      <c r="WMN56" s="389"/>
      <c r="WMW56" s="389"/>
      <c r="WMX56" s="389"/>
      <c r="WNG56" s="389"/>
      <c r="WNH56" s="389"/>
      <c r="WNQ56" s="389"/>
      <c r="WNR56" s="389"/>
      <c r="WOA56" s="389"/>
      <c r="WOB56" s="389"/>
      <c r="WOK56" s="389"/>
      <c r="WOL56" s="389"/>
      <c r="WOU56" s="389"/>
      <c r="WOV56" s="389"/>
      <c r="WPE56" s="389"/>
      <c r="WPF56" s="389"/>
      <c r="WPO56" s="389"/>
      <c r="WPP56" s="389"/>
      <c r="WPY56" s="389"/>
      <c r="WPZ56" s="389"/>
      <c r="WQI56" s="389"/>
      <c r="WQJ56" s="389"/>
      <c r="WQS56" s="389"/>
      <c r="WQT56" s="389"/>
      <c r="WRC56" s="389"/>
      <c r="WRD56" s="389"/>
      <c r="WRM56" s="389"/>
      <c r="WRN56" s="389"/>
      <c r="WRW56" s="389"/>
      <c r="WRX56" s="389"/>
      <c r="WSG56" s="389"/>
      <c r="WSH56" s="389"/>
      <c r="WSQ56" s="389"/>
      <c r="WSR56" s="389"/>
      <c r="WTA56" s="389"/>
      <c r="WTB56" s="389"/>
      <c r="WTK56" s="389"/>
      <c r="WTL56" s="389"/>
      <c r="WTU56" s="389"/>
      <c r="WTV56" s="389"/>
      <c r="WUE56" s="389"/>
      <c r="WUF56" s="389"/>
      <c r="WUO56" s="389"/>
      <c r="WUP56" s="389"/>
      <c r="WUY56" s="389"/>
      <c r="WUZ56" s="389"/>
      <c r="WVI56" s="389"/>
      <c r="WVJ56" s="389"/>
      <c r="WVS56" s="389"/>
      <c r="WVT56" s="389"/>
      <c r="WWC56" s="389"/>
      <c r="WWD56" s="389"/>
      <c r="WWM56" s="389"/>
      <c r="WWN56" s="389"/>
      <c r="WWW56" s="389"/>
      <c r="WWX56" s="389"/>
      <c r="WXG56" s="389"/>
      <c r="WXH56" s="389"/>
      <c r="WXQ56" s="389"/>
      <c r="WXR56" s="389"/>
      <c r="WYA56" s="389"/>
      <c r="WYB56" s="389"/>
      <c r="WYK56" s="389"/>
      <c r="WYL56" s="389"/>
      <c r="WYU56" s="389"/>
      <c r="WYV56" s="389"/>
      <c r="WZE56" s="389"/>
      <c r="WZF56" s="389"/>
      <c r="WZO56" s="389"/>
      <c r="WZP56" s="389"/>
      <c r="WZY56" s="389"/>
      <c r="WZZ56" s="389"/>
      <c r="XAI56" s="389"/>
      <c r="XAJ56" s="389"/>
      <c r="XAS56" s="389"/>
      <c r="XAT56" s="389"/>
      <c r="XBC56" s="389"/>
      <c r="XBD56" s="389"/>
      <c r="XBM56" s="389"/>
      <c r="XBN56" s="389"/>
      <c r="XBW56" s="389"/>
      <c r="XBX56" s="389"/>
      <c r="XCG56" s="389"/>
      <c r="XCH56" s="389"/>
      <c r="XCQ56" s="389"/>
      <c r="XCR56" s="389"/>
      <c r="XDA56" s="389"/>
      <c r="XDB56" s="389"/>
      <c r="XDK56" s="389"/>
      <c r="XDL56" s="389"/>
      <c r="XDU56" s="389"/>
      <c r="XDV56" s="389"/>
      <c r="XEE56" s="389"/>
      <c r="XEF56" s="389"/>
      <c r="XEO56" s="389"/>
      <c r="XEP56" s="389"/>
      <c r="XEY56" s="389"/>
      <c r="XEZ56" s="389"/>
    </row>
    <row r="57" spans="1:1020 1029:2040 2049:3070 3079:4090 4099:5120 5129:6140 6149:7160 7169:8190 8199:9210 9219:10240 10249:11260 11269:12280 12289:13310 13319:14330 14339:15360 15369:16380" ht="56.25" customHeight="1" thickBot="1" x14ac:dyDescent="0.25">
      <c r="A57" s="1470" t="s">
        <v>4</v>
      </c>
      <c r="B57" s="1472" t="s">
        <v>306</v>
      </c>
      <c r="C57" s="1474" t="s">
        <v>264</v>
      </c>
      <c r="D57" s="1475"/>
      <c r="E57" s="1476" t="s">
        <v>373</v>
      </c>
      <c r="F57" s="1701" t="s">
        <v>276</v>
      </c>
      <c r="G57" s="1480" t="s">
        <v>27</v>
      </c>
      <c r="H57" s="1481"/>
      <c r="I57" s="1480" t="s">
        <v>563</v>
      </c>
      <c r="J57" s="1481"/>
      <c r="K57" s="1480" t="s">
        <v>560</v>
      </c>
      <c r="L57" s="1481"/>
      <c r="M57" s="427" t="s">
        <v>58</v>
      </c>
    </row>
    <row r="58" spans="1:1020 1029:2040 2049:3070 3079:4090 4099:5120 5129:6140 6149:7160 7169:8190 8199:9210 9219:10240 10249:11260 11269:12280 12289:13310 13319:14330 14339:15360 15369:16380" ht="56.25" customHeight="1" thickBot="1" x14ac:dyDescent="0.25">
      <c r="A58" s="1471"/>
      <c r="B58" s="1473"/>
      <c r="C58" s="1137" t="s">
        <v>267</v>
      </c>
      <c r="D58" s="1137" t="s">
        <v>275</v>
      </c>
      <c r="E58" s="1477"/>
      <c r="F58" s="1702"/>
      <c r="G58" s="1170" t="s">
        <v>561</v>
      </c>
      <c r="H58" s="1170" t="s">
        <v>562</v>
      </c>
      <c r="I58" s="1170" t="s">
        <v>561</v>
      </c>
      <c r="J58" s="1170" t="s">
        <v>562</v>
      </c>
      <c r="K58" s="1170" t="s">
        <v>561</v>
      </c>
      <c r="L58" s="1170" t="s">
        <v>562</v>
      </c>
      <c r="M58" s="1137" t="s">
        <v>59</v>
      </c>
    </row>
    <row r="59" spans="1:1020 1029:2040 2049:3070 3079:4090 4099:5120 5129:6140 6149:7160 7169:8190 8199:9210 9219:10240 10249:11260 11269:12280 12289:13310 13319:14330 14339:15360 15369:16380" ht="27.95" customHeight="1" x14ac:dyDescent="0.2">
      <c r="A59" s="1193">
        <v>1</v>
      </c>
      <c r="B59" s="1194" t="e">
        <f>'1 g %'!$I$8</f>
        <v>#N/A</v>
      </c>
      <c r="C59" s="1195" t="str">
        <f>'DATOS %'!B60</f>
        <v>1 g</v>
      </c>
      <c r="D59" s="1196" t="e">
        <f>'1 g %'!$F$75</f>
        <v>#N/A</v>
      </c>
      <c r="E59" s="1197">
        <f>'DATOS %'!W134</f>
        <v>0.33</v>
      </c>
      <c r="F59" s="1198">
        <f>'DATOS %'!X134</f>
        <v>1</v>
      </c>
      <c r="G59" s="1199" t="e">
        <f>'gramo Max-Min %'!C12</f>
        <v>#N/A</v>
      </c>
      <c r="H59" s="1200" t="e">
        <f>'gramo Max-Min %'!C12</f>
        <v>#N/A</v>
      </c>
      <c r="I59" s="1200" t="e">
        <f>'gramo Max-Min %'!D12</f>
        <v>#N/A</v>
      </c>
      <c r="J59" s="1200" t="e">
        <f>'gramo Max-Min %'!D11</f>
        <v>#N/A</v>
      </c>
      <c r="K59" s="1200" t="e">
        <f>'gramo Max-Min %'!E12</f>
        <v>#N/A</v>
      </c>
      <c r="L59" s="1201" t="e">
        <f>'gramo Max-Min %'!E11</f>
        <v>#N/A</v>
      </c>
      <c r="M59" s="1202" t="e">
        <f t="shared" ref="M59:M78" si="0">IF(ABS(D59)+E59&lt;=F59,"SI","NO")</f>
        <v>#N/A</v>
      </c>
    </row>
    <row r="60" spans="1:1020 1029:2040 2049:3070 3079:4090 4099:5120 5129:6140 6149:7160 7169:8190 8199:9210 9219:10240 10249:11260 11269:12280 12289:13310 13319:14330 14339:15360 15369:16380" ht="27.95" customHeight="1" x14ac:dyDescent="0.2">
      <c r="A60" s="1203">
        <v>2</v>
      </c>
      <c r="B60" s="1204" t="e">
        <f>'2 g %'!$I$8</f>
        <v>#N/A</v>
      </c>
      <c r="C60" s="1205" t="str">
        <f>'DATOS %'!B61</f>
        <v>2 g</v>
      </c>
      <c r="D60" s="1206" t="e">
        <f>'2 g %'!$F$75</f>
        <v>#N/A</v>
      </c>
      <c r="E60" s="1207">
        <f>'DATOS %'!W135</f>
        <v>0.4</v>
      </c>
      <c r="F60" s="1208">
        <f>'DATOS %'!X135</f>
        <v>1.2</v>
      </c>
      <c r="G60" s="1209" t="e">
        <f>'gramo Max-Min %'!C21</f>
        <v>#N/A</v>
      </c>
      <c r="H60" s="1210" t="e">
        <f>'gramo Max-Min %'!C20</f>
        <v>#N/A</v>
      </c>
      <c r="I60" s="1210" t="e">
        <f>'gramo Max-Min %'!D21</f>
        <v>#N/A</v>
      </c>
      <c r="J60" s="1210" t="e">
        <f>'gramo Max-Min %'!D20</f>
        <v>#N/A</v>
      </c>
      <c r="K60" s="1210" t="e">
        <f>'gramo Max-Min %'!E21</f>
        <v>#N/A</v>
      </c>
      <c r="L60" s="1211" t="e">
        <f>'gramo Max-Min %'!E20</f>
        <v>#N/A</v>
      </c>
      <c r="M60" s="1212" t="e">
        <f t="shared" si="0"/>
        <v>#N/A</v>
      </c>
    </row>
    <row r="61" spans="1:1020 1029:2040 2049:3070 3079:4090 4099:5120 5129:6140 6149:7160 7169:8190 8199:9210 9219:10240 10249:11260 11269:12280 12289:13310 13319:14330 14339:15360 15369:16380" ht="27.95" customHeight="1" x14ac:dyDescent="0.2">
      <c r="A61" s="1203">
        <v>3</v>
      </c>
      <c r="B61" s="1204" t="e">
        <f>'2 g + %'!$I$8</f>
        <v>#N/A</v>
      </c>
      <c r="C61" s="1205" t="str">
        <f>'DATOS %'!B61</f>
        <v>2 g</v>
      </c>
      <c r="D61" s="1206" t="e">
        <f>'2 g + %'!$F$75</f>
        <v>#N/A</v>
      </c>
      <c r="E61" s="1207">
        <f>'DATOS %'!W136</f>
        <v>0.4</v>
      </c>
      <c r="F61" s="1208">
        <f>'DATOS %'!X136</f>
        <v>1.2</v>
      </c>
      <c r="G61" s="1209" t="e">
        <f>'gramo Max-Min %'!C30</f>
        <v>#N/A</v>
      </c>
      <c r="H61" s="1210" t="e">
        <f>'gramo Max-Min %'!C29</f>
        <v>#N/A</v>
      </c>
      <c r="I61" s="1210" t="e">
        <f>'gramo Max-Min %'!D30</f>
        <v>#N/A</v>
      </c>
      <c r="J61" s="1210" t="e">
        <f>'gramo Max-Min %'!D29</f>
        <v>#N/A</v>
      </c>
      <c r="K61" s="1210" t="e">
        <f>'gramo Max-Min %'!E30</f>
        <v>#N/A</v>
      </c>
      <c r="L61" s="1211" t="e">
        <f>'gramo Max-Min %'!E29</f>
        <v>#N/A</v>
      </c>
      <c r="M61" s="1212" t="e">
        <f t="shared" si="0"/>
        <v>#N/A</v>
      </c>
    </row>
    <row r="62" spans="1:1020 1029:2040 2049:3070 3079:4090 4099:5120 5129:6140 6149:7160 7169:8190 8199:9210 9219:10240 10249:11260 11269:12280 12289:13310 13319:14330 14339:15360 15369:16380" ht="27.95" customHeight="1" x14ac:dyDescent="0.2">
      <c r="A62" s="1203">
        <v>4</v>
      </c>
      <c r="B62" s="1204" t="e">
        <f>'5 g %'!$I$8</f>
        <v>#N/A</v>
      </c>
      <c r="C62" s="1205" t="str">
        <f>'DATOS %'!B63</f>
        <v xml:space="preserve">5 g </v>
      </c>
      <c r="D62" s="1206" t="e">
        <f>'5 g %'!$F$75</f>
        <v>#N/A</v>
      </c>
      <c r="E62" s="1207">
        <f>'DATOS %'!W137</f>
        <v>0.53</v>
      </c>
      <c r="F62" s="1208">
        <f>'DATOS %'!X137</f>
        <v>1.6</v>
      </c>
      <c r="G62" s="1209" t="e">
        <f>'gramo Max-Min %'!C39</f>
        <v>#N/A</v>
      </c>
      <c r="H62" s="1210" t="e">
        <f>'gramo Max-Min %'!C38</f>
        <v>#N/A</v>
      </c>
      <c r="I62" s="1210" t="e">
        <f>'gramo Max-Min %'!D39</f>
        <v>#N/A</v>
      </c>
      <c r="J62" s="1210" t="e">
        <f>'gramo Max-Min %'!D38</f>
        <v>#N/A</v>
      </c>
      <c r="K62" s="1210" t="e">
        <f>'gramo Max-Min %'!E39</f>
        <v>#N/A</v>
      </c>
      <c r="L62" s="1211" t="e">
        <f>'gramo Max-Min %'!E38</f>
        <v>#N/A</v>
      </c>
      <c r="M62" s="1212" t="e">
        <f t="shared" si="0"/>
        <v>#N/A</v>
      </c>
    </row>
    <row r="63" spans="1:1020 1029:2040 2049:3070 3079:4090 4099:5120 5129:6140 6149:7160 7169:8190 8199:9210 9219:10240 10249:11260 11269:12280 12289:13310 13319:14330 14339:15360 15369:16380" s="1213" customFormat="1" ht="27.95" customHeight="1" x14ac:dyDescent="0.2">
      <c r="A63" s="1203">
        <v>5</v>
      </c>
      <c r="B63" s="1204" t="e">
        <f>'10 g %'!$I$8</f>
        <v>#N/A</v>
      </c>
      <c r="C63" s="1205" t="str">
        <f>'DATOS %'!B64</f>
        <v>10 g</v>
      </c>
      <c r="D63" s="1206" t="e">
        <f>'10 g %'!$F$75</f>
        <v>#N/A</v>
      </c>
      <c r="E63" s="1207">
        <f>'DATOS %'!W138</f>
        <v>0.67</v>
      </c>
      <c r="F63" s="1208">
        <f>'DATOS %'!X138</f>
        <v>2</v>
      </c>
      <c r="G63" s="1209" t="e">
        <f>'gramo Max-Min %'!I12</f>
        <v>#N/A</v>
      </c>
      <c r="H63" s="1210" t="e">
        <f>'gramo Max-Min %'!I11</f>
        <v>#N/A</v>
      </c>
      <c r="I63" s="1210" t="e">
        <f>'gramo Max-Min %'!J12</f>
        <v>#N/A</v>
      </c>
      <c r="J63" s="1210" t="e">
        <f>'gramo Max-Min %'!J11</f>
        <v>#N/A</v>
      </c>
      <c r="K63" s="1210" t="e">
        <f>'gramo Max-Min %'!K12</f>
        <v>#N/A</v>
      </c>
      <c r="L63" s="1211" t="e">
        <f>'gramo Max-Min %'!K11</f>
        <v>#N/A</v>
      </c>
      <c r="M63" s="1212" t="e">
        <f t="shared" si="0"/>
        <v>#N/A</v>
      </c>
      <c r="P63" s="1173"/>
      <c r="Q63" s="1173"/>
      <c r="R63" s="1173"/>
      <c r="S63" s="1173"/>
      <c r="T63" s="1173"/>
    </row>
    <row r="64" spans="1:1020 1029:2040 2049:3070 3079:4090 4099:5120 5129:6140 6149:7160 7169:8190 8199:9210 9219:10240 10249:11260 11269:12280 12289:13310 13319:14330 14339:15360 15369:16380" ht="27.95" customHeight="1" x14ac:dyDescent="0.2">
      <c r="A64" s="1203">
        <v>6</v>
      </c>
      <c r="B64" s="1204" t="e">
        <f>'20 g %'!$I$8</f>
        <v>#N/A</v>
      </c>
      <c r="C64" s="1205" t="str">
        <f>'DATOS %'!B65</f>
        <v>20 g</v>
      </c>
      <c r="D64" s="1206" t="e">
        <f>'20 g %'!$F$75</f>
        <v>#N/A</v>
      </c>
      <c r="E64" s="1207">
        <f>'DATOS %'!W139</f>
        <v>0.83</v>
      </c>
      <c r="F64" s="1208">
        <f>'DATOS %'!X139</f>
        <v>2.5</v>
      </c>
      <c r="G64" s="1209" t="e">
        <f>'gramo Max-Min %'!I21</f>
        <v>#N/A</v>
      </c>
      <c r="H64" s="1210" t="e">
        <f>'gramo Max-Min %'!I20</f>
        <v>#N/A</v>
      </c>
      <c r="I64" s="1210" t="e">
        <f>'gramo Max-Min %'!J21</f>
        <v>#N/A</v>
      </c>
      <c r="J64" s="1210" t="e">
        <f>'gramo Max-Min %'!J20</f>
        <v>#N/A</v>
      </c>
      <c r="K64" s="1210" t="e">
        <f>'gramo Max-Min %'!K21</f>
        <v>#N/A</v>
      </c>
      <c r="L64" s="1211" t="e">
        <f>'gramo Max-Min %'!K20</f>
        <v>#N/A</v>
      </c>
      <c r="M64" s="1212" t="e">
        <f t="shared" si="0"/>
        <v>#N/A</v>
      </c>
    </row>
    <row r="65" spans="1:13" ht="27.95" customHeight="1" x14ac:dyDescent="0.2">
      <c r="A65" s="1203">
        <v>7</v>
      </c>
      <c r="B65" s="1204" t="e">
        <f>'20 g + %'!$I$8</f>
        <v>#N/A</v>
      </c>
      <c r="C65" s="1205" t="str">
        <f>'DATOS %'!B65</f>
        <v>20 g</v>
      </c>
      <c r="D65" s="1206" t="e">
        <f>'20 g + %'!F75</f>
        <v>#N/A</v>
      </c>
      <c r="E65" s="1207">
        <f>'DATOS %'!W140</f>
        <v>0.83</v>
      </c>
      <c r="F65" s="1208">
        <f>'DATOS %'!X140</f>
        <v>2.5</v>
      </c>
      <c r="G65" s="1209" t="e">
        <f>'gramo Max-Min %'!I30</f>
        <v>#N/A</v>
      </c>
      <c r="H65" s="1210" t="e">
        <f>'gramo Max-Min %'!I29</f>
        <v>#N/A</v>
      </c>
      <c r="I65" s="1210" t="e">
        <f>'gramo Max-Min %'!J30</f>
        <v>#N/A</v>
      </c>
      <c r="J65" s="1210" t="e">
        <f>'gramo Max-Min %'!J29</f>
        <v>#N/A</v>
      </c>
      <c r="K65" s="1210" t="e">
        <f>'gramo Max-Min %'!K30</f>
        <v>#N/A</v>
      </c>
      <c r="L65" s="1211" t="e">
        <f>'gramo Max-Min %'!K29</f>
        <v>#N/A</v>
      </c>
      <c r="M65" s="1212" t="e">
        <f t="shared" si="0"/>
        <v>#N/A</v>
      </c>
    </row>
    <row r="66" spans="1:13" ht="27.95" customHeight="1" x14ac:dyDescent="0.2">
      <c r="A66" s="1203">
        <v>8</v>
      </c>
      <c r="B66" s="1204" t="e">
        <f>'50 g %'!$I$8</f>
        <v>#N/A</v>
      </c>
      <c r="C66" s="1205" t="str">
        <f>'DATOS %'!B67</f>
        <v>50 g</v>
      </c>
      <c r="D66" s="1214" t="e">
        <f>'50 g %'!$F$75</f>
        <v>#N/A</v>
      </c>
      <c r="E66" s="1215">
        <f>'DATOS %'!W141</f>
        <v>1</v>
      </c>
      <c r="F66" s="1208">
        <f>'DATOS %'!X141</f>
        <v>3</v>
      </c>
      <c r="G66" s="1209" t="e">
        <f>'gramo Max-Min %'!I39</f>
        <v>#N/A</v>
      </c>
      <c r="H66" s="1210" t="e">
        <f>'gramo Max-Min %'!I38</f>
        <v>#N/A</v>
      </c>
      <c r="I66" s="1210" t="e">
        <f>'gramo Max-Min %'!J39</f>
        <v>#N/A</v>
      </c>
      <c r="J66" s="1210" t="e">
        <f>'gramo Max-Min %'!J38</f>
        <v>#N/A</v>
      </c>
      <c r="K66" s="1210" t="e">
        <f>'gramo Max-Min %'!K39</f>
        <v>#N/A</v>
      </c>
      <c r="L66" s="1211" t="e">
        <f>'gramo Max-Min %'!K38</f>
        <v>#N/A</v>
      </c>
      <c r="M66" s="1212" t="e">
        <f t="shared" si="0"/>
        <v>#N/A</v>
      </c>
    </row>
    <row r="67" spans="1:13" ht="27.95" customHeight="1" x14ac:dyDescent="0.2">
      <c r="A67" s="1203">
        <v>9</v>
      </c>
      <c r="B67" s="1204" t="e">
        <f>'100 g %'!$I$8</f>
        <v>#N/A</v>
      </c>
      <c r="C67" s="1205" t="str">
        <f>'DATOS %'!B68</f>
        <v>100 g</v>
      </c>
      <c r="D67" s="1214" t="e">
        <f>'100 g %'!$F$75</f>
        <v>#N/A</v>
      </c>
      <c r="E67" s="1215">
        <f>'DATOS %'!W142</f>
        <v>1.7</v>
      </c>
      <c r="F67" s="1208">
        <f>'DATOS %'!X142</f>
        <v>5</v>
      </c>
      <c r="G67" s="1209" t="e">
        <f>'gramo Max-Min %'!O12</f>
        <v>#N/A</v>
      </c>
      <c r="H67" s="1210" t="e">
        <f>'gramo Max-Min %'!O11</f>
        <v>#N/A</v>
      </c>
      <c r="I67" s="1210" t="e">
        <f>'gramo Max-Min %'!P12</f>
        <v>#N/A</v>
      </c>
      <c r="J67" s="1210" t="e">
        <f>'gramo Max-Min %'!P11</f>
        <v>#N/A</v>
      </c>
      <c r="K67" s="1210" t="e">
        <f>'gramo Max-Min %'!Q12</f>
        <v>#N/A</v>
      </c>
      <c r="L67" s="1211" t="e">
        <f>'gramo Max-Min %'!Q11</f>
        <v>#N/A</v>
      </c>
      <c r="M67" s="1212" t="e">
        <f t="shared" si="0"/>
        <v>#N/A</v>
      </c>
    </row>
    <row r="68" spans="1:13" ht="27.95" customHeight="1" x14ac:dyDescent="0.2">
      <c r="A68" s="1203">
        <v>10</v>
      </c>
      <c r="B68" s="1204" t="e">
        <f>'200 g %'!$I$8</f>
        <v>#N/A</v>
      </c>
      <c r="C68" s="1205" t="str">
        <f>'DATOS %'!B69</f>
        <v>200 g</v>
      </c>
      <c r="D68" s="1214" t="e">
        <f>'200 g %'!$F$75</f>
        <v>#N/A</v>
      </c>
      <c r="E68" s="1215">
        <f>'DATOS %'!W143</f>
        <v>3.3</v>
      </c>
      <c r="F68" s="1216">
        <f>'DATOS %'!X143</f>
        <v>10</v>
      </c>
      <c r="G68" s="1209" t="e">
        <f>'gramo Max-Min %'!O21</f>
        <v>#N/A</v>
      </c>
      <c r="H68" s="1210" t="e">
        <f>'gramo Max-Min %'!O20</f>
        <v>#N/A</v>
      </c>
      <c r="I68" s="1210" t="e">
        <f>'gramo Max-Min %'!P21</f>
        <v>#N/A</v>
      </c>
      <c r="J68" s="1210" t="e">
        <f>'gramo Max-Min %'!P20</f>
        <v>#N/A</v>
      </c>
      <c r="K68" s="1210" t="e">
        <f>'gramo Max-Min %'!Q21</f>
        <v>#N/A</v>
      </c>
      <c r="L68" s="1211" t="e">
        <f>'gramo Max-Min %'!Q20</f>
        <v>#N/A</v>
      </c>
      <c r="M68" s="1212" t="e">
        <f t="shared" si="0"/>
        <v>#N/A</v>
      </c>
    </row>
    <row r="69" spans="1:13" ht="27.95" customHeight="1" x14ac:dyDescent="0.2">
      <c r="A69" s="1203">
        <v>11</v>
      </c>
      <c r="B69" s="1204" t="e">
        <f>'200 g + %'!$I$8</f>
        <v>#N/A</v>
      </c>
      <c r="C69" s="1205" t="str">
        <f>'DATOS %'!B69</f>
        <v>200 g</v>
      </c>
      <c r="D69" s="1214" t="e">
        <f>'200 g + %'!F75</f>
        <v>#N/A</v>
      </c>
      <c r="E69" s="1215">
        <f>'DATOS %'!W144</f>
        <v>3.3</v>
      </c>
      <c r="F69" s="1216">
        <f>'DATOS %'!X144</f>
        <v>10</v>
      </c>
      <c r="G69" s="1209" t="e">
        <f>'gramo Max-Min %'!O30</f>
        <v>#N/A</v>
      </c>
      <c r="H69" s="1210" t="e">
        <f>'gramo Max-Min %'!O29</f>
        <v>#N/A</v>
      </c>
      <c r="I69" s="1210" t="e">
        <f>'gramo Max-Min %'!P30</f>
        <v>#N/A</v>
      </c>
      <c r="J69" s="1210" t="e">
        <f>'gramo Max-Min %'!P29</f>
        <v>#N/A</v>
      </c>
      <c r="K69" s="1210" t="e">
        <f>'gramo Max-Min %'!Q30</f>
        <v>#N/A</v>
      </c>
      <c r="L69" s="1211" t="e">
        <f>'gramo Max-Min %'!Q29</f>
        <v>#N/A</v>
      </c>
      <c r="M69" s="1212" t="e">
        <f t="shared" si="0"/>
        <v>#N/A</v>
      </c>
    </row>
    <row r="70" spans="1:13" ht="27.95" customHeight="1" x14ac:dyDescent="0.2">
      <c r="A70" s="1203">
        <v>12</v>
      </c>
      <c r="B70" s="1204" t="e">
        <f>'500 g %'!$I$8</f>
        <v>#N/A</v>
      </c>
      <c r="C70" s="1205" t="str">
        <f>'DATOS %'!B71</f>
        <v>500 g</v>
      </c>
      <c r="D70" s="1214" t="e">
        <f>'500 g %'!$F$75</f>
        <v>#N/A</v>
      </c>
      <c r="E70" s="1215">
        <f>'DATOS %'!W145</f>
        <v>8.3000000000000007</v>
      </c>
      <c r="F70" s="1216">
        <f>'DATOS %'!X145</f>
        <v>25</v>
      </c>
      <c r="G70" s="1209" t="e">
        <f>'gramo Max-Min %'!O39</f>
        <v>#N/A</v>
      </c>
      <c r="H70" s="1210" t="e">
        <f>'gramo Max-Min %'!O38</f>
        <v>#N/A</v>
      </c>
      <c r="I70" s="1210" t="e">
        <f>'gramo Max-Min %'!P39</f>
        <v>#N/A</v>
      </c>
      <c r="J70" s="1210" t="e">
        <f>'gramo Max-Min %'!P38</f>
        <v>#N/A</v>
      </c>
      <c r="K70" s="1210" t="e">
        <f>'gramo Max-Min %'!Q39</f>
        <v>#N/A</v>
      </c>
      <c r="L70" s="1211" t="e">
        <f>'gramo Max-Min %'!Q38</f>
        <v>#N/A</v>
      </c>
      <c r="M70" s="1212" t="e">
        <f t="shared" si="0"/>
        <v>#N/A</v>
      </c>
    </row>
    <row r="71" spans="1:13" ht="27.95" customHeight="1" x14ac:dyDescent="0.2">
      <c r="A71" s="1203">
        <v>13</v>
      </c>
      <c r="B71" s="1204" t="e">
        <f>'1 kg %'!$I$8</f>
        <v>#N/A</v>
      </c>
      <c r="C71" s="1205" t="str">
        <f>'DATOS %'!B72</f>
        <v>1 kg</v>
      </c>
      <c r="D71" s="1217" t="e">
        <f>'1 kg %'!$F$75</f>
        <v>#N/A</v>
      </c>
      <c r="E71" s="1218">
        <f>'DATOS %'!W146</f>
        <v>17</v>
      </c>
      <c r="F71" s="1216">
        <f>'DATOS %'!X146</f>
        <v>50</v>
      </c>
      <c r="G71" s="1209" t="e">
        <f>'gramo Max-Min %'!U12</f>
        <v>#N/A</v>
      </c>
      <c r="H71" s="1210" t="e">
        <f>'gramo Max-Min %'!U11</f>
        <v>#N/A</v>
      </c>
      <c r="I71" s="1210" t="e">
        <f>'gramo Max-Min %'!V12</f>
        <v>#N/A</v>
      </c>
      <c r="J71" s="1210" t="e">
        <f>'gramo Max-Min %'!V11</f>
        <v>#N/A</v>
      </c>
      <c r="K71" s="1210" t="e">
        <f>'gramo Max-Min %'!W12</f>
        <v>#N/A</v>
      </c>
      <c r="L71" s="1211" t="e">
        <f>'gramo Max-Min %'!W11</f>
        <v>#N/A</v>
      </c>
      <c r="M71" s="1212" t="e">
        <f t="shared" si="0"/>
        <v>#N/A</v>
      </c>
    </row>
    <row r="72" spans="1:13" ht="27.95" customHeight="1" x14ac:dyDescent="0.2">
      <c r="A72" s="1203">
        <v>14</v>
      </c>
      <c r="B72" s="1204" t="e">
        <f>'2 kg %'!$I$8</f>
        <v>#N/A</v>
      </c>
      <c r="C72" s="1205" t="str">
        <f>'DATOS %'!B73</f>
        <v>2 kg</v>
      </c>
      <c r="D72" s="1217" t="e">
        <f>'2 kg %'!$F$75</f>
        <v>#N/A</v>
      </c>
      <c r="E72" s="1218">
        <f>'DATOS %'!W147</f>
        <v>33</v>
      </c>
      <c r="F72" s="1216">
        <f>'DATOS %'!X147</f>
        <v>100</v>
      </c>
      <c r="G72" s="1209" t="e">
        <f>'gramo Max-Min %'!U21</f>
        <v>#N/A</v>
      </c>
      <c r="H72" s="1210" t="e">
        <f>'gramo Max-Min %'!U20</f>
        <v>#N/A</v>
      </c>
      <c r="I72" s="1210" t="e">
        <f>'gramo Max-Min %'!V21</f>
        <v>#N/A</v>
      </c>
      <c r="J72" s="1210" t="e">
        <f>'gramo Max-Min %'!V20</f>
        <v>#N/A</v>
      </c>
      <c r="K72" s="1210" t="e">
        <f>'gramo Max-Min %'!W21</f>
        <v>#N/A</v>
      </c>
      <c r="L72" s="1211" t="e">
        <f>'gramo Max-Min %'!W20</f>
        <v>#N/A</v>
      </c>
      <c r="M72" s="1212" t="e">
        <f t="shared" si="0"/>
        <v>#N/A</v>
      </c>
    </row>
    <row r="73" spans="1:13" ht="27.95" customHeight="1" x14ac:dyDescent="0.2">
      <c r="A73" s="1203">
        <v>15</v>
      </c>
      <c r="B73" s="1204" t="e">
        <f>'2 kg + %'!$I$8</f>
        <v>#N/A</v>
      </c>
      <c r="C73" s="1205" t="str">
        <f>'DATOS %'!B73</f>
        <v>2 kg</v>
      </c>
      <c r="D73" s="1217" t="e">
        <f>'2 kg + %'!$F$75</f>
        <v>#N/A</v>
      </c>
      <c r="E73" s="1218">
        <f>'DATOS %'!W148</f>
        <v>33</v>
      </c>
      <c r="F73" s="1216">
        <f>'DATOS %'!X148</f>
        <v>100</v>
      </c>
      <c r="G73" s="1209" t="e">
        <f>'gramo Max-Min %'!U30</f>
        <v>#N/A</v>
      </c>
      <c r="H73" s="1210" t="e">
        <f>'gramo Max-Min %'!U29</f>
        <v>#N/A</v>
      </c>
      <c r="I73" s="1210" t="e">
        <f>'gramo Max-Min %'!V30</f>
        <v>#N/A</v>
      </c>
      <c r="J73" s="1210" t="e">
        <f>'gramo Max-Min %'!V29</f>
        <v>#N/A</v>
      </c>
      <c r="K73" s="1210" t="e">
        <f>'gramo Max-Min %'!W30</f>
        <v>#N/A</v>
      </c>
      <c r="L73" s="1211" t="e">
        <f>'gramo Max-Min %'!W29</f>
        <v>#N/A</v>
      </c>
      <c r="M73" s="1212" t="e">
        <f t="shared" si="0"/>
        <v>#N/A</v>
      </c>
    </row>
    <row r="74" spans="1:13" ht="27.95" customHeight="1" x14ac:dyDescent="0.2">
      <c r="A74" s="1203">
        <v>16</v>
      </c>
      <c r="B74" s="1204" t="e">
        <f>'5 kg %'!$I$8</f>
        <v>#N/A</v>
      </c>
      <c r="C74" s="1205" t="str">
        <f>'DATOS %'!B75</f>
        <v>5 kg</v>
      </c>
      <c r="D74" s="1217" t="e">
        <f>'5 kg %'!$F$75</f>
        <v>#N/A</v>
      </c>
      <c r="E74" s="1218">
        <f>'DATOS %'!W149</f>
        <v>83</v>
      </c>
      <c r="F74" s="1216">
        <f>'DATOS %'!X149</f>
        <v>250</v>
      </c>
      <c r="G74" s="1209" t="e">
        <f>'gramo Max-Min %'!U39</f>
        <v>#N/A</v>
      </c>
      <c r="H74" s="1210" t="e">
        <f>'gramo Max-Min %'!U38</f>
        <v>#N/A</v>
      </c>
      <c r="I74" s="1210" t="e">
        <f>'gramo Max-Min %'!V39</f>
        <v>#N/A</v>
      </c>
      <c r="J74" s="1210" t="e">
        <f>'gramo Max-Min %'!V38</f>
        <v>#N/A</v>
      </c>
      <c r="K74" s="1210" t="e">
        <f>'gramo Max-Min %'!W39</f>
        <v>#N/A</v>
      </c>
      <c r="L74" s="1211" t="e">
        <f>'gramo Max-Min %'!W38</f>
        <v>#N/A</v>
      </c>
      <c r="M74" s="1212" t="e">
        <f t="shared" si="0"/>
        <v>#N/A</v>
      </c>
    </row>
    <row r="75" spans="1:13" ht="27.95" customHeight="1" x14ac:dyDescent="0.2">
      <c r="A75" s="1203">
        <v>17</v>
      </c>
      <c r="B75" s="1204" t="e">
        <f>'10 kg %'!$I$8</f>
        <v>#N/A</v>
      </c>
      <c r="C75" s="1205" t="str">
        <f>'DATOS %'!B76</f>
        <v>10 kg</v>
      </c>
      <c r="D75" s="1219" t="e">
        <f>'10 kg %'!$F$76</f>
        <v>#N/A</v>
      </c>
      <c r="E75" s="1220">
        <f>'DATOS %'!W150</f>
        <v>0.17</v>
      </c>
      <c r="F75" s="1221">
        <f>'DATOS %'!X150</f>
        <v>0.5</v>
      </c>
      <c r="G75" s="1209" t="e">
        <f>'gramo Max-Min %'!AA12</f>
        <v>#N/A</v>
      </c>
      <c r="H75" s="1210" t="e">
        <f>'gramo Max-Min %'!AA11</f>
        <v>#N/A</v>
      </c>
      <c r="I75" s="1210" t="e">
        <f>'gramo Max-Min %'!AB12</f>
        <v>#N/A</v>
      </c>
      <c r="J75" s="1210" t="e">
        <f>'gramo Max-Min %'!AB11</f>
        <v>#N/A</v>
      </c>
      <c r="K75" s="1210" t="e">
        <f>'gramo Max-Min %'!AC12</f>
        <v>#N/A</v>
      </c>
      <c r="L75" s="1211" t="e">
        <f>'gramo Max-Min %'!AC11</f>
        <v>#N/A</v>
      </c>
      <c r="M75" s="1212" t="e">
        <f t="shared" si="0"/>
        <v>#N/A</v>
      </c>
    </row>
    <row r="76" spans="1:13" ht="27.95" customHeight="1" x14ac:dyDescent="0.2">
      <c r="A76" s="1203">
        <v>18</v>
      </c>
      <c r="B76" s="1222" t="e">
        <f>'5 kg % (C)'!$I$8</f>
        <v>#N/A</v>
      </c>
      <c r="C76" s="1223" t="str">
        <f>'DATOS %'!B75</f>
        <v>5 kg</v>
      </c>
      <c r="D76" s="1224" t="e">
        <f>'5 kg % (C)'!$F$75</f>
        <v>#N/A</v>
      </c>
      <c r="E76" s="1225">
        <f>'DATOS %'!W149</f>
        <v>83</v>
      </c>
      <c r="F76" s="1226">
        <f>'DATOS %'!X149</f>
        <v>250</v>
      </c>
      <c r="G76" s="1209" t="e">
        <f>'gramo Max-Min %'!AA21</f>
        <v>#N/A</v>
      </c>
      <c r="H76" s="1210" t="e">
        <f>'gramo Max-Min %'!AA20</f>
        <v>#N/A</v>
      </c>
      <c r="I76" s="1210" t="e">
        <f>'gramo Max-Min %'!AB21</f>
        <v>#N/A</v>
      </c>
      <c r="J76" s="1210" t="e">
        <f>'gramo Max-Min %'!AB20</f>
        <v>#N/A</v>
      </c>
      <c r="K76" s="1210" t="e">
        <f>'gramo Max-Min %'!AC21</f>
        <v>#N/A</v>
      </c>
      <c r="L76" s="1211" t="e">
        <f>'gramo Max-Min %'!AC20</f>
        <v>#N/A</v>
      </c>
      <c r="M76" s="1212" t="e">
        <f t="shared" si="0"/>
        <v>#N/A</v>
      </c>
    </row>
    <row r="77" spans="1:13" ht="27.95" customHeight="1" x14ac:dyDescent="0.2">
      <c r="A77" s="1203">
        <v>19</v>
      </c>
      <c r="B77" s="1222" t="e">
        <f>'10 kg % (C)'!$I$8</f>
        <v>#N/A</v>
      </c>
      <c r="C77" s="1222" t="str">
        <f>'DATOS %'!B76</f>
        <v>10 kg</v>
      </c>
      <c r="D77" s="1227" t="e">
        <f>'10 kg % (C)'!$F$76</f>
        <v>#N/A</v>
      </c>
      <c r="E77" s="1228">
        <f>'DATOS %'!W150</f>
        <v>0.17</v>
      </c>
      <c r="F77" s="1229">
        <f>'DATOS %'!X150</f>
        <v>0.5</v>
      </c>
      <c r="G77" s="1209" t="e">
        <f>'gramo Max-Min %'!AA30</f>
        <v>#N/A</v>
      </c>
      <c r="H77" s="1210" t="e">
        <f>'gramo Max-Min %'!AA29</f>
        <v>#N/A</v>
      </c>
      <c r="I77" s="1210" t="e">
        <f>'gramo Max-Min %'!AB30</f>
        <v>#N/A</v>
      </c>
      <c r="J77" s="1210" t="e">
        <f>'gramo Max-Min %'!AB29</f>
        <v>#N/A</v>
      </c>
      <c r="K77" s="1210" t="e">
        <f>'gramo Max-Min %'!AC30</f>
        <v>#N/A</v>
      </c>
      <c r="L77" s="1211" t="e">
        <f>'gramo Max-Min %'!AC29</f>
        <v>#N/A</v>
      </c>
      <c r="M77" s="1212" t="e">
        <f t="shared" si="0"/>
        <v>#N/A</v>
      </c>
    </row>
    <row r="78" spans="1:13" ht="27.95" customHeight="1" thickBot="1" x14ac:dyDescent="0.25">
      <c r="A78" s="1230">
        <v>20</v>
      </c>
      <c r="B78" s="1231" t="e">
        <f>'20 kg % (C)'!$I$8</f>
        <v>#N/A</v>
      </c>
      <c r="C78" s="1232" t="str">
        <f>'DATOS %'!V151</f>
        <v>20 kg</v>
      </c>
      <c r="D78" s="1233" t="e">
        <f>'20 kg % (C)'!$G$76</f>
        <v>#N/A</v>
      </c>
      <c r="E78" s="1234">
        <f>'DATOS %'!W151</f>
        <v>0.33</v>
      </c>
      <c r="F78" s="1235">
        <f>'DATOS %'!X151</f>
        <v>1</v>
      </c>
      <c r="G78" s="1236" t="e">
        <f>'gramo Max-Min %'!AA39</f>
        <v>#N/A</v>
      </c>
      <c r="H78" s="1237" t="e">
        <f>'gramo Max-Min %'!AA38</f>
        <v>#N/A</v>
      </c>
      <c r="I78" s="1237" t="e">
        <f>'gramo Max-Min %'!AB39</f>
        <v>#N/A</v>
      </c>
      <c r="J78" s="1237" t="e">
        <f>'gramo Max-Min %'!AB38</f>
        <v>#N/A</v>
      </c>
      <c r="K78" s="1237" t="e">
        <f>'gramo Max-Min %'!AC39</f>
        <v>#N/A</v>
      </c>
      <c r="L78" s="1238" t="e">
        <f>'gramo Max-Min %'!AC38</f>
        <v>#N/A</v>
      </c>
      <c r="M78" s="1239" t="e">
        <f t="shared" si="0"/>
        <v>#N/A</v>
      </c>
    </row>
    <row r="79" spans="1:13" ht="20.100000000000001" customHeight="1" x14ac:dyDescent="0.2">
      <c r="A79" s="1240"/>
      <c r="B79" s="1240"/>
      <c r="C79" s="1240"/>
      <c r="D79" s="1240"/>
      <c r="E79" s="1240"/>
      <c r="F79" s="1240"/>
      <c r="G79" s="1241"/>
      <c r="H79" s="1241"/>
      <c r="I79" s="1241"/>
      <c r="J79" s="1242"/>
    </row>
    <row r="80" spans="1:13" ht="125.1" customHeight="1" x14ac:dyDescent="0.2">
      <c r="A80" s="1240"/>
      <c r="B80" s="1240"/>
      <c r="C80" s="1240"/>
      <c r="D80" s="1240"/>
      <c r="E80" s="1240"/>
      <c r="F80" s="1240"/>
      <c r="G80" s="1241"/>
      <c r="H80" s="1241"/>
      <c r="I80" s="1241"/>
      <c r="J80" s="1242"/>
    </row>
    <row r="81" spans="1:20" ht="35.1" customHeight="1" x14ac:dyDescent="0.2">
      <c r="A81" s="1240"/>
      <c r="B81" s="1240"/>
      <c r="C81" s="1240"/>
      <c r="D81" s="1240"/>
      <c r="E81" s="1240"/>
      <c r="F81" s="1240"/>
      <c r="G81" s="1241"/>
      <c r="H81" s="1241"/>
      <c r="I81" s="1241"/>
      <c r="J81" s="1242"/>
    </row>
    <row r="82" spans="1:20" ht="35.1" customHeight="1" x14ac:dyDescent="0.2">
      <c r="A82" s="1240"/>
      <c r="B82" s="1240"/>
      <c r="C82" s="1240"/>
      <c r="D82" s="1240"/>
      <c r="E82" s="1240"/>
      <c r="F82" s="1240"/>
      <c r="J82" s="1446" t="s">
        <v>24</v>
      </c>
      <c r="K82" s="1446"/>
      <c r="L82" s="1469">
        <f>L3</f>
        <v>0</v>
      </c>
      <c r="M82" s="1469"/>
    </row>
    <row r="83" spans="1:20" ht="20.100000000000001" customHeight="1" x14ac:dyDescent="0.2">
      <c r="A83" s="1697" t="s">
        <v>456</v>
      </c>
      <c r="B83" s="1697"/>
      <c r="C83" s="1697"/>
      <c r="D83" s="1697"/>
      <c r="E83" s="1697"/>
      <c r="F83" s="1697"/>
      <c r="G83" s="1697"/>
      <c r="H83" s="1697"/>
      <c r="I83" s="1697"/>
      <c r="J83" s="1697"/>
      <c r="K83" s="1697"/>
      <c r="L83" s="1697"/>
      <c r="M83" s="1697"/>
    </row>
    <row r="84" spans="1:20" ht="20.100000000000001" customHeight="1" x14ac:dyDescent="0.2">
      <c r="A84" s="1697"/>
      <c r="B84" s="1697"/>
      <c r="C84" s="1697"/>
      <c r="D84" s="1697"/>
      <c r="E84" s="1697"/>
      <c r="F84" s="1697"/>
      <c r="G84" s="1697"/>
      <c r="H84" s="1697"/>
      <c r="I84" s="1697"/>
      <c r="J84" s="1697"/>
      <c r="K84" s="1697"/>
      <c r="L84" s="1697"/>
      <c r="M84" s="1697"/>
    </row>
    <row r="85" spans="1:20" ht="20.100000000000001" customHeight="1" x14ac:dyDescent="0.2">
      <c r="A85" s="1697"/>
      <c r="B85" s="1697"/>
      <c r="C85" s="1697"/>
      <c r="D85" s="1697"/>
      <c r="E85" s="1697"/>
      <c r="F85" s="1697"/>
      <c r="G85" s="1697"/>
      <c r="H85" s="1697"/>
      <c r="I85" s="1697"/>
      <c r="J85" s="1697"/>
      <c r="K85" s="1697"/>
      <c r="L85" s="1697"/>
      <c r="M85" s="1697"/>
    </row>
    <row r="86" spans="1:20" ht="20.100000000000001" customHeight="1" x14ac:dyDescent="0.2">
      <c r="A86" s="1243"/>
      <c r="B86" s="1243"/>
      <c r="C86" s="1243"/>
      <c r="D86" s="1243"/>
      <c r="E86" s="1243"/>
      <c r="F86" s="1243"/>
      <c r="G86" s="1243"/>
      <c r="H86" s="1243"/>
      <c r="I86" s="1243"/>
      <c r="J86" s="1243"/>
    </row>
    <row r="87" spans="1:20" ht="8.25" customHeight="1" x14ac:dyDescent="0.2">
      <c r="A87" s="1243"/>
      <c r="B87" s="1243"/>
      <c r="C87" s="1243"/>
      <c r="D87" s="1243"/>
      <c r="E87" s="1243"/>
      <c r="F87" s="1243"/>
      <c r="G87" s="1243"/>
      <c r="H87" s="1243"/>
      <c r="I87" s="1243"/>
      <c r="J87" s="1243"/>
    </row>
    <row r="88" spans="1:20" ht="26.1" customHeight="1" x14ac:dyDescent="0.2">
      <c r="A88" s="1244"/>
      <c r="B88" s="1244"/>
      <c r="C88" s="1244"/>
      <c r="D88" s="1244"/>
      <c r="E88" s="1244"/>
      <c r="F88" s="1244"/>
      <c r="G88" s="1244"/>
      <c r="H88" s="1244"/>
      <c r="I88" s="1244"/>
      <c r="J88" s="1244"/>
    </row>
    <row r="89" spans="1:20" ht="23.1" customHeight="1" x14ac:dyDescent="0.2">
      <c r="A89" s="1482" t="s">
        <v>251</v>
      </c>
      <c r="B89" s="1482"/>
      <c r="C89" s="1482"/>
      <c r="D89" s="1482"/>
    </row>
    <row r="90" spans="1:20" ht="20.100000000000001" customHeight="1" x14ac:dyDescent="0.2"/>
    <row r="91" spans="1:20" s="1245" customFormat="1" ht="33" customHeight="1" x14ac:dyDescent="0.2">
      <c r="A91" s="1169" t="s">
        <v>130</v>
      </c>
      <c r="B91" s="1438" t="s">
        <v>270</v>
      </c>
      <c r="C91" s="1438"/>
      <c r="D91" s="1438"/>
      <c r="E91" s="1438"/>
      <c r="F91" s="1438"/>
      <c r="G91" s="1438"/>
      <c r="H91" s="1438"/>
      <c r="I91" s="1438"/>
      <c r="J91" s="1438"/>
      <c r="K91" s="1438"/>
      <c r="L91" s="1438"/>
      <c r="M91" s="1438"/>
      <c r="P91" s="1173"/>
      <c r="Q91" s="1173"/>
      <c r="R91" s="1173"/>
      <c r="S91" s="1173"/>
      <c r="T91" s="1173"/>
    </row>
    <row r="92" spans="1:20" s="1245" customFormat="1" ht="23.1" customHeight="1" x14ac:dyDescent="0.2">
      <c r="A92" s="1169" t="s">
        <v>130</v>
      </c>
      <c r="B92" s="1438" t="s">
        <v>271</v>
      </c>
      <c r="C92" s="1438"/>
      <c r="D92" s="1438"/>
      <c r="E92" s="1438"/>
      <c r="F92" s="1438"/>
      <c r="G92" s="1438"/>
      <c r="H92" s="1438"/>
      <c r="I92" s="1438"/>
      <c r="J92" s="1438"/>
      <c r="K92" s="1438"/>
      <c r="L92" s="1438"/>
      <c r="M92" s="1438"/>
      <c r="P92" s="1173"/>
      <c r="Q92" s="1173"/>
      <c r="R92" s="1173"/>
      <c r="S92" s="1173"/>
      <c r="T92" s="1173"/>
    </row>
    <row r="93" spans="1:20" s="1245" customFormat="1" ht="33" customHeight="1" x14ac:dyDescent="0.2">
      <c r="A93" s="1169" t="s">
        <v>130</v>
      </c>
      <c r="B93" s="1438" t="s">
        <v>284</v>
      </c>
      <c r="C93" s="1438"/>
      <c r="D93" s="1438"/>
      <c r="E93" s="1438"/>
      <c r="F93" s="1438"/>
      <c r="G93" s="1438"/>
      <c r="H93" s="1438"/>
      <c r="I93" s="1438"/>
      <c r="J93" s="1438"/>
      <c r="K93" s="1438"/>
      <c r="L93" s="1438"/>
      <c r="M93" s="1438"/>
      <c r="P93" s="1173"/>
      <c r="Q93" s="1173"/>
      <c r="R93" s="1173"/>
      <c r="S93" s="1173"/>
      <c r="T93" s="1173"/>
    </row>
    <row r="94" spans="1:20" s="1245" customFormat="1" ht="33" customHeight="1" x14ac:dyDescent="0.25">
      <c r="A94" s="1169" t="s">
        <v>130</v>
      </c>
      <c r="B94" s="1438" t="s">
        <v>317</v>
      </c>
      <c r="C94" s="1438"/>
      <c r="D94" s="1438"/>
      <c r="E94" s="1438"/>
      <c r="F94" s="1438"/>
      <c r="G94" s="1438"/>
      <c r="H94" s="1438"/>
      <c r="I94" s="1438"/>
      <c r="J94" s="1438"/>
      <c r="K94" s="1172"/>
      <c r="L94" s="1172"/>
      <c r="M94" s="1172"/>
    </row>
    <row r="95" spans="1:20" s="1245" customFormat="1" ht="23.1" customHeight="1" x14ac:dyDescent="0.25">
      <c r="A95" s="1169" t="s">
        <v>130</v>
      </c>
      <c r="B95" s="1438" t="s">
        <v>185</v>
      </c>
      <c r="C95" s="1438"/>
      <c r="D95" s="1438"/>
      <c r="E95" s="1438"/>
      <c r="F95" s="1438"/>
      <c r="G95" s="1438"/>
      <c r="H95" s="1438"/>
      <c r="I95" s="1438"/>
      <c r="J95" s="1438"/>
      <c r="K95" s="1438"/>
      <c r="L95" s="1438"/>
      <c r="M95" s="1438"/>
    </row>
    <row r="96" spans="1:20" s="1245" customFormat="1" ht="33" customHeight="1" x14ac:dyDescent="0.25">
      <c r="A96" s="1169" t="s">
        <v>130</v>
      </c>
      <c r="B96" s="1438" t="s">
        <v>272</v>
      </c>
      <c r="C96" s="1438"/>
      <c r="D96" s="1438"/>
      <c r="E96" s="1438"/>
      <c r="F96" s="1438"/>
      <c r="G96" s="1438"/>
      <c r="H96" s="1438"/>
      <c r="I96" s="1438"/>
      <c r="J96" s="1438"/>
      <c r="K96" s="1438"/>
      <c r="L96" s="1438"/>
      <c r="M96" s="1438"/>
    </row>
    <row r="97" spans="1:13" s="1245" customFormat="1" ht="23.1" customHeight="1" x14ac:dyDescent="0.25">
      <c r="A97" s="1169" t="s">
        <v>130</v>
      </c>
      <c r="B97" s="1438" t="s">
        <v>295</v>
      </c>
      <c r="C97" s="1438"/>
      <c r="D97" s="1438"/>
      <c r="E97" s="1438"/>
      <c r="F97" s="1438"/>
      <c r="G97" s="1438"/>
      <c r="H97" s="1438"/>
      <c r="I97" s="1438"/>
      <c r="J97" s="1438"/>
      <c r="K97" s="1438"/>
      <c r="L97" s="1438"/>
      <c r="M97" s="1438"/>
    </row>
    <row r="98" spans="1:13" s="1245" customFormat="1" ht="23.1" customHeight="1" x14ac:dyDescent="0.25">
      <c r="A98" s="1169" t="s">
        <v>130</v>
      </c>
      <c r="B98" s="1438" t="s">
        <v>285</v>
      </c>
      <c r="C98" s="1438"/>
      <c r="D98" s="1438"/>
      <c r="E98" s="1438"/>
      <c r="F98" s="1438"/>
      <c r="G98" s="1438"/>
      <c r="H98" s="1438"/>
      <c r="I98" s="1438"/>
      <c r="J98" s="1438"/>
      <c r="K98" s="1438"/>
      <c r="L98" s="1438"/>
      <c r="M98" s="1438"/>
    </row>
    <row r="99" spans="1:13" ht="23.1" customHeight="1" x14ac:dyDescent="0.2">
      <c r="A99" s="1169" t="s">
        <v>130</v>
      </c>
      <c r="B99" s="1438" t="s">
        <v>308</v>
      </c>
      <c r="C99" s="1438"/>
      <c r="D99" s="1438"/>
      <c r="E99" s="1438"/>
      <c r="F99" s="1438"/>
      <c r="G99" s="1438"/>
      <c r="H99" s="1438"/>
      <c r="I99" s="1438"/>
      <c r="J99" s="1438"/>
      <c r="K99" s="1438"/>
      <c r="L99" s="1438"/>
      <c r="M99" s="1438"/>
    </row>
    <row r="100" spans="1:13" ht="23.1" customHeight="1" x14ac:dyDescent="0.2">
      <c r="A100" s="1169" t="s">
        <v>130</v>
      </c>
      <c r="B100" s="1438" t="s">
        <v>349</v>
      </c>
      <c r="C100" s="1438"/>
      <c r="D100" s="1438"/>
      <c r="E100" s="1438"/>
      <c r="F100" s="1438"/>
      <c r="G100" s="1438"/>
      <c r="H100" s="1438"/>
      <c r="I100" s="1438"/>
      <c r="J100" s="1438"/>
      <c r="K100" s="1438"/>
      <c r="L100" s="1438"/>
      <c r="M100" s="1438"/>
    </row>
    <row r="101" spans="1:13" ht="33" customHeight="1" x14ac:dyDescent="0.2">
      <c r="A101" s="1169" t="s">
        <v>130</v>
      </c>
      <c r="B101" s="1438" t="s">
        <v>545</v>
      </c>
      <c r="C101" s="1438"/>
      <c r="D101" s="1438"/>
      <c r="E101" s="1438"/>
      <c r="F101" s="1438"/>
      <c r="G101" s="1438"/>
      <c r="H101" s="1438"/>
      <c r="I101" s="1438"/>
      <c r="J101" s="1438"/>
      <c r="K101" s="1438"/>
      <c r="L101" s="1438"/>
      <c r="M101" s="1438"/>
    </row>
    <row r="102" spans="1:13" ht="20.100000000000001" customHeight="1" x14ac:dyDescent="0.2">
      <c r="A102" s="395"/>
      <c r="B102" s="1699"/>
      <c r="C102" s="1699"/>
      <c r="D102" s="1699"/>
      <c r="E102" s="1699"/>
      <c r="F102" s="1699"/>
      <c r="G102" s="1699"/>
      <c r="H102" s="1699"/>
      <c r="I102" s="1699"/>
      <c r="J102" s="1699"/>
    </row>
    <row r="103" spans="1:13" ht="20.100000000000001" customHeight="1" x14ac:dyDescent="0.2"/>
    <row r="104" spans="1:13" ht="23.1" customHeight="1" x14ac:dyDescent="0.25">
      <c r="A104" s="1484" t="s">
        <v>16</v>
      </c>
      <c r="B104" s="1484"/>
      <c r="C104" s="1484"/>
      <c r="E104" s="396"/>
    </row>
    <row r="105" spans="1:13" ht="20.100000000000001" customHeight="1" x14ac:dyDescent="0.2"/>
    <row r="106" spans="1:13" ht="20.100000000000001" customHeight="1" x14ac:dyDescent="0.2">
      <c r="G106" s="1246"/>
      <c r="J106" s="1174"/>
    </row>
    <row r="107" spans="1:13" ht="23.1" customHeight="1" thickBot="1" x14ac:dyDescent="0.3">
      <c r="A107" s="396"/>
      <c r="B107" s="1468"/>
      <c r="C107" s="1468"/>
      <c r="D107" s="1468"/>
      <c r="E107" s="1468"/>
      <c r="F107" s="397"/>
      <c r="H107" s="1468"/>
      <c r="I107" s="1468"/>
      <c r="J107" s="1468"/>
      <c r="K107" s="1468"/>
      <c r="L107" s="397"/>
    </row>
    <row r="108" spans="1:13" ht="23.1" customHeight="1" x14ac:dyDescent="0.2">
      <c r="B108" s="1442" t="s">
        <v>247</v>
      </c>
      <c r="C108" s="1442"/>
      <c r="D108" s="1442"/>
      <c r="E108" s="1442"/>
      <c r="F108" s="1190"/>
      <c r="I108" s="1443" t="s">
        <v>127</v>
      </c>
      <c r="J108" s="1443"/>
      <c r="K108" s="1443"/>
      <c r="L108" s="1443"/>
    </row>
    <row r="109" spans="1:13" ht="23.1" customHeight="1" x14ac:dyDescent="0.25">
      <c r="A109" s="396"/>
      <c r="B109" s="1439" t="e">
        <f>VLOOKUP($F$107,'DATOS %'!$V$161:$Y$165,4,FALSE)</f>
        <v>#N/A</v>
      </c>
      <c r="C109" s="1439"/>
      <c r="D109" s="1439"/>
      <c r="E109" s="1439"/>
      <c r="F109" s="524"/>
      <c r="I109" s="1439" t="e">
        <f>VLOOKUP($L$107,'DATOS %'!V161:AA165,6,FALSE)</f>
        <v>#N/A</v>
      </c>
      <c r="J109" s="1439"/>
      <c r="K109" s="1439"/>
      <c r="L109" s="1439"/>
    </row>
    <row r="110" spans="1:13" ht="23.1" customHeight="1" x14ac:dyDescent="0.2">
      <c r="B110" s="1439" t="e">
        <f>VLOOKUP($F$107,'DATOS %'!$V$161:$Y$165,2,FALSE)</f>
        <v>#N/A</v>
      </c>
      <c r="C110" s="1439"/>
      <c r="D110" s="1439"/>
      <c r="E110" s="1439"/>
      <c r="F110" s="1190"/>
      <c r="I110" s="1439" t="e">
        <f>VLOOKUP($L$107,'DATOS %'!$V$161:$AA$165,2,FALSE)</f>
        <v>#N/A</v>
      </c>
      <c r="J110" s="1439"/>
      <c r="K110" s="1439"/>
      <c r="L110" s="1439"/>
    </row>
    <row r="111" spans="1:13" x14ac:dyDescent="0.2">
      <c r="J111" s="1174"/>
    </row>
    <row r="112" spans="1:13" ht="23.1" customHeight="1" x14ac:dyDescent="0.2">
      <c r="B112" s="1698" t="s">
        <v>296</v>
      </c>
      <c r="C112" s="1698"/>
      <c r="D112" s="1700"/>
      <c r="E112" s="1700"/>
      <c r="F112" s="1247"/>
      <c r="G112" s="1248"/>
      <c r="H112" s="1444" t="s">
        <v>350</v>
      </c>
      <c r="I112" s="1444"/>
      <c r="J112" s="1444"/>
      <c r="K112" s="1700"/>
      <c r="L112" s="1700"/>
      <c r="M112" s="1180"/>
    </row>
    <row r="113" spans="1:13" x14ac:dyDescent="0.2">
      <c r="J113" s="1174"/>
    </row>
    <row r="114" spans="1:13" ht="23.1" customHeight="1" x14ac:dyDescent="0.25">
      <c r="A114" s="1436" t="s">
        <v>60</v>
      </c>
      <c r="B114" s="1436"/>
      <c r="C114" s="1436"/>
      <c r="D114" s="1436"/>
      <c r="E114" s="1436"/>
      <c r="F114" s="1436"/>
      <c r="G114" s="1436"/>
      <c r="H114" s="1436"/>
      <c r="I114" s="1436"/>
      <c r="J114" s="1436"/>
      <c r="K114" s="1436"/>
      <c r="L114" s="1436"/>
      <c r="M114" s="1436"/>
    </row>
  </sheetData>
  <sheetProtection password="CF5C" sheet="1" objects="1" scenarios="1"/>
  <mergeCells count="104">
    <mergeCell ref="A1:M1"/>
    <mergeCell ref="A52:M52"/>
    <mergeCell ref="A28:M28"/>
    <mergeCell ref="A22:M22"/>
    <mergeCell ref="K57:L57"/>
    <mergeCell ref="A57:A58"/>
    <mergeCell ref="A6:B6"/>
    <mergeCell ref="J3:K3"/>
    <mergeCell ref="L3:M3"/>
    <mergeCell ref="A4:C4"/>
    <mergeCell ref="G4:H4"/>
    <mergeCell ref="D6:J6"/>
    <mergeCell ref="F57:F58"/>
    <mergeCell ref="A17:C17"/>
    <mergeCell ref="A21:F21"/>
    <mergeCell ref="B23:E23"/>
    <mergeCell ref="A24:D24"/>
    <mergeCell ref="E24:F24"/>
    <mergeCell ref="H45:I45"/>
    <mergeCell ref="J36:K36"/>
    <mergeCell ref="J32:K32"/>
    <mergeCell ref="L32:M32"/>
    <mergeCell ref="D17:E17"/>
    <mergeCell ref="A26:J26"/>
    <mergeCell ref="A114:M114"/>
    <mergeCell ref="A83:M85"/>
    <mergeCell ref="B91:M91"/>
    <mergeCell ref="B92:M92"/>
    <mergeCell ref="B93:M93"/>
    <mergeCell ref="B95:M95"/>
    <mergeCell ref="B96:M96"/>
    <mergeCell ref="B97:M97"/>
    <mergeCell ref="B98:M98"/>
    <mergeCell ref="B99:M99"/>
    <mergeCell ref="B100:M100"/>
    <mergeCell ref="B101:M101"/>
    <mergeCell ref="H112:J112"/>
    <mergeCell ref="B112:C112"/>
    <mergeCell ref="H107:K107"/>
    <mergeCell ref="A104:C104"/>
    <mergeCell ref="B110:E110"/>
    <mergeCell ref="I108:L108"/>
    <mergeCell ref="B102:J102"/>
    <mergeCell ref="A89:D89"/>
    <mergeCell ref="B94:J94"/>
    <mergeCell ref="D112:E112"/>
    <mergeCell ref="K112:L112"/>
    <mergeCell ref="A7:B7"/>
    <mergeCell ref="J45:K45"/>
    <mergeCell ref="A40:J40"/>
    <mergeCell ref="J44:K44"/>
    <mergeCell ref="D35:E36"/>
    <mergeCell ref="F35:G36"/>
    <mergeCell ref="H35:K35"/>
    <mergeCell ref="D7:J7"/>
    <mergeCell ref="B37:C37"/>
    <mergeCell ref="D37:E37"/>
    <mergeCell ref="F37:G37"/>
    <mergeCell ref="A33:J33"/>
    <mergeCell ref="B35:C36"/>
    <mergeCell ref="H36:I36"/>
    <mergeCell ref="F17:G17"/>
    <mergeCell ref="A8:B8"/>
    <mergeCell ref="D8:G8"/>
    <mergeCell ref="A42:M42"/>
    <mergeCell ref="A48:J48"/>
    <mergeCell ref="A55:J55"/>
    <mergeCell ref="J54:K54"/>
    <mergeCell ref="L54:M54"/>
    <mergeCell ref="A38:B38"/>
    <mergeCell ref="G57:H57"/>
    <mergeCell ref="I57:J57"/>
    <mergeCell ref="B57:B58"/>
    <mergeCell ref="C57:D57"/>
    <mergeCell ref="E57:E58"/>
    <mergeCell ref="E38:F38"/>
    <mergeCell ref="B44:D44"/>
    <mergeCell ref="H44:I44"/>
    <mergeCell ref="B45:D45"/>
    <mergeCell ref="A50:M50"/>
    <mergeCell ref="J82:K82"/>
    <mergeCell ref="L82:M82"/>
    <mergeCell ref="I109:L109"/>
    <mergeCell ref="B109:E109"/>
    <mergeCell ref="I110:L110"/>
    <mergeCell ref="A10:C10"/>
    <mergeCell ref="D10:E10"/>
    <mergeCell ref="F10:H10"/>
    <mergeCell ref="I10:J10"/>
    <mergeCell ref="A14:C14"/>
    <mergeCell ref="A15:C15"/>
    <mergeCell ref="D15:G15"/>
    <mergeCell ref="A12:J12"/>
    <mergeCell ref="D14:J14"/>
    <mergeCell ref="A19:E19"/>
    <mergeCell ref="A16:C16"/>
    <mergeCell ref="D16:G16"/>
    <mergeCell ref="F19:J19"/>
    <mergeCell ref="B107:E107"/>
    <mergeCell ref="B108:E108"/>
    <mergeCell ref="B46:D46"/>
    <mergeCell ref="H46:I46"/>
    <mergeCell ref="J46:K46"/>
    <mergeCell ref="C38:D38"/>
  </mergeCells>
  <dataValidations count="1">
    <dataValidation type="list" allowBlank="1" showInputMessage="1" showErrorMessage="1" sqref="F107" xr:uid="{00000000-0002-0000-2400-000000000000}">
      <formula1>$V$157:$V$161</formula1>
    </dataValidation>
  </dataValidations>
  <printOptions horizontalCentered="1"/>
  <pageMargins left="0.70866141732283472" right="0.70866141732283472" top="0.6692913385826772" bottom="0" header="0.31496062992125984" footer="0.31496062992125984"/>
  <pageSetup scale="65" orientation="portrait" r:id="rId1"/>
  <headerFooter>
    <oddHeader xml:space="preserve">&amp;C&amp;"-,Negrita"
           CERTIFICADO DE CALIBRACIÓN DE PESAS </oddHeader>
    <oddFooter>&amp;R
RT03-F16 Vr.13 (2021-05-21)
&amp;P de &amp;N</oddFooter>
  </headerFooter>
  <rowBreaks count="3" manualBreakCount="3">
    <brk id="29" max="12" man="1"/>
    <brk id="51" max="12" man="1"/>
    <brk id="79" max="12" man="1"/>
  </rowBreaks>
  <ignoredErrors>
    <ignoredError sqref="E8:I8 D10 D16 D17 A22 E24 D7" unlockedFormula="1"/>
  </ignoredErrors>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2400-000001000000}">
          <x14:formula1>
            <xm:f>'DATOS %'!$V$161:$V$165</xm:f>
          </x14:formula1>
          <xm:sqref>L107</xm:sqref>
        </x14:dataValidation>
        <x14:dataValidation type="list" allowBlank="1" showInputMessage="1" showErrorMessage="1" xr:uid="{00000000-0002-0000-2400-000002000000}">
          <x14:formula1>
            <xm:f>'DATOS %'!$B$175:$B$187</xm:f>
          </x14:formula1>
          <xm:sqref>K34</xm:sqref>
        </x14:dataValidation>
      </x14:dataValidations>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X156"/>
  <sheetViews>
    <sheetView showGridLines="0" view="pageBreakPreview" topLeftCell="D1" zoomScale="60" zoomScaleNormal="50" workbookViewId="0">
      <selection activeCell="C65" sqref="C65"/>
    </sheetView>
  </sheetViews>
  <sheetFormatPr baseColWidth="10" defaultColWidth="10.85546875" defaultRowHeight="15" x14ac:dyDescent="0.2"/>
  <cols>
    <col min="1" max="1" width="13.7109375" style="767" customWidth="1"/>
    <col min="2" max="2" width="18.7109375" style="768" customWidth="1"/>
    <col min="3" max="3" width="13.7109375" style="768" customWidth="1"/>
    <col min="4" max="4" width="22.140625" style="768" customWidth="1"/>
    <col min="5" max="5" width="16.85546875" style="768" customWidth="1"/>
    <col min="6" max="6" width="11.28515625" style="768" customWidth="1"/>
    <col min="7" max="7" width="12.7109375" style="768" customWidth="1"/>
    <col min="8" max="8" width="18.140625" style="767" customWidth="1"/>
    <col min="9" max="9" width="18.28515625" style="767" customWidth="1"/>
    <col min="10" max="11" width="11.5703125" style="767" customWidth="1"/>
    <col min="12" max="12" width="15.28515625" style="767" customWidth="1"/>
    <col min="13" max="13" width="17.5703125" style="767" customWidth="1"/>
    <col min="14" max="18" width="13.7109375" style="767" customWidth="1"/>
    <col min="19" max="16384" width="10.85546875" style="767"/>
  </cols>
  <sheetData>
    <row r="1" spans="1:24" ht="30" customHeight="1" x14ac:dyDescent="0.2">
      <c r="A1" s="1395"/>
      <c r="B1" s="1396"/>
      <c r="C1" s="1396"/>
      <c r="D1" s="1401" t="s">
        <v>57</v>
      </c>
      <c r="E1" s="1402"/>
      <c r="F1" s="1402"/>
      <c r="G1" s="1402"/>
      <c r="H1" s="1402"/>
      <c r="I1" s="1402"/>
      <c r="J1" s="1402"/>
      <c r="K1" s="1402"/>
      <c r="L1" s="1402"/>
      <c r="M1" s="1402"/>
      <c r="N1" s="1402"/>
      <c r="O1" s="1402"/>
      <c r="P1" s="1402"/>
      <c r="Q1" s="1402"/>
      <c r="R1" s="1402"/>
      <c r="S1" s="1402"/>
      <c r="T1" s="1402"/>
      <c r="U1" s="1402"/>
      <c r="V1" s="1402"/>
      <c r="W1" s="1402"/>
      <c r="X1" s="1402"/>
    </row>
    <row r="2" spans="1:24" ht="30" customHeight="1" x14ac:dyDescent="0.2">
      <c r="A2" s="1397"/>
      <c r="B2" s="1398"/>
      <c r="C2" s="1398"/>
      <c r="D2" s="1403"/>
      <c r="E2" s="1404"/>
      <c r="F2" s="1404"/>
      <c r="G2" s="1404"/>
      <c r="H2" s="1404"/>
      <c r="I2" s="1404"/>
      <c r="J2" s="1404"/>
      <c r="K2" s="1404"/>
      <c r="L2" s="1404"/>
      <c r="M2" s="1404"/>
      <c r="N2" s="1404"/>
      <c r="O2" s="1404"/>
      <c r="P2" s="1404"/>
      <c r="Q2" s="1404"/>
      <c r="R2" s="1404"/>
      <c r="S2" s="1404"/>
      <c r="T2" s="1404"/>
      <c r="U2" s="1404"/>
      <c r="V2" s="1404"/>
      <c r="W2" s="1404"/>
      <c r="X2" s="1404"/>
    </row>
    <row r="3" spans="1:24" ht="30" customHeight="1" thickBot="1" x14ac:dyDescent="0.25">
      <c r="A3" s="1399"/>
      <c r="B3" s="1400"/>
      <c r="C3" s="1400"/>
      <c r="D3" s="1405"/>
      <c r="E3" s="1406"/>
      <c r="F3" s="1406"/>
      <c r="G3" s="1406"/>
      <c r="H3" s="1406"/>
      <c r="I3" s="1406"/>
      <c r="J3" s="1406"/>
      <c r="K3" s="1406"/>
      <c r="L3" s="1406"/>
      <c r="M3" s="1406"/>
      <c r="N3" s="1406"/>
      <c r="O3" s="1406"/>
      <c r="P3" s="1406"/>
      <c r="Q3" s="1406"/>
      <c r="R3" s="1406"/>
      <c r="S3" s="1406"/>
      <c r="T3" s="1406"/>
      <c r="U3" s="1406"/>
      <c r="V3" s="1406"/>
      <c r="W3" s="1406"/>
      <c r="X3" s="1406"/>
    </row>
    <row r="4" spans="1:24" ht="15" customHeight="1" x14ac:dyDescent="0.2">
      <c r="A4" s="1407"/>
      <c r="B4" s="1407"/>
      <c r="C4" s="1407"/>
      <c r="D4" s="1407"/>
      <c r="E4" s="1407"/>
      <c r="F4" s="1407"/>
      <c r="G4" s="1407"/>
      <c r="H4" s="1407"/>
      <c r="I4" s="1407"/>
      <c r="J4" s="1407"/>
      <c r="K4" s="1407"/>
      <c r="L4" s="1407"/>
      <c r="M4" s="1407"/>
      <c r="N4" s="1407"/>
      <c r="O4" s="1407"/>
      <c r="P4" s="1407"/>
      <c r="Q4" s="1407"/>
      <c r="R4" s="1407"/>
    </row>
    <row r="5" spans="1:24" ht="20.100000000000001" customHeight="1" thickBot="1" x14ac:dyDescent="0.25">
      <c r="A5" s="418"/>
      <c r="B5" s="418"/>
      <c r="C5" s="418"/>
      <c r="D5" s="418"/>
      <c r="E5" s="418"/>
      <c r="F5" s="418"/>
      <c r="G5" s="418"/>
      <c r="H5" s="418"/>
      <c r="I5" s="418"/>
      <c r="J5" s="418"/>
      <c r="K5" s="418"/>
      <c r="L5" s="418"/>
      <c r="M5" s="418"/>
      <c r="N5" s="418"/>
      <c r="O5" s="418"/>
      <c r="P5" s="418"/>
      <c r="Q5" s="418"/>
      <c r="R5" s="418"/>
    </row>
    <row r="6" spans="1:24" ht="57.75" customHeight="1" thickBot="1" x14ac:dyDescent="0.25">
      <c r="A6" s="889" t="s">
        <v>448</v>
      </c>
      <c r="B6" s="890" t="s">
        <v>306</v>
      </c>
      <c r="C6" s="890" t="s">
        <v>447</v>
      </c>
      <c r="D6" s="890" t="s">
        <v>444</v>
      </c>
      <c r="E6" s="890" t="s">
        <v>202</v>
      </c>
      <c r="F6" s="890" t="s">
        <v>445</v>
      </c>
      <c r="G6" s="890" t="s">
        <v>445</v>
      </c>
      <c r="H6" s="890" t="s">
        <v>446</v>
      </c>
      <c r="I6" s="890" t="s">
        <v>450</v>
      </c>
      <c r="J6" s="890" t="s">
        <v>451</v>
      </c>
      <c r="K6" s="890" t="s">
        <v>452</v>
      </c>
      <c r="L6" s="890" t="s">
        <v>458</v>
      </c>
      <c r="M6" s="891" t="s">
        <v>457</v>
      </c>
      <c r="N6" s="418"/>
      <c r="O6" s="1703" t="s">
        <v>449</v>
      </c>
      <c r="P6" s="1704"/>
      <c r="Q6" s="1705"/>
      <c r="R6" s="1706" t="s">
        <v>449</v>
      </c>
      <c r="S6" s="1704"/>
      <c r="T6" s="1705"/>
      <c r="W6" s="768"/>
    </row>
    <row r="7" spans="1:24" ht="39.950000000000003" customHeight="1" x14ac:dyDescent="0.2">
      <c r="A7" s="769">
        <v>1</v>
      </c>
      <c r="B7" s="770" t="e">
        <f>'Cert Juego gramo %'!B59</f>
        <v>#N/A</v>
      </c>
      <c r="C7" s="770" t="str">
        <f>'Cert Juego gramo %'!C59</f>
        <v>1 g</v>
      </c>
      <c r="D7" s="771" t="e">
        <f>'Cert Juego gramo %'!D59</f>
        <v>#N/A</v>
      </c>
      <c r="E7" s="771">
        <f>'Cert Juego gramo %'!E59</f>
        <v>0.33</v>
      </c>
      <c r="F7" s="772">
        <f>'Cert Juego gramo %'!F59</f>
        <v>1</v>
      </c>
      <c r="G7" s="772">
        <v>-1</v>
      </c>
      <c r="H7" s="773" t="e">
        <f>_xlfn.NORM.S.DIST(K7,1)</f>
        <v>#N/A</v>
      </c>
      <c r="I7" s="774" t="e">
        <f>1-H7</f>
        <v>#N/A</v>
      </c>
      <c r="J7" s="442" t="e">
        <f t="shared" ref="J7:J26" si="0">ABS(D7)</f>
        <v>#N/A</v>
      </c>
      <c r="K7" s="775" t="e">
        <f>(F7-J7)/(E7/2)</f>
        <v>#N/A</v>
      </c>
      <c r="L7" s="776">
        <f>F7-E7</f>
        <v>0.66999999999999993</v>
      </c>
      <c r="M7" s="443" t="e">
        <f>IF(AND(H7&gt;=97.5%,I7&lt;=2.5%),"SI","NO")</f>
        <v>#N/A</v>
      </c>
      <c r="N7" s="418"/>
      <c r="O7" s="777">
        <f>'DATOS %'!$X$134</f>
        <v>1</v>
      </c>
      <c r="P7" s="778">
        <f>'DATOS %'!$X$134</f>
        <v>1</v>
      </c>
      <c r="Q7" s="779">
        <f>'DATOS %'!$X$134</f>
        <v>1</v>
      </c>
      <c r="R7" s="777">
        <f>-$O$7</f>
        <v>-1</v>
      </c>
      <c r="S7" s="778">
        <f>-$O$7</f>
        <v>-1</v>
      </c>
      <c r="T7" s="779">
        <f>-$O$7</f>
        <v>-1</v>
      </c>
      <c r="W7" s="768"/>
    </row>
    <row r="8" spans="1:24" ht="39.950000000000003" customHeight="1" x14ac:dyDescent="0.2">
      <c r="A8" s="780">
        <v>2</v>
      </c>
      <c r="B8" s="781" t="e">
        <f>'Cert Juego gramo %'!B60</f>
        <v>#N/A</v>
      </c>
      <c r="C8" s="781" t="str">
        <f>'Cert Juego gramo %'!C60</f>
        <v>2 g</v>
      </c>
      <c r="D8" s="782" t="e">
        <f>'Cert Juego gramo %'!D60</f>
        <v>#N/A</v>
      </c>
      <c r="E8" s="782">
        <f>'Cert Juego gramo %'!E60</f>
        <v>0.4</v>
      </c>
      <c r="F8" s="783">
        <f>'Cert Juego gramo %'!F60</f>
        <v>1.2</v>
      </c>
      <c r="G8" s="783">
        <v>-1.2</v>
      </c>
      <c r="H8" s="784" t="e">
        <f t="shared" ref="H8:H25" si="1">_xlfn.NORM.S.DIST(K8,1)</f>
        <v>#N/A</v>
      </c>
      <c r="I8" s="785" t="e">
        <f t="shared" ref="I8:I26" si="2">1-H8</f>
        <v>#N/A</v>
      </c>
      <c r="J8" s="428" t="e">
        <f t="shared" si="0"/>
        <v>#N/A</v>
      </c>
      <c r="K8" s="786" t="e">
        <f t="shared" ref="K8:K26" si="3">(F8-J8)/(E8/2)</f>
        <v>#N/A</v>
      </c>
      <c r="L8" s="787">
        <f t="shared" ref="L8:L22" si="4">F8-E8</f>
        <v>0.79999999999999993</v>
      </c>
      <c r="M8" s="892" t="e">
        <f t="shared" ref="M8:M26" si="5">IF(AND(H8&gt;=97.5%,I8&lt;=2.5%),"SI","NO")</f>
        <v>#N/A</v>
      </c>
      <c r="N8" s="418"/>
      <c r="O8" s="788">
        <f>'DATOS %'!$X$135</f>
        <v>1.2</v>
      </c>
      <c r="P8" s="789">
        <f>'DATOS %'!$X$135</f>
        <v>1.2</v>
      </c>
      <c r="Q8" s="790">
        <f>'DATOS %'!$X$135</f>
        <v>1.2</v>
      </c>
      <c r="R8" s="788">
        <f>-$O$8</f>
        <v>-1.2</v>
      </c>
      <c r="S8" s="789">
        <f>-$O$8</f>
        <v>-1.2</v>
      </c>
      <c r="T8" s="790">
        <f>-$O$8</f>
        <v>-1.2</v>
      </c>
      <c r="W8" s="768"/>
    </row>
    <row r="9" spans="1:24" ht="39.950000000000003" customHeight="1" x14ac:dyDescent="0.2">
      <c r="A9" s="780">
        <v>3</v>
      </c>
      <c r="B9" s="781" t="e">
        <f>'Cert Juego gramo %'!B61</f>
        <v>#N/A</v>
      </c>
      <c r="C9" s="781" t="str">
        <f>'Cert Juego gramo %'!C61</f>
        <v>2 g</v>
      </c>
      <c r="D9" s="782" t="e">
        <f>'Cert Juego gramo %'!D61</f>
        <v>#N/A</v>
      </c>
      <c r="E9" s="782">
        <f>'Cert Juego gramo %'!E61</f>
        <v>0.4</v>
      </c>
      <c r="F9" s="783">
        <f>'Cert Juego gramo %'!F61</f>
        <v>1.2</v>
      </c>
      <c r="G9" s="783">
        <v>-1.2</v>
      </c>
      <c r="H9" s="784" t="e">
        <f t="shared" si="1"/>
        <v>#N/A</v>
      </c>
      <c r="I9" s="785" t="e">
        <f t="shared" si="2"/>
        <v>#N/A</v>
      </c>
      <c r="J9" s="428" t="e">
        <f t="shared" si="0"/>
        <v>#N/A</v>
      </c>
      <c r="K9" s="786" t="e">
        <f t="shared" si="3"/>
        <v>#N/A</v>
      </c>
      <c r="L9" s="787">
        <f t="shared" si="4"/>
        <v>0.79999999999999993</v>
      </c>
      <c r="M9" s="892" t="e">
        <f t="shared" si="5"/>
        <v>#N/A</v>
      </c>
      <c r="N9" s="418"/>
      <c r="O9" s="788">
        <f>'DATOS %'!$X$137</f>
        <v>1.6</v>
      </c>
      <c r="P9" s="789">
        <f>'DATOS %'!$X$137</f>
        <v>1.6</v>
      </c>
      <c r="Q9" s="790">
        <f>'DATOS %'!$X$137</f>
        <v>1.6</v>
      </c>
      <c r="R9" s="788">
        <f>-$O$9</f>
        <v>-1.6</v>
      </c>
      <c r="S9" s="789">
        <f>-$O$9</f>
        <v>-1.6</v>
      </c>
      <c r="T9" s="790">
        <f>-$O$9</f>
        <v>-1.6</v>
      </c>
      <c r="W9" s="768"/>
    </row>
    <row r="10" spans="1:24" ht="39.950000000000003" customHeight="1" x14ac:dyDescent="0.2">
      <c r="A10" s="780">
        <v>4</v>
      </c>
      <c r="B10" s="781" t="e">
        <f>'Cert Juego gramo %'!B62</f>
        <v>#N/A</v>
      </c>
      <c r="C10" s="781" t="str">
        <f>'Cert Juego gramo %'!C62</f>
        <v xml:space="preserve">5 g </v>
      </c>
      <c r="D10" s="782" t="e">
        <f>'Cert Juego gramo %'!D62</f>
        <v>#N/A</v>
      </c>
      <c r="E10" s="782">
        <f>'Cert Juego gramo %'!E62</f>
        <v>0.53</v>
      </c>
      <c r="F10" s="783">
        <f>'Cert Juego gramo %'!F62</f>
        <v>1.6</v>
      </c>
      <c r="G10" s="783">
        <v>-1.6</v>
      </c>
      <c r="H10" s="784" t="e">
        <f t="shared" si="1"/>
        <v>#N/A</v>
      </c>
      <c r="I10" s="785" t="e">
        <f t="shared" si="2"/>
        <v>#N/A</v>
      </c>
      <c r="J10" s="428" t="e">
        <f t="shared" si="0"/>
        <v>#N/A</v>
      </c>
      <c r="K10" s="786" t="e">
        <f t="shared" si="3"/>
        <v>#N/A</v>
      </c>
      <c r="L10" s="787">
        <f t="shared" si="4"/>
        <v>1.07</v>
      </c>
      <c r="M10" s="892" t="e">
        <f t="shared" si="5"/>
        <v>#N/A</v>
      </c>
      <c r="N10" s="418"/>
      <c r="O10" s="791">
        <f>'DATOS %'!$X$138</f>
        <v>2</v>
      </c>
      <c r="P10" s="792">
        <f>'DATOS %'!$X$138</f>
        <v>2</v>
      </c>
      <c r="Q10" s="793">
        <f>'DATOS %'!$X$138</f>
        <v>2</v>
      </c>
      <c r="R10" s="791">
        <f>-$O$10</f>
        <v>-2</v>
      </c>
      <c r="S10" s="792">
        <f>-$O$10</f>
        <v>-2</v>
      </c>
      <c r="T10" s="793">
        <f>-$O$10</f>
        <v>-2</v>
      </c>
      <c r="W10" s="768"/>
    </row>
    <row r="11" spans="1:24" ht="39.950000000000003" customHeight="1" x14ac:dyDescent="0.2">
      <c r="A11" s="780">
        <v>5</v>
      </c>
      <c r="B11" s="781" t="e">
        <f>'Cert Juego gramo %'!B63</f>
        <v>#N/A</v>
      </c>
      <c r="C11" s="781" t="str">
        <f>'Cert Juego gramo %'!C63</f>
        <v>10 g</v>
      </c>
      <c r="D11" s="782" t="e">
        <f>'Cert Juego gramo %'!D63</f>
        <v>#N/A</v>
      </c>
      <c r="E11" s="782">
        <f>'Cert Juego gramo %'!E63</f>
        <v>0.67</v>
      </c>
      <c r="F11" s="783">
        <f>'Cert Juego gramo %'!F63</f>
        <v>2</v>
      </c>
      <c r="G11" s="783">
        <v>-2</v>
      </c>
      <c r="H11" s="784" t="e">
        <f t="shared" si="1"/>
        <v>#N/A</v>
      </c>
      <c r="I11" s="785" t="e">
        <f t="shared" si="2"/>
        <v>#N/A</v>
      </c>
      <c r="J11" s="428" t="e">
        <f t="shared" si="0"/>
        <v>#N/A</v>
      </c>
      <c r="K11" s="786" t="e">
        <f t="shared" si="3"/>
        <v>#N/A</v>
      </c>
      <c r="L11" s="787">
        <f t="shared" si="4"/>
        <v>1.33</v>
      </c>
      <c r="M11" s="892" t="e">
        <f t="shared" si="5"/>
        <v>#N/A</v>
      </c>
      <c r="N11" s="418"/>
      <c r="O11" s="788">
        <f>'DATOS %'!$X$139</f>
        <v>2.5</v>
      </c>
      <c r="P11" s="789">
        <f>'DATOS %'!$X$139</f>
        <v>2.5</v>
      </c>
      <c r="Q11" s="790">
        <f>'DATOS %'!$X$139</f>
        <v>2.5</v>
      </c>
      <c r="R11" s="788">
        <f>-$O$11</f>
        <v>-2.5</v>
      </c>
      <c r="S11" s="789">
        <f>-$O$11</f>
        <v>-2.5</v>
      </c>
      <c r="T11" s="790">
        <f>-$O$11</f>
        <v>-2.5</v>
      </c>
      <c r="W11" s="768"/>
    </row>
    <row r="12" spans="1:24" ht="39.950000000000003" customHeight="1" x14ac:dyDescent="0.2">
      <c r="A12" s="780">
        <v>6</v>
      </c>
      <c r="B12" s="781" t="e">
        <f>'Cert Juego gramo %'!B64</f>
        <v>#N/A</v>
      </c>
      <c r="C12" s="781" t="str">
        <f>'Cert Juego gramo %'!C64</f>
        <v>20 g</v>
      </c>
      <c r="D12" s="782" t="e">
        <f>'Cert Juego gramo %'!D64</f>
        <v>#N/A</v>
      </c>
      <c r="E12" s="782">
        <f>'Cert Juego gramo %'!E64</f>
        <v>0.83</v>
      </c>
      <c r="F12" s="783">
        <f>'Cert Juego gramo %'!F64</f>
        <v>2.5</v>
      </c>
      <c r="G12" s="783">
        <v>-2.5</v>
      </c>
      <c r="H12" s="784" t="e">
        <f t="shared" si="1"/>
        <v>#N/A</v>
      </c>
      <c r="I12" s="785" t="e">
        <f t="shared" si="2"/>
        <v>#N/A</v>
      </c>
      <c r="J12" s="428" t="e">
        <f t="shared" si="0"/>
        <v>#N/A</v>
      </c>
      <c r="K12" s="786" t="e">
        <f t="shared" si="3"/>
        <v>#N/A</v>
      </c>
      <c r="L12" s="787">
        <f t="shared" si="4"/>
        <v>1.67</v>
      </c>
      <c r="M12" s="892" t="e">
        <f t="shared" si="5"/>
        <v>#N/A</v>
      </c>
      <c r="N12" s="418"/>
      <c r="O12" s="791">
        <f>'DATOS %'!$X$141</f>
        <v>3</v>
      </c>
      <c r="P12" s="792">
        <f>'DATOS %'!$X$141</f>
        <v>3</v>
      </c>
      <c r="Q12" s="793">
        <f>'DATOS %'!$X$141</f>
        <v>3</v>
      </c>
      <c r="R12" s="791">
        <f>-$O$12</f>
        <v>-3</v>
      </c>
      <c r="S12" s="792">
        <f>-$O$12</f>
        <v>-3</v>
      </c>
      <c r="T12" s="793">
        <f>-$O$12</f>
        <v>-3</v>
      </c>
      <c r="W12" s="768"/>
    </row>
    <row r="13" spans="1:24" ht="39.950000000000003" customHeight="1" x14ac:dyDescent="0.2">
      <c r="A13" s="780">
        <v>7</v>
      </c>
      <c r="B13" s="781" t="e">
        <f>'Cert Juego gramo %'!B65</f>
        <v>#N/A</v>
      </c>
      <c r="C13" s="781" t="str">
        <f>'Cert Juego gramo %'!C65</f>
        <v>20 g</v>
      </c>
      <c r="D13" s="782" t="e">
        <f>'Cert Juego gramo %'!D65</f>
        <v>#N/A</v>
      </c>
      <c r="E13" s="782">
        <f>'Cert Juego gramo %'!E65</f>
        <v>0.83</v>
      </c>
      <c r="F13" s="783">
        <f>'Cert Juego gramo %'!F65</f>
        <v>2.5</v>
      </c>
      <c r="G13" s="783">
        <v>-2.5</v>
      </c>
      <c r="H13" s="784" t="e">
        <f t="shared" si="1"/>
        <v>#N/A</v>
      </c>
      <c r="I13" s="785" t="e">
        <f t="shared" si="2"/>
        <v>#N/A</v>
      </c>
      <c r="J13" s="428" t="e">
        <f t="shared" si="0"/>
        <v>#N/A</v>
      </c>
      <c r="K13" s="786" t="e">
        <f t="shared" si="3"/>
        <v>#N/A</v>
      </c>
      <c r="L13" s="787">
        <f t="shared" si="4"/>
        <v>1.67</v>
      </c>
      <c r="M13" s="892" t="e">
        <f t="shared" si="5"/>
        <v>#N/A</v>
      </c>
      <c r="N13" s="418"/>
      <c r="O13" s="791">
        <f>'DATOS %'!$X$142</f>
        <v>5</v>
      </c>
      <c r="P13" s="792">
        <f>'DATOS %'!$X$142</f>
        <v>5</v>
      </c>
      <c r="Q13" s="793">
        <f>'DATOS %'!$X$142</f>
        <v>5</v>
      </c>
      <c r="R13" s="791">
        <f>-$O$13</f>
        <v>-5</v>
      </c>
      <c r="S13" s="792">
        <f>-$O$13</f>
        <v>-5</v>
      </c>
      <c r="T13" s="793">
        <f>-$O$13</f>
        <v>-5</v>
      </c>
      <c r="W13" s="768"/>
    </row>
    <row r="14" spans="1:24" ht="39.950000000000003" customHeight="1" x14ac:dyDescent="0.2">
      <c r="A14" s="780">
        <v>8</v>
      </c>
      <c r="B14" s="781" t="e">
        <f>'Cert Juego gramo %'!B66</f>
        <v>#N/A</v>
      </c>
      <c r="C14" s="781" t="str">
        <f>'Cert Juego gramo %'!C66</f>
        <v>50 g</v>
      </c>
      <c r="D14" s="783" t="e">
        <f>'Cert Juego gramo %'!D66</f>
        <v>#N/A</v>
      </c>
      <c r="E14" s="783">
        <f>'Cert Juego gramo %'!E66</f>
        <v>1</v>
      </c>
      <c r="F14" s="783">
        <f>'Cert Juego gramo %'!F66</f>
        <v>3</v>
      </c>
      <c r="G14" s="783">
        <v>-3</v>
      </c>
      <c r="H14" s="784" t="e">
        <f t="shared" si="1"/>
        <v>#N/A</v>
      </c>
      <c r="I14" s="785" t="e">
        <f t="shared" si="2"/>
        <v>#N/A</v>
      </c>
      <c r="J14" s="428" t="e">
        <f t="shared" si="0"/>
        <v>#N/A</v>
      </c>
      <c r="K14" s="786" t="e">
        <f t="shared" si="3"/>
        <v>#N/A</v>
      </c>
      <c r="L14" s="787">
        <f t="shared" si="4"/>
        <v>2</v>
      </c>
      <c r="M14" s="892" t="e">
        <f t="shared" si="5"/>
        <v>#N/A</v>
      </c>
      <c r="N14" s="418"/>
      <c r="O14" s="794">
        <f>'DATOS %'!$X$143</f>
        <v>10</v>
      </c>
      <c r="P14" s="795">
        <f>'DATOS %'!$X$143</f>
        <v>10</v>
      </c>
      <c r="Q14" s="796">
        <f>'DATOS %'!$X$143</f>
        <v>10</v>
      </c>
      <c r="R14" s="794">
        <f>-$O$14</f>
        <v>-10</v>
      </c>
      <c r="S14" s="795">
        <f>-$O$14</f>
        <v>-10</v>
      </c>
      <c r="T14" s="796">
        <f>-$O$14</f>
        <v>-10</v>
      </c>
      <c r="W14" s="768"/>
    </row>
    <row r="15" spans="1:24" ht="39.950000000000003" customHeight="1" x14ac:dyDescent="0.2">
      <c r="A15" s="780">
        <v>9</v>
      </c>
      <c r="B15" s="781" t="e">
        <f>'Cert Juego gramo %'!B67</f>
        <v>#N/A</v>
      </c>
      <c r="C15" s="781" t="str">
        <f>'Cert Juego gramo %'!C67</f>
        <v>100 g</v>
      </c>
      <c r="D15" s="783" t="e">
        <f>'Cert Juego gramo %'!D67</f>
        <v>#N/A</v>
      </c>
      <c r="E15" s="783">
        <f>'Cert Juego gramo %'!E67</f>
        <v>1.7</v>
      </c>
      <c r="F15" s="783">
        <f>'Cert Juego gramo %'!F67</f>
        <v>5</v>
      </c>
      <c r="G15" s="783">
        <v>-5</v>
      </c>
      <c r="H15" s="784" t="e">
        <f t="shared" si="1"/>
        <v>#N/A</v>
      </c>
      <c r="I15" s="785" t="e">
        <f t="shared" si="2"/>
        <v>#N/A</v>
      </c>
      <c r="J15" s="428" t="e">
        <f t="shared" si="0"/>
        <v>#N/A</v>
      </c>
      <c r="K15" s="786" t="e">
        <f t="shared" si="3"/>
        <v>#N/A</v>
      </c>
      <c r="L15" s="787">
        <f t="shared" si="4"/>
        <v>3.3</v>
      </c>
      <c r="M15" s="892" t="e">
        <f t="shared" si="5"/>
        <v>#N/A</v>
      </c>
      <c r="N15" s="418"/>
      <c r="O15" s="788">
        <f>'DATOS %'!$X$145</f>
        <v>25</v>
      </c>
      <c r="P15" s="789">
        <f>'DATOS %'!$X$145</f>
        <v>25</v>
      </c>
      <c r="Q15" s="790">
        <f>'DATOS %'!$X$145</f>
        <v>25</v>
      </c>
      <c r="R15" s="788">
        <f>-$O$15</f>
        <v>-25</v>
      </c>
      <c r="S15" s="789">
        <f>-$O$15</f>
        <v>-25</v>
      </c>
      <c r="T15" s="790">
        <f>-$O$15</f>
        <v>-25</v>
      </c>
      <c r="W15" s="768"/>
    </row>
    <row r="16" spans="1:24" ht="39.950000000000003" customHeight="1" x14ac:dyDescent="0.2">
      <c r="A16" s="780">
        <v>10</v>
      </c>
      <c r="B16" s="781" t="e">
        <f>'Cert Juego gramo %'!B68</f>
        <v>#N/A</v>
      </c>
      <c r="C16" s="781" t="str">
        <f>'Cert Juego gramo %'!C68</f>
        <v>200 g</v>
      </c>
      <c r="D16" s="783" t="e">
        <f>'Cert Juego gramo %'!D68</f>
        <v>#N/A</v>
      </c>
      <c r="E16" s="783">
        <f>'Cert Juego gramo %'!E68</f>
        <v>3.3</v>
      </c>
      <c r="F16" s="783">
        <f>'Cert Juego gramo %'!F68</f>
        <v>10</v>
      </c>
      <c r="G16" s="797">
        <v>-10</v>
      </c>
      <c r="H16" s="784" t="e">
        <f>_xlfn.NORM.S.DIST(K16,1)</f>
        <v>#N/A</v>
      </c>
      <c r="I16" s="785" t="e">
        <f t="shared" si="2"/>
        <v>#N/A</v>
      </c>
      <c r="J16" s="428" t="e">
        <f t="shared" si="0"/>
        <v>#N/A</v>
      </c>
      <c r="K16" s="786" t="e">
        <f t="shared" si="3"/>
        <v>#N/A</v>
      </c>
      <c r="L16" s="787">
        <f t="shared" si="4"/>
        <v>6.7</v>
      </c>
      <c r="M16" s="892" t="e">
        <f t="shared" si="5"/>
        <v>#N/A</v>
      </c>
      <c r="N16" s="418"/>
      <c r="O16" s="788">
        <f>'DATOS %'!$X$146</f>
        <v>50</v>
      </c>
      <c r="P16" s="789">
        <f>'DATOS %'!$X$146</f>
        <v>50</v>
      </c>
      <c r="Q16" s="790">
        <f>'DATOS %'!$X$146</f>
        <v>50</v>
      </c>
      <c r="R16" s="788">
        <f>-$O$16</f>
        <v>-50</v>
      </c>
      <c r="S16" s="789">
        <f>-$O$16</f>
        <v>-50</v>
      </c>
      <c r="T16" s="790">
        <f>-$O$16</f>
        <v>-50</v>
      </c>
      <c r="W16" s="768"/>
    </row>
    <row r="17" spans="1:23" ht="39.950000000000003" customHeight="1" x14ac:dyDescent="0.2">
      <c r="A17" s="780">
        <v>11</v>
      </c>
      <c r="B17" s="781" t="e">
        <f>'Cert Juego gramo %'!B69</f>
        <v>#N/A</v>
      </c>
      <c r="C17" s="781" t="str">
        <f>'Cert Juego gramo %'!C69</f>
        <v>200 g</v>
      </c>
      <c r="D17" s="783" t="e">
        <f>'Cert Juego gramo %'!D69</f>
        <v>#N/A</v>
      </c>
      <c r="E17" s="783">
        <f>'Cert Juego gramo %'!E69</f>
        <v>3.3</v>
      </c>
      <c r="F17" s="783">
        <f>'Cert Juego gramo %'!F69</f>
        <v>10</v>
      </c>
      <c r="G17" s="797">
        <v>-10</v>
      </c>
      <c r="H17" s="784" t="e">
        <f t="shared" si="1"/>
        <v>#N/A</v>
      </c>
      <c r="I17" s="785" t="e">
        <f t="shared" si="2"/>
        <v>#N/A</v>
      </c>
      <c r="J17" s="428" t="e">
        <f t="shared" si="0"/>
        <v>#N/A</v>
      </c>
      <c r="K17" s="786" t="e">
        <f t="shared" si="3"/>
        <v>#N/A</v>
      </c>
      <c r="L17" s="787">
        <f t="shared" si="4"/>
        <v>6.7</v>
      </c>
      <c r="M17" s="892" t="e">
        <f t="shared" si="5"/>
        <v>#N/A</v>
      </c>
      <c r="N17" s="418"/>
      <c r="O17" s="788">
        <f>'DATOS %'!$X$147</f>
        <v>100</v>
      </c>
      <c r="P17" s="789">
        <f>'DATOS %'!$X$147</f>
        <v>100</v>
      </c>
      <c r="Q17" s="790">
        <f>'DATOS %'!$X$147</f>
        <v>100</v>
      </c>
      <c r="R17" s="788">
        <f>-$O$17</f>
        <v>-100</v>
      </c>
      <c r="S17" s="789">
        <f>-$O$17</f>
        <v>-100</v>
      </c>
      <c r="T17" s="790">
        <f>-$O$17</f>
        <v>-100</v>
      </c>
      <c r="W17" s="768"/>
    </row>
    <row r="18" spans="1:23" ht="39.950000000000003" customHeight="1" x14ac:dyDescent="0.2">
      <c r="A18" s="780">
        <v>12</v>
      </c>
      <c r="B18" s="781" t="e">
        <f>'Cert Juego gramo %'!B70</f>
        <v>#N/A</v>
      </c>
      <c r="C18" s="781" t="str">
        <f>'Cert Juego gramo %'!C70</f>
        <v>500 g</v>
      </c>
      <c r="D18" s="797" t="e">
        <f>'Cert Juego gramo %'!D70</f>
        <v>#N/A</v>
      </c>
      <c r="E18" s="783">
        <f>'Cert Juego gramo %'!E70</f>
        <v>8.3000000000000007</v>
      </c>
      <c r="F18" s="783">
        <f>'Cert Juego gramo %'!F70</f>
        <v>25</v>
      </c>
      <c r="G18" s="797">
        <v>-25</v>
      </c>
      <c r="H18" s="784" t="e">
        <f>_xlfn.NORM.S.DIST(K18,1)</f>
        <v>#N/A</v>
      </c>
      <c r="I18" s="785" t="e">
        <f>1-H18</f>
        <v>#N/A</v>
      </c>
      <c r="J18" s="428" t="e">
        <f t="shared" si="0"/>
        <v>#N/A</v>
      </c>
      <c r="K18" s="786" t="e">
        <f t="shared" si="3"/>
        <v>#N/A</v>
      </c>
      <c r="L18" s="787">
        <f t="shared" si="4"/>
        <v>16.7</v>
      </c>
      <c r="M18" s="892" t="e">
        <f t="shared" si="5"/>
        <v>#N/A</v>
      </c>
      <c r="N18" s="418"/>
      <c r="O18" s="788">
        <f>'DATOS %'!$X$149</f>
        <v>250</v>
      </c>
      <c r="P18" s="789">
        <f>'DATOS %'!$X$149</f>
        <v>250</v>
      </c>
      <c r="Q18" s="790">
        <f>'DATOS %'!$X$149</f>
        <v>250</v>
      </c>
      <c r="R18" s="788">
        <f>-$O$18</f>
        <v>-250</v>
      </c>
      <c r="S18" s="789">
        <f>-$O$18</f>
        <v>-250</v>
      </c>
      <c r="T18" s="790">
        <f>-$O$18</f>
        <v>-250</v>
      </c>
      <c r="W18" s="768"/>
    </row>
    <row r="19" spans="1:23" ht="39.950000000000003" customHeight="1" x14ac:dyDescent="0.2">
      <c r="A19" s="780">
        <v>13</v>
      </c>
      <c r="B19" s="781" t="e">
        <f>'Cert Juego gramo %'!B71</f>
        <v>#N/A</v>
      </c>
      <c r="C19" s="781" t="str">
        <f>'Cert Juego gramo %'!C71</f>
        <v>1 kg</v>
      </c>
      <c r="D19" s="797" t="e">
        <f>'Cert Juego gramo %'!D71</f>
        <v>#N/A</v>
      </c>
      <c r="E19" s="797">
        <f>'Cert Juego gramo %'!E71</f>
        <v>17</v>
      </c>
      <c r="F19" s="783">
        <f>'Cert Juego gramo %'!F71</f>
        <v>50</v>
      </c>
      <c r="G19" s="783">
        <v>-50</v>
      </c>
      <c r="H19" s="784" t="e">
        <f>_xlfn.NORM.S.DIST(K19,1)</f>
        <v>#N/A</v>
      </c>
      <c r="I19" s="785" t="e">
        <f>1-H19</f>
        <v>#N/A</v>
      </c>
      <c r="J19" s="428" t="e">
        <f t="shared" si="0"/>
        <v>#N/A</v>
      </c>
      <c r="K19" s="786" t="e">
        <f t="shared" si="3"/>
        <v>#N/A</v>
      </c>
      <c r="L19" s="787">
        <f t="shared" si="4"/>
        <v>33</v>
      </c>
      <c r="M19" s="892" t="e">
        <f t="shared" si="5"/>
        <v>#N/A</v>
      </c>
      <c r="N19" s="418"/>
      <c r="O19" s="798">
        <f>'DATOS %'!$X$150</f>
        <v>0.5</v>
      </c>
      <c r="P19" s="799">
        <f>'DATOS %'!$X$150</f>
        <v>0.5</v>
      </c>
      <c r="Q19" s="800">
        <f>'DATOS %'!$X$150</f>
        <v>0.5</v>
      </c>
      <c r="R19" s="798">
        <f>-$O$19</f>
        <v>-0.5</v>
      </c>
      <c r="S19" s="799">
        <f>-$O$19</f>
        <v>-0.5</v>
      </c>
      <c r="T19" s="800">
        <f>-$O$19</f>
        <v>-0.5</v>
      </c>
      <c r="W19" s="768"/>
    </row>
    <row r="20" spans="1:23" ht="39.950000000000003" customHeight="1" thickBot="1" x14ac:dyDescent="0.25">
      <c r="A20" s="780">
        <v>14</v>
      </c>
      <c r="B20" s="801" t="e">
        <f>'Cert Juego gramo %'!B72</f>
        <v>#N/A</v>
      </c>
      <c r="C20" s="781" t="str">
        <f>'Cert Juego gramo %'!C72</f>
        <v>2 kg</v>
      </c>
      <c r="D20" s="797" t="e">
        <f>'Cert Juego gramo %'!D72</f>
        <v>#N/A</v>
      </c>
      <c r="E20" s="797">
        <f>'Cert Juego gramo %'!E72</f>
        <v>33</v>
      </c>
      <c r="F20" s="783">
        <f>'Cert Juego gramo %'!F72</f>
        <v>100</v>
      </c>
      <c r="G20" s="783">
        <v>-100</v>
      </c>
      <c r="H20" s="784" t="e">
        <f t="shared" si="1"/>
        <v>#N/A</v>
      </c>
      <c r="I20" s="785" t="e">
        <f t="shared" si="2"/>
        <v>#N/A</v>
      </c>
      <c r="J20" s="428" t="e">
        <f t="shared" si="0"/>
        <v>#N/A</v>
      </c>
      <c r="K20" s="786" t="e">
        <f t="shared" si="3"/>
        <v>#N/A</v>
      </c>
      <c r="L20" s="787">
        <f t="shared" si="4"/>
        <v>67</v>
      </c>
      <c r="M20" s="892" t="e">
        <f t="shared" si="5"/>
        <v>#N/A</v>
      </c>
      <c r="N20" s="418"/>
      <c r="O20" s="802">
        <f>'DATOS %'!$X$151</f>
        <v>1</v>
      </c>
      <c r="P20" s="803">
        <f>'DATOS %'!$X$151</f>
        <v>1</v>
      </c>
      <c r="Q20" s="804">
        <f>'DATOS %'!$X$151</f>
        <v>1</v>
      </c>
      <c r="R20" s="802">
        <f>-$O$20</f>
        <v>-1</v>
      </c>
      <c r="S20" s="803">
        <f>-$O$20</f>
        <v>-1</v>
      </c>
      <c r="T20" s="804">
        <f>-$O$20</f>
        <v>-1</v>
      </c>
    </row>
    <row r="21" spans="1:23" ht="39.950000000000003" customHeight="1" x14ac:dyDescent="0.2">
      <c r="A21" s="780">
        <v>15</v>
      </c>
      <c r="B21" s="801" t="e">
        <f>'Cert Juego gramo %'!B73</f>
        <v>#N/A</v>
      </c>
      <c r="C21" s="781" t="str">
        <f>'Cert Juego gramo %'!C73</f>
        <v>2 kg</v>
      </c>
      <c r="D21" s="797" t="e">
        <f>'Cert Juego gramo %'!D73</f>
        <v>#N/A</v>
      </c>
      <c r="E21" s="797">
        <f>'Cert Juego gramo %'!E73</f>
        <v>33</v>
      </c>
      <c r="F21" s="783">
        <f>'Cert Juego gramo %'!F73</f>
        <v>100</v>
      </c>
      <c r="G21" s="783">
        <v>-100</v>
      </c>
      <c r="H21" s="784" t="e">
        <f t="shared" si="1"/>
        <v>#N/A</v>
      </c>
      <c r="I21" s="785" t="e">
        <f t="shared" si="2"/>
        <v>#N/A</v>
      </c>
      <c r="J21" s="428" t="e">
        <f t="shared" si="0"/>
        <v>#N/A</v>
      </c>
      <c r="K21" s="786" t="e">
        <f t="shared" si="3"/>
        <v>#N/A</v>
      </c>
      <c r="L21" s="787">
        <f t="shared" si="4"/>
        <v>67</v>
      </c>
      <c r="M21" s="892" t="e">
        <f t="shared" si="5"/>
        <v>#N/A</v>
      </c>
      <c r="N21" s="418"/>
      <c r="O21" s="418"/>
      <c r="P21" s="418"/>
      <c r="Q21" s="418"/>
      <c r="R21" s="418"/>
    </row>
    <row r="22" spans="1:23" ht="39.950000000000003" customHeight="1" x14ac:dyDescent="0.2">
      <c r="A22" s="780">
        <v>16</v>
      </c>
      <c r="B22" s="801" t="e">
        <f>'Cert Juego gramo %'!B74</f>
        <v>#N/A</v>
      </c>
      <c r="C22" s="781" t="str">
        <f>'Cert Juego gramo %'!C74</f>
        <v>5 kg</v>
      </c>
      <c r="D22" s="797" t="e">
        <f>'Cert Juego gramo %'!D74</f>
        <v>#N/A</v>
      </c>
      <c r="E22" s="797">
        <f>'Cert Juego gramo %'!E74</f>
        <v>83</v>
      </c>
      <c r="F22" s="797">
        <f>'Cert Juego gramo %'!F74</f>
        <v>250</v>
      </c>
      <c r="G22" s="797">
        <v>-250</v>
      </c>
      <c r="H22" s="784" t="e">
        <f t="shared" si="1"/>
        <v>#N/A</v>
      </c>
      <c r="I22" s="785" t="e">
        <f t="shared" si="2"/>
        <v>#N/A</v>
      </c>
      <c r="J22" s="428" t="e">
        <f t="shared" si="0"/>
        <v>#N/A</v>
      </c>
      <c r="K22" s="786" t="e">
        <f t="shared" si="3"/>
        <v>#N/A</v>
      </c>
      <c r="L22" s="787">
        <f t="shared" si="4"/>
        <v>167</v>
      </c>
      <c r="M22" s="892" t="e">
        <f t="shared" si="5"/>
        <v>#N/A</v>
      </c>
      <c r="N22" s="418"/>
      <c r="O22" s="418"/>
      <c r="P22" s="418"/>
      <c r="Q22" s="418"/>
      <c r="R22" s="418"/>
    </row>
    <row r="23" spans="1:23" ht="39.950000000000003" customHeight="1" x14ac:dyDescent="0.2">
      <c r="A23" s="780">
        <v>17</v>
      </c>
      <c r="B23" s="801" t="e">
        <f>'Cert Juego gramo %'!B75</f>
        <v>#N/A</v>
      </c>
      <c r="C23" s="781" t="str">
        <f>'Cert Juego gramo %'!C75</f>
        <v>10 kg</v>
      </c>
      <c r="D23" s="805" t="e">
        <f>'Cert Juego gramo %'!D75</f>
        <v>#N/A</v>
      </c>
      <c r="E23" s="805">
        <f>'Cert Juego gramo %'!E75</f>
        <v>0.17</v>
      </c>
      <c r="F23" s="805">
        <f>'Cert Juego gramo %'!F75</f>
        <v>0.5</v>
      </c>
      <c r="G23" s="805">
        <v>-0.5</v>
      </c>
      <c r="H23" s="784" t="e">
        <f t="shared" si="1"/>
        <v>#N/A</v>
      </c>
      <c r="I23" s="785" t="e">
        <f t="shared" si="2"/>
        <v>#N/A</v>
      </c>
      <c r="J23" s="428" t="e">
        <f t="shared" si="0"/>
        <v>#N/A</v>
      </c>
      <c r="K23" s="786" t="e">
        <f t="shared" si="3"/>
        <v>#N/A</v>
      </c>
      <c r="L23" s="787">
        <f>F23-E23</f>
        <v>0.32999999999999996</v>
      </c>
      <c r="M23" s="892" t="e">
        <f t="shared" si="5"/>
        <v>#N/A</v>
      </c>
      <c r="N23" s="418"/>
      <c r="O23" s="418"/>
      <c r="P23" s="418"/>
      <c r="Q23" s="418"/>
      <c r="R23" s="418"/>
    </row>
    <row r="24" spans="1:23" ht="39.950000000000003" customHeight="1" x14ac:dyDescent="0.2">
      <c r="A24" s="780">
        <v>18</v>
      </c>
      <c r="B24" s="801" t="e">
        <f>'Cert Juego gramo %'!B76</f>
        <v>#N/A</v>
      </c>
      <c r="C24" s="781" t="str">
        <f>'Cert Juego gramo %'!C76</f>
        <v>5 kg</v>
      </c>
      <c r="D24" s="805" t="e">
        <f>'Cert Juego gramo %'!D76</f>
        <v>#N/A</v>
      </c>
      <c r="E24" s="805">
        <f>'Cert Juego gramo %'!E76</f>
        <v>83</v>
      </c>
      <c r="F24" s="797">
        <f>'Cert Juego gramo %'!F76</f>
        <v>250</v>
      </c>
      <c r="G24" s="797">
        <v>-250</v>
      </c>
      <c r="H24" s="784" t="e">
        <f t="shared" si="1"/>
        <v>#N/A</v>
      </c>
      <c r="I24" s="785" t="e">
        <f t="shared" si="2"/>
        <v>#N/A</v>
      </c>
      <c r="J24" s="428" t="e">
        <f t="shared" si="0"/>
        <v>#N/A</v>
      </c>
      <c r="K24" s="786" t="e">
        <f t="shared" si="3"/>
        <v>#N/A</v>
      </c>
      <c r="L24" s="801">
        <f>F24-E24</f>
        <v>167</v>
      </c>
      <c r="M24" s="892" t="e">
        <f t="shared" si="5"/>
        <v>#N/A</v>
      </c>
      <c r="N24" s="418"/>
      <c r="O24" s="418"/>
      <c r="P24" s="418"/>
      <c r="Q24" s="418"/>
      <c r="R24" s="418"/>
    </row>
    <row r="25" spans="1:23" ht="39.950000000000003" customHeight="1" x14ac:dyDescent="0.2">
      <c r="A25" s="780">
        <v>19</v>
      </c>
      <c r="B25" s="801" t="e">
        <f>'Cert Juego gramo %'!B77</f>
        <v>#N/A</v>
      </c>
      <c r="C25" s="781" t="str">
        <f>'Cert Juego gramo %'!C77</f>
        <v>10 kg</v>
      </c>
      <c r="D25" s="805" t="e">
        <f>'Cert Juego gramo %'!D77</f>
        <v>#N/A</v>
      </c>
      <c r="E25" s="805">
        <f>'Cert Juego gramo %'!E77</f>
        <v>0.17</v>
      </c>
      <c r="F25" s="805">
        <f>'Cert Juego gramo %'!F77</f>
        <v>0.5</v>
      </c>
      <c r="G25" s="806">
        <v>-0.5</v>
      </c>
      <c r="H25" s="784" t="e">
        <f t="shared" si="1"/>
        <v>#N/A</v>
      </c>
      <c r="I25" s="785" t="e">
        <f t="shared" si="2"/>
        <v>#N/A</v>
      </c>
      <c r="J25" s="428" t="e">
        <f t="shared" si="0"/>
        <v>#N/A</v>
      </c>
      <c r="K25" s="786" t="e">
        <f t="shared" si="3"/>
        <v>#N/A</v>
      </c>
      <c r="L25" s="787">
        <f>F25-E25</f>
        <v>0.32999999999999996</v>
      </c>
      <c r="M25" s="892" t="e">
        <f t="shared" si="5"/>
        <v>#N/A</v>
      </c>
      <c r="N25" s="418"/>
      <c r="O25" s="418"/>
      <c r="P25" s="418"/>
      <c r="Q25" s="418"/>
      <c r="R25" s="418"/>
    </row>
    <row r="26" spans="1:23" ht="39.950000000000003" customHeight="1" thickBot="1" x14ac:dyDescent="0.25">
      <c r="A26" s="807">
        <v>20</v>
      </c>
      <c r="B26" s="808" t="e">
        <f>'Cert Juego gramo %'!B78</f>
        <v>#N/A</v>
      </c>
      <c r="C26" s="809" t="str">
        <f>'Cert Juego gramo %'!C78</f>
        <v>20 kg</v>
      </c>
      <c r="D26" s="810" t="e">
        <f>'Cert Juego gramo %'!D78</f>
        <v>#N/A</v>
      </c>
      <c r="E26" s="810">
        <f>'Cert Juego gramo %'!E78</f>
        <v>0.33</v>
      </c>
      <c r="F26" s="810">
        <f>'Cert Juego gramo %'!F78</f>
        <v>1</v>
      </c>
      <c r="G26" s="811">
        <v>-1</v>
      </c>
      <c r="H26" s="812" t="e">
        <f>_xlfn.NORM.S.DIST(K26,1)</f>
        <v>#N/A</v>
      </c>
      <c r="I26" s="813" t="e">
        <f t="shared" si="2"/>
        <v>#N/A</v>
      </c>
      <c r="J26" s="429" t="e">
        <f t="shared" si="0"/>
        <v>#N/A</v>
      </c>
      <c r="K26" s="814" t="e">
        <f t="shared" si="3"/>
        <v>#N/A</v>
      </c>
      <c r="L26" s="815">
        <f>F26-E26</f>
        <v>0.66999999999999993</v>
      </c>
      <c r="M26" s="894" t="e">
        <f t="shared" si="5"/>
        <v>#N/A</v>
      </c>
      <c r="N26" s="418"/>
      <c r="O26" s="418"/>
      <c r="P26" s="418"/>
      <c r="Q26" s="418"/>
      <c r="R26" s="418"/>
    </row>
    <row r="27" spans="1:23" ht="30" customHeight="1" x14ac:dyDescent="0.2">
      <c r="B27" s="767"/>
      <c r="C27" s="767"/>
      <c r="D27" s="767"/>
      <c r="E27" s="767"/>
      <c r="F27" s="767"/>
      <c r="G27" s="767"/>
      <c r="J27" s="419"/>
      <c r="K27" s="419"/>
      <c r="L27" s="418"/>
      <c r="M27" s="418"/>
      <c r="N27" s="418"/>
      <c r="O27" s="418"/>
      <c r="P27" s="418"/>
      <c r="Q27" s="418"/>
      <c r="R27" s="418"/>
    </row>
    <row r="28" spans="1:23" ht="30" customHeight="1" x14ac:dyDescent="0.2">
      <c r="A28" s="418"/>
      <c r="B28" s="418"/>
      <c r="C28" s="418"/>
      <c r="D28" s="418"/>
      <c r="E28" s="418"/>
      <c r="F28" s="419"/>
      <c r="G28" s="418"/>
      <c r="H28" s="418"/>
      <c r="I28" s="418"/>
      <c r="J28" s="418"/>
      <c r="K28" s="418"/>
      <c r="L28" s="418"/>
      <c r="M28" s="418"/>
      <c r="N28" s="418"/>
      <c r="O28" s="418"/>
      <c r="P28" s="418"/>
      <c r="Q28" s="418"/>
      <c r="R28" s="418"/>
    </row>
    <row r="29" spans="1:23" ht="30" customHeight="1" x14ac:dyDescent="0.2">
      <c r="A29" s="430"/>
      <c r="B29" s="430"/>
      <c r="C29" s="430"/>
      <c r="D29" s="430"/>
      <c r="E29" s="430"/>
      <c r="F29" s="430"/>
      <c r="G29" s="430"/>
      <c r="H29" s="430"/>
      <c r="I29" s="430"/>
      <c r="J29" s="430"/>
      <c r="K29" s="430"/>
      <c r="L29" s="430"/>
      <c r="M29" s="418"/>
      <c r="N29" s="418"/>
      <c r="O29" s="418"/>
      <c r="P29" s="418"/>
      <c r="Q29" s="418"/>
      <c r="R29" s="418"/>
    </row>
    <row r="30" spans="1:23" ht="30" customHeight="1" x14ac:dyDescent="0.2">
      <c r="A30" s="431"/>
      <c r="B30" s="431"/>
      <c r="C30" s="431"/>
      <c r="D30" s="431"/>
      <c r="E30" s="431"/>
      <c r="F30" s="431"/>
      <c r="G30" s="431"/>
      <c r="H30" s="431"/>
      <c r="I30" s="431"/>
      <c r="J30" s="431"/>
      <c r="K30" s="431"/>
      <c r="L30" s="431"/>
      <c r="M30" s="418"/>
      <c r="N30" s="418"/>
      <c r="O30" s="418"/>
      <c r="P30" s="418"/>
      <c r="Q30" s="418"/>
      <c r="R30" s="418"/>
    </row>
    <row r="31" spans="1:23" ht="30" customHeight="1" x14ac:dyDescent="0.2">
      <c r="A31" s="431"/>
      <c r="B31" s="431"/>
      <c r="C31" s="431"/>
      <c r="D31" s="431"/>
      <c r="E31" s="431"/>
      <c r="F31" s="431"/>
      <c r="G31" s="431"/>
      <c r="H31" s="431"/>
      <c r="I31" s="431"/>
      <c r="J31" s="431"/>
      <c r="K31" s="431"/>
      <c r="L31" s="431"/>
      <c r="M31" s="418"/>
      <c r="N31" s="418"/>
      <c r="O31" s="418"/>
      <c r="P31" s="418"/>
      <c r="Q31" s="418"/>
      <c r="R31" s="418"/>
    </row>
    <row r="32" spans="1:23" ht="30" customHeight="1" x14ac:dyDescent="0.2">
      <c r="A32" s="431"/>
      <c r="B32" s="431"/>
      <c r="C32" s="431"/>
      <c r="D32" s="431"/>
      <c r="E32" s="431"/>
      <c r="F32" s="431"/>
      <c r="G32" s="431"/>
      <c r="H32" s="431"/>
      <c r="I32" s="431"/>
      <c r="J32" s="431"/>
      <c r="K32" s="431"/>
      <c r="L32" s="431"/>
      <c r="M32" s="418"/>
      <c r="N32" s="418"/>
      <c r="O32" s="418"/>
      <c r="P32" s="418"/>
      <c r="Q32" s="418"/>
      <c r="R32" s="418"/>
    </row>
    <row r="33" spans="1:18" ht="30" customHeight="1" x14ac:dyDescent="0.2">
      <c r="A33" s="431"/>
      <c r="B33" s="431"/>
      <c r="C33" s="431"/>
      <c r="D33" s="431"/>
      <c r="E33" s="431"/>
      <c r="F33" s="431"/>
      <c r="G33" s="431"/>
      <c r="H33" s="431"/>
      <c r="I33" s="431"/>
      <c r="J33" s="431"/>
      <c r="K33" s="431"/>
      <c r="L33" s="431"/>
      <c r="M33" s="418"/>
      <c r="N33" s="418"/>
      <c r="O33" s="418"/>
      <c r="P33" s="418"/>
      <c r="Q33" s="418"/>
      <c r="R33" s="418"/>
    </row>
    <row r="34" spans="1:18" ht="30" customHeight="1" x14ac:dyDescent="0.2">
      <c r="A34" s="431"/>
      <c r="B34" s="431"/>
      <c r="C34" s="431"/>
      <c r="D34" s="431"/>
      <c r="E34" s="431"/>
      <c r="F34" s="431"/>
      <c r="G34" s="431"/>
      <c r="H34" s="431"/>
      <c r="I34" s="431"/>
      <c r="J34" s="431"/>
      <c r="K34" s="431"/>
      <c r="L34" s="431"/>
      <c r="M34" s="418"/>
      <c r="N34" s="418"/>
      <c r="O34" s="418"/>
      <c r="P34" s="418"/>
      <c r="Q34" s="418"/>
      <c r="R34" s="418"/>
    </row>
    <row r="35" spans="1:18" ht="30" customHeight="1" x14ac:dyDescent="0.2">
      <c r="A35" s="431"/>
      <c r="B35" s="431"/>
      <c r="C35" s="431"/>
      <c r="D35" s="431"/>
      <c r="E35" s="431"/>
      <c r="F35" s="431"/>
      <c r="G35" s="431"/>
      <c r="H35" s="431"/>
      <c r="I35" s="431"/>
      <c r="J35" s="431"/>
      <c r="K35" s="431"/>
      <c r="L35" s="431"/>
      <c r="M35" s="418"/>
      <c r="N35" s="418"/>
      <c r="O35" s="418"/>
      <c r="P35" s="418"/>
      <c r="Q35" s="418"/>
      <c r="R35" s="418"/>
    </row>
    <row r="36" spans="1:18" ht="30" customHeight="1" x14ac:dyDescent="0.2">
      <c r="A36" s="431"/>
      <c r="B36" s="431"/>
      <c r="C36" s="431"/>
      <c r="D36" s="431"/>
      <c r="E36" s="431"/>
      <c r="F36" s="431"/>
      <c r="G36" s="431"/>
      <c r="H36" s="431"/>
      <c r="I36" s="431"/>
      <c r="J36" s="431"/>
      <c r="K36" s="431"/>
      <c r="L36" s="431"/>
      <c r="M36" s="418"/>
      <c r="N36" s="418"/>
      <c r="O36" s="418"/>
      <c r="P36" s="418"/>
      <c r="Q36" s="418"/>
      <c r="R36" s="418"/>
    </row>
    <row r="37" spans="1:18" ht="30" customHeight="1" x14ac:dyDescent="0.2">
      <c r="A37" s="431"/>
      <c r="B37" s="431"/>
      <c r="C37" s="431"/>
      <c r="D37" s="431"/>
      <c r="E37" s="431"/>
      <c r="F37" s="431"/>
      <c r="G37" s="431"/>
      <c r="H37" s="431"/>
      <c r="I37" s="431"/>
      <c r="J37" s="431"/>
      <c r="K37" s="431"/>
      <c r="L37" s="431"/>
      <c r="M37" s="418"/>
      <c r="N37" s="418"/>
      <c r="O37" s="418"/>
      <c r="P37" s="418"/>
      <c r="Q37" s="418"/>
      <c r="R37" s="418"/>
    </row>
    <row r="38" spans="1:18" ht="30" customHeight="1" x14ac:dyDescent="0.2">
      <c r="A38" s="431"/>
      <c r="B38" s="431"/>
      <c r="C38" s="431"/>
      <c r="D38" s="431"/>
      <c r="E38" s="431"/>
      <c r="F38" s="431"/>
      <c r="G38" s="431"/>
      <c r="H38" s="431"/>
      <c r="I38" s="431"/>
      <c r="J38" s="431"/>
      <c r="K38" s="431"/>
      <c r="L38" s="431"/>
      <c r="M38" s="418"/>
      <c r="N38" s="418"/>
      <c r="O38" s="418"/>
      <c r="P38" s="418"/>
      <c r="Q38" s="418"/>
      <c r="R38" s="418"/>
    </row>
    <row r="39" spans="1:18" ht="30" customHeight="1" x14ac:dyDescent="0.2">
      <c r="A39" s="431"/>
      <c r="B39" s="431"/>
      <c r="C39" s="431"/>
      <c r="D39" s="431"/>
      <c r="E39" s="431"/>
      <c r="F39" s="431"/>
      <c r="G39" s="431"/>
      <c r="H39" s="431"/>
      <c r="I39" s="431"/>
      <c r="J39" s="431"/>
      <c r="K39" s="431"/>
      <c r="L39" s="431"/>
      <c r="M39" s="418"/>
      <c r="N39" s="418"/>
      <c r="O39" s="418"/>
      <c r="P39" s="418"/>
      <c r="Q39" s="418"/>
      <c r="R39" s="418"/>
    </row>
    <row r="40" spans="1:18" ht="30" customHeight="1" x14ac:dyDescent="0.2">
      <c r="A40" s="431"/>
      <c r="B40" s="431"/>
      <c r="C40" s="431"/>
      <c r="D40" s="431"/>
      <c r="E40" s="431"/>
      <c r="F40" s="431"/>
      <c r="G40" s="431"/>
      <c r="H40" s="431"/>
      <c r="I40" s="431"/>
      <c r="J40" s="431"/>
      <c r="K40" s="431"/>
      <c r="L40" s="431"/>
      <c r="M40" s="418"/>
      <c r="N40" s="418"/>
      <c r="O40" s="418"/>
      <c r="P40" s="418"/>
      <c r="Q40" s="418"/>
      <c r="R40" s="418"/>
    </row>
    <row r="41" spans="1:18" ht="30" customHeight="1" x14ac:dyDescent="0.2">
      <c r="A41" s="431"/>
      <c r="B41" s="431"/>
      <c r="C41" s="431"/>
      <c r="D41" s="431"/>
      <c r="E41" s="431"/>
      <c r="F41" s="431"/>
      <c r="G41" s="431"/>
      <c r="H41" s="431"/>
      <c r="I41" s="431"/>
      <c r="J41" s="431"/>
      <c r="K41" s="431"/>
      <c r="L41" s="431"/>
      <c r="M41" s="418"/>
      <c r="N41" s="418"/>
      <c r="O41" s="418"/>
      <c r="P41" s="418"/>
      <c r="Q41" s="418"/>
      <c r="R41" s="418"/>
    </row>
    <row r="42" spans="1:18" ht="30" customHeight="1" x14ac:dyDescent="0.2">
      <c r="A42" s="431"/>
      <c r="B42" s="431"/>
      <c r="C42" s="431"/>
      <c r="D42" s="431"/>
      <c r="E42" s="431"/>
      <c r="F42" s="431"/>
      <c r="G42" s="431"/>
      <c r="H42" s="431"/>
      <c r="I42" s="431"/>
      <c r="J42" s="431"/>
      <c r="K42" s="431"/>
      <c r="L42" s="431"/>
      <c r="M42" s="418"/>
      <c r="N42" s="418"/>
      <c r="O42" s="418"/>
      <c r="P42" s="418"/>
      <c r="Q42" s="418"/>
      <c r="R42" s="418"/>
    </row>
    <row r="43" spans="1:18" ht="30" customHeight="1" x14ac:dyDescent="0.2">
      <c r="A43" s="431"/>
      <c r="B43" s="431"/>
      <c r="C43" s="431"/>
      <c r="D43" s="431"/>
      <c r="E43" s="431"/>
      <c r="F43" s="431"/>
      <c r="G43" s="431"/>
      <c r="H43" s="431"/>
      <c r="I43" s="431"/>
      <c r="J43" s="431"/>
      <c r="K43" s="431"/>
      <c r="L43" s="431"/>
      <c r="M43" s="418"/>
      <c r="N43" s="418"/>
      <c r="O43" s="418"/>
      <c r="P43" s="418"/>
      <c r="Q43" s="418"/>
      <c r="R43" s="418"/>
    </row>
    <row r="44" spans="1:18" ht="30" customHeight="1" x14ac:dyDescent="0.2">
      <c r="A44" s="431"/>
      <c r="B44" s="431"/>
      <c r="C44" s="431"/>
      <c r="D44" s="431"/>
      <c r="E44" s="431"/>
      <c r="F44" s="431"/>
      <c r="G44" s="431"/>
      <c r="H44" s="431"/>
      <c r="I44" s="431"/>
      <c r="J44" s="431"/>
      <c r="K44" s="431"/>
      <c r="L44" s="431"/>
      <c r="M44" s="418"/>
      <c r="N44" s="418"/>
      <c r="O44" s="418"/>
      <c r="P44" s="418"/>
      <c r="Q44" s="418"/>
      <c r="R44" s="418"/>
    </row>
    <row r="45" spans="1:18" ht="30" customHeight="1" x14ac:dyDescent="0.2">
      <c r="A45" s="431"/>
      <c r="B45" s="431"/>
      <c r="C45" s="431"/>
      <c r="D45" s="431"/>
      <c r="E45" s="431"/>
      <c r="F45" s="431"/>
      <c r="G45" s="431"/>
      <c r="H45" s="431"/>
      <c r="I45" s="431"/>
      <c r="J45" s="431"/>
      <c r="K45" s="431"/>
      <c r="L45" s="431"/>
      <c r="M45" s="418"/>
      <c r="N45" s="418"/>
      <c r="O45" s="418"/>
      <c r="P45" s="418"/>
      <c r="Q45" s="418"/>
      <c r="R45" s="418"/>
    </row>
    <row r="46" spans="1:18" ht="30" customHeight="1" x14ac:dyDescent="0.2">
      <c r="A46" s="431"/>
      <c r="B46" s="431"/>
      <c r="C46" s="431"/>
      <c r="D46" s="431"/>
      <c r="E46" s="431"/>
      <c r="F46" s="431"/>
      <c r="G46" s="431"/>
      <c r="H46" s="431"/>
      <c r="I46" s="431"/>
      <c r="J46" s="431"/>
      <c r="K46" s="431"/>
      <c r="L46" s="431"/>
      <c r="M46" s="418"/>
      <c r="N46" s="418"/>
      <c r="O46" s="418"/>
      <c r="P46" s="418"/>
      <c r="Q46" s="418"/>
      <c r="R46" s="418"/>
    </row>
    <row r="47" spans="1:18" ht="30" customHeight="1" x14ac:dyDescent="0.2">
      <c r="A47" s="431"/>
      <c r="B47" s="431"/>
      <c r="C47" s="431"/>
      <c r="D47" s="431"/>
      <c r="E47" s="431"/>
      <c r="F47" s="431"/>
      <c r="G47" s="431"/>
      <c r="H47" s="431"/>
      <c r="I47" s="431"/>
      <c r="J47" s="431"/>
      <c r="K47" s="431"/>
      <c r="L47" s="431"/>
      <c r="M47" s="418"/>
      <c r="N47" s="418"/>
      <c r="O47" s="418"/>
      <c r="P47" s="418"/>
      <c r="Q47" s="418"/>
      <c r="R47" s="418"/>
    </row>
    <row r="48" spans="1:18" ht="30" customHeight="1" x14ac:dyDescent="0.2">
      <c r="A48" s="431"/>
      <c r="B48" s="431"/>
      <c r="C48" s="431"/>
      <c r="D48" s="431"/>
      <c r="E48" s="431"/>
      <c r="F48" s="431"/>
      <c r="G48" s="431"/>
      <c r="H48" s="431"/>
      <c r="I48" s="431"/>
      <c r="J48" s="431"/>
      <c r="K48" s="431"/>
      <c r="L48" s="431"/>
      <c r="M48" s="418"/>
      <c r="N48" s="418"/>
      <c r="O48" s="418"/>
      <c r="P48" s="418"/>
      <c r="Q48" s="418"/>
      <c r="R48" s="418"/>
    </row>
    <row r="49" spans="1:18" ht="30" customHeight="1" x14ac:dyDescent="0.2">
      <c r="A49" s="431"/>
      <c r="B49" s="431"/>
      <c r="C49" s="431"/>
      <c r="D49" s="431"/>
      <c r="E49" s="431"/>
      <c r="F49" s="431"/>
      <c r="G49" s="431"/>
      <c r="H49" s="431"/>
      <c r="I49" s="431"/>
      <c r="J49" s="431"/>
      <c r="K49" s="431"/>
      <c r="L49" s="431"/>
      <c r="M49" s="418"/>
      <c r="N49" s="418"/>
      <c r="O49" s="418"/>
      <c r="P49" s="418"/>
      <c r="Q49" s="418"/>
      <c r="R49" s="418"/>
    </row>
    <row r="50" spans="1:18" ht="30" customHeight="1" x14ac:dyDescent="0.2">
      <c r="A50" s="431"/>
      <c r="B50" s="431"/>
      <c r="C50" s="431"/>
      <c r="D50" s="431"/>
      <c r="E50" s="431"/>
      <c r="F50" s="431"/>
      <c r="G50" s="431"/>
      <c r="H50" s="431"/>
      <c r="I50" s="431"/>
      <c r="J50" s="431"/>
      <c r="K50" s="431"/>
      <c r="L50" s="431"/>
      <c r="M50" s="418"/>
      <c r="N50" s="418"/>
      <c r="O50" s="418"/>
      <c r="P50" s="418"/>
      <c r="Q50" s="418"/>
      <c r="R50" s="418"/>
    </row>
    <row r="51" spans="1:18" ht="30" customHeight="1" x14ac:dyDescent="0.2">
      <c r="A51" s="816"/>
      <c r="B51" s="817"/>
      <c r="C51" s="817"/>
      <c r="D51" s="418"/>
      <c r="E51" s="418"/>
      <c r="F51" s="418"/>
      <c r="G51" s="418"/>
      <c r="H51" s="418"/>
      <c r="I51" s="418"/>
      <c r="J51" s="418"/>
      <c r="K51" s="418"/>
      <c r="L51" s="418"/>
      <c r="M51" s="418"/>
      <c r="N51" s="418"/>
      <c r="O51" s="418"/>
      <c r="P51" s="418"/>
      <c r="Q51" s="418"/>
      <c r="R51" s="418"/>
    </row>
    <row r="52" spans="1:18" ht="30" customHeight="1" x14ac:dyDescent="0.2">
      <c r="A52" s="816"/>
      <c r="B52" s="817"/>
      <c r="C52" s="817"/>
      <c r="D52" s="418"/>
      <c r="E52" s="418"/>
      <c r="F52" s="418"/>
      <c r="G52" s="418"/>
      <c r="H52" s="418"/>
      <c r="I52" s="418"/>
      <c r="J52" s="418"/>
      <c r="K52" s="418"/>
      <c r="L52" s="418"/>
      <c r="M52" s="418"/>
      <c r="N52" s="418"/>
      <c r="O52" s="418"/>
      <c r="P52" s="418"/>
      <c r="Q52" s="418"/>
      <c r="R52" s="418"/>
    </row>
    <row r="53" spans="1:18" ht="30" customHeight="1" x14ac:dyDescent="0.2">
      <c r="A53" s="816"/>
      <c r="B53" s="817"/>
      <c r="C53" s="817"/>
      <c r="D53" s="418"/>
      <c r="E53" s="418"/>
      <c r="F53" s="418"/>
      <c r="G53" s="418"/>
      <c r="H53" s="418"/>
      <c r="I53" s="418"/>
      <c r="J53" s="418"/>
      <c r="K53" s="418"/>
      <c r="L53" s="418"/>
      <c r="M53" s="418"/>
      <c r="N53" s="418"/>
      <c r="O53" s="418"/>
      <c r="P53" s="418"/>
      <c r="Q53" s="418"/>
      <c r="R53" s="418"/>
    </row>
    <row r="54" spans="1:18" ht="30" customHeight="1" x14ac:dyDescent="0.2">
      <c r="A54" s="816"/>
      <c r="B54" s="817"/>
      <c r="C54" s="817"/>
      <c r="D54" s="418"/>
      <c r="E54" s="418"/>
      <c r="F54" s="418"/>
      <c r="G54" s="418"/>
      <c r="H54" s="418"/>
      <c r="I54" s="418"/>
      <c r="J54" s="418"/>
      <c r="K54" s="418"/>
      <c r="L54" s="418"/>
      <c r="M54" s="418"/>
      <c r="N54" s="418"/>
      <c r="O54" s="418"/>
      <c r="P54" s="418"/>
      <c r="Q54" s="418"/>
      <c r="R54" s="418"/>
    </row>
    <row r="55" spans="1:18" ht="30" customHeight="1" x14ac:dyDescent="0.2">
      <c r="A55" s="816"/>
      <c r="B55" s="817"/>
      <c r="C55" s="817"/>
      <c r="D55" s="418"/>
      <c r="E55" s="418"/>
      <c r="F55" s="418"/>
      <c r="G55" s="418"/>
      <c r="H55" s="418"/>
      <c r="I55" s="418"/>
      <c r="J55" s="418"/>
      <c r="K55" s="418"/>
      <c r="L55" s="418"/>
      <c r="M55" s="418"/>
      <c r="N55" s="418"/>
      <c r="O55" s="418"/>
      <c r="P55" s="418"/>
      <c r="Q55" s="418"/>
      <c r="R55" s="418"/>
    </row>
    <row r="56" spans="1:18" ht="30" customHeight="1" x14ac:dyDescent="0.2">
      <c r="A56" s="816"/>
      <c r="B56" s="817"/>
      <c r="C56" s="817"/>
      <c r="D56" s="418"/>
      <c r="E56" s="418"/>
      <c r="F56" s="418"/>
      <c r="G56" s="418"/>
      <c r="H56" s="418"/>
      <c r="I56" s="418"/>
      <c r="J56" s="418"/>
      <c r="K56" s="418"/>
      <c r="L56" s="418"/>
      <c r="M56" s="418"/>
      <c r="N56" s="418"/>
      <c r="O56" s="418"/>
      <c r="P56" s="418"/>
      <c r="Q56" s="418"/>
      <c r="R56" s="418"/>
    </row>
    <row r="57" spans="1:18" ht="30" customHeight="1" x14ac:dyDescent="0.2">
      <c r="A57" s="816"/>
      <c r="B57" s="817"/>
      <c r="C57" s="817"/>
      <c r="D57" s="418"/>
      <c r="E57" s="418"/>
      <c r="F57" s="418"/>
      <c r="G57" s="418"/>
      <c r="H57" s="418"/>
      <c r="I57" s="418"/>
      <c r="J57" s="418"/>
      <c r="K57" s="418"/>
      <c r="L57" s="418"/>
      <c r="M57" s="418"/>
      <c r="N57" s="418"/>
      <c r="O57" s="418"/>
      <c r="P57" s="418"/>
      <c r="Q57" s="418"/>
      <c r="R57" s="418"/>
    </row>
    <row r="58" spans="1:18" ht="30" customHeight="1" x14ac:dyDescent="0.2">
      <c r="A58" s="816"/>
      <c r="B58" s="817"/>
      <c r="C58" s="817"/>
      <c r="D58" s="418"/>
      <c r="E58" s="418"/>
      <c r="F58" s="418"/>
      <c r="G58" s="418"/>
      <c r="H58" s="418"/>
      <c r="I58" s="418"/>
      <c r="J58" s="418"/>
      <c r="K58" s="418"/>
      <c r="L58" s="418"/>
      <c r="M58" s="418"/>
      <c r="N58" s="418"/>
      <c r="O58" s="418"/>
      <c r="P58" s="418"/>
      <c r="Q58" s="418"/>
      <c r="R58" s="418"/>
    </row>
    <row r="59" spans="1:18" ht="30" customHeight="1" x14ac:dyDescent="0.2">
      <c r="A59" s="816"/>
      <c r="B59" s="817"/>
      <c r="C59" s="817"/>
      <c r="D59" s="418"/>
      <c r="E59" s="418"/>
      <c r="F59" s="418"/>
      <c r="G59" s="418"/>
      <c r="H59" s="418"/>
      <c r="I59" s="418"/>
      <c r="J59" s="418"/>
      <c r="K59" s="418"/>
      <c r="L59" s="418"/>
      <c r="M59" s="418"/>
      <c r="N59" s="418"/>
      <c r="O59" s="418"/>
      <c r="P59" s="418"/>
      <c r="Q59" s="418"/>
      <c r="R59" s="418"/>
    </row>
    <row r="60" spans="1:18" ht="30" customHeight="1" x14ac:dyDescent="0.2">
      <c r="A60" s="816"/>
      <c r="B60" s="817"/>
      <c r="C60" s="817"/>
      <c r="D60" s="418"/>
      <c r="E60" s="418"/>
      <c r="F60" s="418"/>
      <c r="G60" s="418"/>
      <c r="H60" s="418"/>
      <c r="I60" s="418"/>
      <c r="J60" s="418"/>
      <c r="K60" s="418"/>
      <c r="L60" s="418"/>
      <c r="M60" s="418"/>
      <c r="N60" s="418"/>
      <c r="O60" s="418"/>
      <c r="P60" s="418"/>
      <c r="Q60" s="418"/>
      <c r="R60" s="418"/>
    </row>
    <row r="61" spans="1:18" ht="30" customHeight="1" x14ac:dyDescent="0.2">
      <c r="A61" s="816"/>
      <c r="B61" s="817"/>
      <c r="C61" s="817"/>
      <c r="D61" s="418"/>
      <c r="E61" s="418"/>
      <c r="F61" s="418"/>
      <c r="G61" s="418"/>
      <c r="H61" s="418"/>
      <c r="I61" s="418"/>
      <c r="J61" s="418"/>
      <c r="K61" s="418"/>
      <c r="L61" s="418"/>
      <c r="M61" s="418"/>
      <c r="N61" s="418"/>
      <c r="O61" s="418"/>
      <c r="P61" s="418"/>
      <c r="Q61" s="418"/>
      <c r="R61" s="418"/>
    </row>
    <row r="62" spans="1:18" ht="30" customHeight="1" x14ac:dyDescent="0.2">
      <c r="A62" s="816"/>
      <c r="B62" s="817"/>
      <c r="C62" s="817"/>
      <c r="D62" s="418"/>
      <c r="E62" s="418"/>
      <c r="F62" s="418"/>
      <c r="G62" s="418"/>
      <c r="H62" s="418"/>
      <c r="I62" s="418"/>
      <c r="J62" s="418"/>
      <c r="K62" s="418"/>
      <c r="L62" s="418"/>
      <c r="M62" s="418"/>
      <c r="N62" s="418"/>
      <c r="O62" s="418"/>
      <c r="P62" s="418"/>
      <c r="Q62" s="418"/>
      <c r="R62" s="418"/>
    </row>
    <row r="63" spans="1:18" ht="30" customHeight="1" x14ac:dyDescent="0.2">
      <c r="A63" s="816"/>
      <c r="B63" s="817"/>
      <c r="C63" s="817"/>
      <c r="D63" s="418"/>
      <c r="E63" s="418"/>
      <c r="F63" s="418"/>
      <c r="G63" s="418"/>
      <c r="H63" s="418"/>
      <c r="I63" s="418"/>
      <c r="J63" s="418"/>
      <c r="K63" s="418"/>
      <c r="L63" s="418"/>
      <c r="M63" s="418"/>
      <c r="N63" s="418"/>
      <c r="O63" s="418"/>
      <c r="P63" s="418"/>
      <c r="Q63" s="418"/>
      <c r="R63" s="418"/>
    </row>
    <row r="64" spans="1:18" ht="30" customHeight="1" x14ac:dyDescent="0.2">
      <c r="A64" s="816"/>
      <c r="B64" s="817"/>
      <c r="C64" s="817"/>
      <c r="D64" s="418"/>
      <c r="E64" s="418"/>
      <c r="F64" s="418"/>
      <c r="G64" s="418"/>
      <c r="H64" s="418"/>
      <c r="I64" s="418"/>
      <c r="J64" s="418"/>
      <c r="K64" s="418"/>
      <c r="L64" s="418"/>
      <c r="M64" s="418"/>
      <c r="N64" s="418"/>
      <c r="O64" s="418"/>
      <c r="P64" s="418"/>
      <c r="Q64" s="418"/>
      <c r="R64" s="418"/>
    </row>
    <row r="65" spans="1:18" ht="30" customHeight="1" x14ac:dyDescent="0.2">
      <c r="A65" s="816"/>
      <c r="B65" s="817"/>
      <c r="C65" s="817"/>
      <c r="D65" s="418"/>
      <c r="E65" s="418"/>
      <c r="F65" s="418"/>
      <c r="G65" s="418"/>
      <c r="H65" s="418"/>
      <c r="I65" s="418"/>
      <c r="J65" s="418"/>
      <c r="K65" s="418"/>
      <c r="L65" s="418"/>
      <c r="M65" s="418"/>
      <c r="N65" s="418"/>
      <c r="O65" s="418"/>
      <c r="P65" s="418"/>
      <c r="Q65" s="418"/>
      <c r="R65" s="418"/>
    </row>
    <row r="66" spans="1:18" ht="30" customHeight="1" x14ac:dyDescent="0.2">
      <c r="A66" s="816"/>
      <c r="B66" s="817"/>
      <c r="C66" s="817"/>
      <c r="D66" s="418"/>
      <c r="E66" s="418"/>
      <c r="F66" s="418"/>
      <c r="G66" s="418"/>
      <c r="H66" s="418"/>
      <c r="I66" s="418"/>
      <c r="J66" s="418"/>
      <c r="K66" s="418"/>
      <c r="L66" s="418"/>
      <c r="M66" s="418"/>
      <c r="N66" s="418"/>
      <c r="O66" s="418"/>
      <c r="P66" s="418"/>
      <c r="Q66" s="418"/>
      <c r="R66" s="418"/>
    </row>
    <row r="67" spans="1:18" ht="30" customHeight="1" x14ac:dyDescent="0.2">
      <c r="A67" s="816"/>
      <c r="B67" s="817"/>
      <c r="C67" s="817"/>
      <c r="D67" s="418"/>
      <c r="E67" s="418"/>
      <c r="F67" s="418"/>
      <c r="G67" s="418"/>
      <c r="H67" s="418"/>
      <c r="I67" s="418"/>
      <c r="J67" s="418"/>
      <c r="K67" s="418"/>
      <c r="L67" s="418"/>
      <c r="M67" s="418"/>
      <c r="N67" s="418"/>
      <c r="O67" s="418"/>
      <c r="P67" s="418"/>
      <c r="Q67" s="418"/>
      <c r="R67" s="418"/>
    </row>
    <row r="68" spans="1:18" ht="30" customHeight="1" x14ac:dyDescent="0.2">
      <c r="A68" s="816"/>
      <c r="B68" s="817"/>
      <c r="C68" s="817"/>
      <c r="D68" s="418"/>
      <c r="E68" s="418"/>
      <c r="F68" s="418"/>
      <c r="G68" s="418"/>
      <c r="H68" s="418"/>
      <c r="I68" s="418"/>
      <c r="J68" s="418"/>
      <c r="K68" s="418"/>
      <c r="L68" s="418"/>
      <c r="M68" s="418"/>
      <c r="N68" s="418"/>
      <c r="O68" s="418"/>
      <c r="P68" s="418"/>
      <c r="Q68" s="418"/>
      <c r="R68" s="418"/>
    </row>
    <row r="69" spans="1:18" ht="15" customHeight="1" x14ac:dyDescent="0.2">
      <c r="A69" s="816"/>
      <c r="B69" s="817"/>
      <c r="C69" s="817"/>
      <c r="D69" s="418"/>
      <c r="E69" s="418"/>
      <c r="F69" s="418"/>
      <c r="G69" s="418"/>
      <c r="H69" s="418"/>
      <c r="I69" s="418"/>
      <c r="J69" s="418"/>
      <c r="K69" s="418"/>
      <c r="L69" s="418"/>
      <c r="M69" s="418"/>
      <c r="N69" s="418"/>
      <c r="O69" s="418"/>
      <c r="P69" s="418"/>
      <c r="Q69" s="418"/>
      <c r="R69" s="418"/>
    </row>
    <row r="70" spans="1:18" ht="45" customHeight="1" x14ac:dyDescent="0.2">
      <c r="A70" s="816"/>
      <c r="B70" s="817"/>
      <c r="C70" s="817"/>
      <c r="D70" s="418"/>
      <c r="E70" s="418"/>
      <c r="F70" s="418"/>
      <c r="G70" s="418"/>
      <c r="H70" s="418"/>
      <c r="I70" s="418"/>
      <c r="J70" s="418"/>
      <c r="K70" s="418"/>
      <c r="L70" s="418"/>
      <c r="M70" s="418"/>
      <c r="N70" s="418"/>
      <c r="O70" s="418"/>
      <c r="P70" s="418"/>
      <c r="Q70" s="418"/>
      <c r="R70" s="418"/>
    </row>
    <row r="71" spans="1:18" ht="30" customHeight="1" x14ac:dyDescent="0.2">
      <c r="A71" s="816"/>
      <c r="B71" s="817"/>
      <c r="C71" s="817"/>
      <c r="D71" s="418"/>
      <c r="E71" s="418"/>
      <c r="F71" s="418"/>
      <c r="G71" s="418"/>
      <c r="H71" s="418"/>
      <c r="I71" s="418"/>
      <c r="J71" s="418"/>
      <c r="K71" s="418"/>
      <c r="L71" s="418"/>
      <c r="M71" s="418"/>
      <c r="N71" s="418"/>
      <c r="O71" s="418"/>
      <c r="P71" s="418"/>
      <c r="Q71" s="418"/>
      <c r="R71" s="418"/>
    </row>
    <row r="72" spans="1:18" ht="30" customHeight="1" x14ac:dyDescent="0.2">
      <c r="A72" s="816"/>
      <c r="B72" s="817"/>
      <c r="C72" s="817"/>
      <c r="D72" s="418"/>
      <c r="E72" s="418"/>
      <c r="F72" s="418"/>
      <c r="G72" s="418"/>
      <c r="H72" s="418"/>
      <c r="I72" s="418"/>
      <c r="J72" s="418"/>
      <c r="K72" s="418"/>
      <c r="L72" s="418"/>
      <c r="M72" s="418"/>
      <c r="N72" s="418"/>
      <c r="O72" s="418"/>
      <c r="P72" s="418"/>
      <c r="Q72" s="418"/>
      <c r="R72" s="418"/>
    </row>
    <row r="73" spans="1:18" ht="30" customHeight="1" x14ac:dyDescent="0.2">
      <c r="A73" s="816"/>
      <c r="B73" s="817"/>
      <c r="C73" s="817"/>
      <c r="D73" s="418"/>
      <c r="E73" s="418"/>
      <c r="F73" s="418"/>
      <c r="G73" s="418"/>
      <c r="H73" s="418"/>
      <c r="I73" s="418"/>
      <c r="J73" s="418"/>
      <c r="K73" s="418"/>
      <c r="L73" s="418"/>
      <c r="M73" s="418"/>
      <c r="N73" s="418"/>
      <c r="O73" s="418"/>
      <c r="P73" s="418"/>
      <c r="Q73" s="418"/>
      <c r="R73" s="418"/>
    </row>
    <row r="74" spans="1:18" ht="30" customHeight="1" x14ac:dyDescent="0.2">
      <c r="A74" s="816"/>
      <c r="B74" s="817"/>
      <c r="C74" s="817"/>
      <c r="D74" s="418"/>
      <c r="E74" s="418"/>
      <c r="F74" s="418"/>
      <c r="G74" s="418"/>
      <c r="H74" s="418"/>
      <c r="I74" s="418"/>
      <c r="J74" s="418"/>
      <c r="K74" s="418"/>
      <c r="L74" s="418"/>
      <c r="M74" s="418"/>
      <c r="N74" s="418"/>
      <c r="O74" s="418"/>
      <c r="P74" s="418"/>
      <c r="Q74" s="418"/>
      <c r="R74" s="418"/>
    </row>
    <row r="75" spans="1:18" ht="30" customHeight="1" x14ac:dyDescent="0.2">
      <c r="A75" s="816"/>
      <c r="B75" s="817"/>
      <c r="C75" s="817"/>
      <c r="D75" s="418"/>
      <c r="E75" s="418"/>
      <c r="F75" s="418"/>
      <c r="G75" s="418"/>
      <c r="H75" s="418"/>
      <c r="I75" s="418"/>
      <c r="J75" s="418"/>
      <c r="K75" s="418"/>
      <c r="L75" s="418"/>
      <c r="M75" s="418"/>
      <c r="N75" s="418"/>
      <c r="O75" s="418"/>
      <c r="P75" s="418"/>
      <c r="Q75" s="418"/>
      <c r="R75" s="418"/>
    </row>
    <row r="76" spans="1:18" ht="30" customHeight="1" x14ac:dyDescent="0.2">
      <c r="A76" s="816"/>
      <c r="B76" s="817"/>
      <c r="C76" s="817"/>
      <c r="D76" s="418"/>
      <c r="E76" s="418"/>
      <c r="F76" s="418"/>
      <c r="G76" s="418"/>
      <c r="H76" s="418"/>
      <c r="I76" s="418"/>
      <c r="J76" s="418"/>
      <c r="K76" s="418"/>
      <c r="L76" s="418"/>
      <c r="M76" s="418"/>
      <c r="N76" s="418"/>
      <c r="O76" s="418"/>
      <c r="P76" s="418"/>
      <c r="Q76" s="418"/>
      <c r="R76" s="418"/>
    </row>
    <row r="77" spans="1:18" ht="15" customHeight="1" x14ac:dyDescent="0.2">
      <c r="A77" s="816"/>
      <c r="B77" s="817"/>
      <c r="C77" s="817"/>
      <c r="D77" s="418"/>
      <c r="E77" s="418"/>
      <c r="F77" s="418"/>
      <c r="G77" s="418"/>
      <c r="H77" s="418"/>
      <c r="I77" s="418"/>
      <c r="J77" s="418"/>
      <c r="K77" s="418"/>
      <c r="L77" s="418"/>
      <c r="M77" s="418"/>
      <c r="N77" s="418"/>
      <c r="O77" s="418"/>
      <c r="P77" s="418"/>
      <c r="Q77" s="418"/>
      <c r="R77" s="418"/>
    </row>
    <row r="78" spans="1:18" ht="45" customHeight="1" x14ac:dyDescent="0.2">
      <c r="A78" s="816"/>
      <c r="B78" s="817"/>
      <c r="C78" s="817"/>
      <c r="D78" s="418"/>
      <c r="E78" s="418"/>
      <c r="F78" s="418"/>
      <c r="G78" s="418"/>
      <c r="H78" s="418"/>
      <c r="I78" s="418"/>
      <c r="J78" s="418"/>
      <c r="K78" s="418"/>
      <c r="L78" s="418"/>
      <c r="M78" s="418"/>
      <c r="N78" s="418"/>
      <c r="O78" s="418"/>
      <c r="P78" s="418"/>
      <c r="Q78" s="418"/>
      <c r="R78" s="418"/>
    </row>
    <row r="79" spans="1:18" ht="30" customHeight="1" x14ac:dyDescent="0.2">
      <c r="A79" s="816"/>
      <c r="B79" s="817"/>
      <c r="C79" s="817"/>
      <c r="D79" s="418"/>
      <c r="E79" s="418"/>
      <c r="F79" s="418"/>
      <c r="G79" s="418"/>
      <c r="H79" s="418"/>
      <c r="I79" s="418"/>
      <c r="J79" s="418"/>
      <c r="K79" s="418"/>
      <c r="L79" s="418"/>
      <c r="M79" s="418"/>
      <c r="N79" s="418"/>
      <c r="O79" s="418"/>
      <c r="P79" s="418"/>
      <c r="Q79" s="418"/>
      <c r="R79" s="418"/>
    </row>
    <row r="80" spans="1:18" ht="30" customHeight="1" x14ac:dyDescent="0.2">
      <c r="A80" s="816"/>
      <c r="B80" s="817"/>
      <c r="C80" s="817"/>
      <c r="D80" s="418"/>
      <c r="E80" s="418"/>
      <c r="F80" s="418"/>
      <c r="G80" s="418"/>
      <c r="H80" s="418"/>
      <c r="I80" s="418"/>
      <c r="J80" s="418"/>
      <c r="K80" s="418"/>
      <c r="L80" s="418"/>
      <c r="M80" s="418"/>
      <c r="N80" s="418"/>
      <c r="O80" s="418"/>
      <c r="P80" s="418"/>
      <c r="Q80" s="418"/>
      <c r="R80" s="418"/>
    </row>
    <row r="81" spans="1:18" ht="30" customHeight="1" x14ac:dyDescent="0.2">
      <c r="A81" s="816"/>
      <c r="B81" s="817"/>
      <c r="C81" s="817"/>
      <c r="D81" s="418"/>
      <c r="E81" s="418"/>
      <c r="F81" s="418"/>
      <c r="G81" s="418"/>
      <c r="H81" s="418"/>
      <c r="I81" s="418"/>
      <c r="J81" s="418"/>
      <c r="K81" s="418"/>
      <c r="L81" s="418"/>
      <c r="M81" s="418"/>
      <c r="N81" s="418"/>
      <c r="O81" s="418"/>
      <c r="P81" s="418"/>
      <c r="Q81" s="418"/>
      <c r="R81" s="418"/>
    </row>
    <row r="82" spans="1:18" ht="30" customHeight="1" x14ac:dyDescent="0.2">
      <c r="A82" s="816"/>
      <c r="B82" s="817"/>
      <c r="C82" s="817"/>
      <c r="D82" s="418"/>
      <c r="E82" s="418"/>
      <c r="F82" s="418"/>
      <c r="G82" s="418"/>
      <c r="H82" s="418"/>
      <c r="I82" s="418"/>
      <c r="J82" s="418"/>
      <c r="K82" s="418"/>
      <c r="L82" s="418"/>
      <c r="M82" s="418"/>
      <c r="N82" s="418"/>
      <c r="O82" s="418"/>
      <c r="P82" s="418"/>
      <c r="Q82" s="418"/>
      <c r="R82" s="418"/>
    </row>
    <row r="83" spans="1:18" ht="30" customHeight="1" x14ac:dyDescent="0.2">
      <c r="A83" s="816"/>
      <c r="B83" s="817"/>
      <c r="C83" s="817"/>
      <c r="D83" s="418"/>
      <c r="E83" s="418"/>
      <c r="F83" s="418"/>
      <c r="G83" s="418"/>
      <c r="H83" s="418"/>
      <c r="I83" s="418"/>
      <c r="J83" s="418"/>
      <c r="K83" s="418"/>
      <c r="L83" s="418"/>
      <c r="M83" s="418"/>
      <c r="N83" s="418"/>
      <c r="O83" s="418"/>
      <c r="P83" s="418"/>
      <c r="Q83" s="418"/>
      <c r="R83" s="418"/>
    </row>
    <row r="84" spans="1:18" ht="30" customHeight="1" x14ac:dyDescent="0.2">
      <c r="A84" s="816"/>
      <c r="B84" s="817"/>
      <c r="C84" s="817"/>
      <c r="D84" s="418"/>
      <c r="E84" s="418"/>
      <c r="F84" s="418"/>
      <c r="G84" s="418"/>
      <c r="H84" s="418"/>
      <c r="I84" s="418"/>
      <c r="J84" s="418"/>
      <c r="K84" s="418"/>
      <c r="L84" s="418"/>
      <c r="M84" s="418"/>
      <c r="N84" s="418"/>
      <c r="O84" s="418"/>
      <c r="P84" s="418"/>
      <c r="Q84" s="418"/>
      <c r="R84" s="418"/>
    </row>
    <row r="85" spans="1:18" ht="15" customHeight="1" x14ac:dyDescent="0.2">
      <c r="A85" s="816"/>
      <c r="B85" s="817"/>
      <c r="C85" s="817"/>
      <c r="D85" s="418"/>
      <c r="E85" s="418"/>
      <c r="F85" s="418"/>
      <c r="G85" s="418"/>
      <c r="H85" s="418"/>
      <c r="I85" s="418"/>
      <c r="J85" s="418"/>
      <c r="K85" s="418"/>
      <c r="L85" s="418"/>
      <c r="M85" s="418"/>
      <c r="N85" s="418"/>
      <c r="O85" s="418"/>
      <c r="P85" s="418"/>
      <c r="Q85" s="418"/>
      <c r="R85" s="418"/>
    </row>
    <row r="86" spans="1:18" ht="45" customHeight="1" x14ac:dyDescent="0.2">
      <c r="A86" s="816"/>
      <c r="B86" s="817"/>
      <c r="C86" s="817"/>
      <c r="D86" s="418"/>
      <c r="E86" s="418"/>
      <c r="F86" s="418"/>
      <c r="G86" s="418"/>
      <c r="H86" s="418"/>
      <c r="I86" s="418"/>
      <c r="J86" s="418"/>
      <c r="K86" s="418"/>
      <c r="L86" s="418"/>
      <c r="M86" s="418"/>
      <c r="N86" s="418"/>
      <c r="O86" s="418"/>
      <c r="P86" s="418"/>
      <c r="Q86" s="418"/>
      <c r="R86" s="418"/>
    </row>
    <row r="87" spans="1:18" ht="30" customHeight="1" x14ac:dyDescent="0.2">
      <c r="A87" s="816"/>
      <c r="B87" s="817"/>
      <c r="C87" s="817"/>
      <c r="D87" s="418"/>
      <c r="E87" s="418"/>
      <c r="F87" s="418"/>
      <c r="G87" s="418"/>
      <c r="H87" s="418"/>
      <c r="I87" s="418"/>
      <c r="J87" s="418"/>
      <c r="K87" s="418"/>
      <c r="L87" s="418"/>
      <c r="M87" s="418"/>
      <c r="N87" s="418"/>
      <c r="O87" s="418"/>
      <c r="P87" s="418"/>
      <c r="Q87" s="418"/>
      <c r="R87" s="418"/>
    </row>
    <row r="88" spans="1:18" ht="30" customHeight="1" x14ac:dyDescent="0.2">
      <c r="A88" s="816"/>
      <c r="B88" s="817"/>
      <c r="C88" s="817"/>
      <c r="D88" s="418"/>
      <c r="E88" s="418"/>
      <c r="F88" s="418"/>
      <c r="G88" s="418"/>
      <c r="H88" s="418"/>
      <c r="I88" s="418"/>
      <c r="J88" s="418"/>
      <c r="K88" s="418"/>
      <c r="L88" s="418"/>
      <c r="M88" s="418"/>
      <c r="N88" s="418"/>
      <c r="O88" s="418"/>
      <c r="P88" s="418"/>
      <c r="Q88" s="418"/>
      <c r="R88" s="418"/>
    </row>
    <row r="89" spans="1:18" ht="30" customHeight="1" x14ac:dyDescent="0.2">
      <c r="A89" s="816"/>
      <c r="B89" s="817"/>
      <c r="C89" s="817"/>
      <c r="D89" s="418"/>
      <c r="E89" s="418"/>
      <c r="F89" s="418"/>
      <c r="G89" s="418"/>
      <c r="H89" s="418"/>
      <c r="I89" s="418"/>
      <c r="J89" s="418"/>
      <c r="K89" s="418"/>
      <c r="L89" s="418"/>
      <c r="M89" s="418"/>
      <c r="N89" s="418"/>
      <c r="O89" s="418"/>
      <c r="P89" s="418"/>
      <c r="Q89" s="418"/>
      <c r="R89" s="418"/>
    </row>
    <row r="90" spans="1:18" ht="30" customHeight="1" x14ac:dyDescent="0.2">
      <c r="A90" s="816"/>
      <c r="B90" s="817"/>
      <c r="C90" s="817"/>
      <c r="D90" s="418"/>
      <c r="E90" s="418"/>
      <c r="F90" s="418"/>
      <c r="G90" s="418"/>
      <c r="H90" s="418"/>
      <c r="I90" s="418"/>
      <c r="J90" s="418"/>
      <c r="K90" s="418"/>
      <c r="L90" s="418"/>
      <c r="M90" s="418"/>
      <c r="N90" s="418"/>
      <c r="O90" s="418"/>
      <c r="P90" s="418"/>
      <c r="Q90" s="418"/>
      <c r="R90" s="418"/>
    </row>
    <row r="91" spans="1:18" ht="30" customHeight="1" x14ac:dyDescent="0.2">
      <c r="A91" s="816"/>
      <c r="B91" s="817"/>
      <c r="C91" s="817"/>
      <c r="D91" s="418"/>
      <c r="E91" s="418"/>
      <c r="F91" s="418"/>
      <c r="G91" s="418"/>
      <c r="H91" s="418"/>
      <c r="I91" s="418"/>
      <c r="J91" s="418"/>
      <c r="K91" s="418"/>
      <c r="L91" s="418"/>
      <c r="M91" s="418"/>
      <c r="N91" s="418"/>
      <c r="O91" s="418"/>
      <c r="P91" s="418"/>
      <c r="Q91" s="418"/>
      <c r="R91" s="418"/>
    </row>
    <row r="92" spans="1:18" ht="30" customHeight="1" x14ac:dyDescent="0.2">
      <c r="A92" s="816"/>
      <c r="B92" s="817"/>
      <c r="C92" s="817"/>
      <c r="D92" s="418"/>
      <c r="E92" s="418"/>
      <c r="F92" s="418"/>
      <c r="G92" s="418"/>
      <c r="H92" s="418"/>
      <c r="I92" s="418"/>
      <c r="J92" s="418"/>
      <c r="K92" s="418"/>
      <c r="L92" s="418"/>
      <c r="M92" s="418"/>
      <c r="N92" s="418"/>
      <c r="O92" s="418"/>
      <c r="P92" s="418"/>
      <c r="Q92" s="418"/>
      <c r="R92" s="418"/>
    </row>
    <row r="93" spans="1:18" ht="15" customHeight="1" x14ac:dyDescent="0.2">
      <c r="A93" s="816"/>
      <c r="B93" s="817"/>
      <c r="C93" s="817"/>
      <c r="D93" s="418"/>
      <c r="E93" s="418"/>
      <c r="F93" s="418"/>
      <c r="G93" s="418"/>
      <c r="H93" s="418"/>
      <c r="I93" s="418"/>
      <c r="J93" s="418"/>
      <c r="K93" s="418"/>
      <c r="L93" s="418"/>
      <c r="M93" s="418"/>
      <c r="N93" s="418"/>
      <c r="O93" s="418"/>
      <c r="P93" s="418"/>
      <c r="Q93" s="418"/>
      <c r="R93" s="418"/>
    </row>
    <row r="94" spans="1:18" ht="45" customHeight="1" x14ac:dyDescent="0.2">
      <c r="A94" s="816"/>
      <c r="B94" s="817"/>
      <c r="C94" s="817"/>
      <c r="D94" s="418"/>
      <c r="E94" s="418"/>
      <c r="F94" s="418"/>
      <c r="G94" s="418"/>
      <c r="H94" s="418"/>
      <c r="I94" s="418"/>
      <c r="J94" s="418"/>
      <c r="K94" s="418"/>
      <c r="L94" s="418"/>
      <c r="M94" s="418"/>
      <c r="N94" s="418"/>
      <c r="O94" s="418"/>
      <c r="P94" s="418"/>
      <c r="Q94" s="418"/>
      <c r="R94" s="418"/>
    </row>
    <row r="95" spans="1:18" ht="30" customHeight="1" x14ac:dyDescent="0.2">
      <c r="A95" s="816"/>
      <c r="B95" s="817"/>
      <c r="C95" s="817"/>
      <c r="D95" s="418"/>
      <c r="E95" s="418"/>
      <c r="F95" s="418"/>
      <c r="G95" s="418"/>
      <c r="H95" s="418"/>
      <c r="I95" s="418"/>
      <c r="J95" s="418"/>
      <c r="K95" s="418"/>
      <c r="L95" s="418"/>
      <c r="M95" s="418"/>
      <c r="N95" s="418"/>
      <c r="O95" s="418"/>
      <c r="P95" s="418"/>
      <c r="Q95" s="418"/>
      <c r="R95" s="418"/>
    </row>
    <row r="96" spans="1:18" ht="30" customHeight="1" x14ac:dyDescent="0.2">
      <c r="A96" s="816"/>
      <c r="B96" s="817"/>
      <c r="C96" s="817"/>
      <c r="D96" s="418"/>
      <c r="E96" s="418"/>
      <c r="F96" s="418"/>
      <c r="G96" s="418"/>
      <c r="H96" s="418"/>
      <c r="I96" s="418"/>
      <c r="J96" s="418"/>
      <c r="K96" s="418"/>
      <c r="L96" s="418"/>
      <c r="M96" s="418"/>
      <c r="N96" s="418"/>
      <c r="O96" s="418"/>
      <c r="P96" s="418"/>
      <c r="Q96" s="418"/>
      <c r="R96" s="418"/>
    </row>
    <row r="97" spans="1:18" ht="30" customHeight="1" x14ac:dyDescent="0.2">
      <c r="A97" s="816"/>
      <c r="B97" s="817"/>
      <c r="C97" s="817"/>
      <c r="D97" s="418"/>
      <c r="E97" s="418"/>
      <c r="F97" s="418"/>
      <c r="G97" s="418"/>
      <c r="H97" s="418"/>
      <c r="I97" s="418"/>
      <c r="J97" s="418"/>
      <c r="K97" s="418"/>
      <c r="L97" s="418"/>
      <c r="M97" s="418"/>
      <c r="N97" s="418"/>
      <c r="O97" s="418"/>
      <c r="P97" s="418"/>
      <c r="Q97" s="418"/>
      <c r="R97" s="418"/>
    </row>
    <row r="98" spans="1:18" ht="30" customHeight="1" x14ac:dyDescent="0.2">
      <c r="A98" s="816"/>
      <c r="B98" s="817"/>
      <c r="C98" s="817"/>
      <c r="D98" s="418"/>
      <c r="E98" s="418"/>
      <c r="F98" s="418"/>
      <c r="G98" s="418"/>
      <c r="H98" s="418"/>
      <c r="I98" s="418"/>
      <c r="J98" s="418"/>
      <c r="K98" s="418"/>
      <c r="L98" s="418"/>
      <c r="M98" s="418"/>
      <c r="N98" s="418"/>
      <c r="O98" s="418"/>
      <c r="P98" s="418"/>
      <c r="Q98" s="418"/>
      <c r="R98" s="418"/>
    </row>
    <row r="99" spans="1:18" ht="30" customHeight="1" x14ac:dyDescent="0.2">
      <c r="A99" s="816"/>
      <c r="B99" s="817"/>
      <c r="C99" s="817"/>
      <c r="D99" s="418"/>
      <c r="E99" s="418"/>
      <c r="F99" s="418"/>
      <c r="G99" s="418"/>
      <c r="H99" s="418"/>
      <c r="I99" s="418"/>
      <c r="J99" s="418"/>
      <c r="K99" s="418"/>
      <c r="L99" s="418"/>
      <c r="M99" s="418"/>
      <c r="N99" s="418"/>
      <c r="O99" s="418"/>
      <c r="P99" s="418"/>
      <c r="Q99" s="418"/>
      <c r="R99" s="418"/>
    </row>
    <row r="100" spans="1:18" ht="30" customHeight="1" x14ac:dyDescent="0.2">
      <c r="A100" s="816"/>
      <c r="B100" s="817"/>
      <c r="C100" s="817"/>
      <c r="D100" s="418"/>
      <c r="E100" s="418"/>
      <c r="F100" s="418"/>
      <c r="G100" s="418"/>
      <c r="H100" s="418"/>
      <c r="I100" s="418"/>
      <c r="J100" s="418"/>
      <c r="K100" s="418"/>
      <c r="L100" s="418"/>
      <c r="M100" s="418"/>
      <c r="N100" s="418"/>
      <c r="O100" s="418"/>
      <c r="P100" s="418"/>
      <c r="Q100" s="418"/>
      <c r="R100" s="418"/>
    </row>
    <row r="101" spans="1:18" ht="15" customHeight="1" x14ac:dyDescent="0.2">
      <c r="A101" s="816"/>
      <c r="B101" s="817"/>
      <c r="C101" s="817"/>
      <c r="D101" s="418"/>
      <c r="E101" s="418"/>
      <c r="F101" s="418"/>
      <c r="G101" s="418"/>
      <c r="H101" s="418"/>
      <c r="I101" s="418"/>
      <c r="J101" s="418"/>
      <c r="K101" s="418"/>
      <c r="L101" s="418"/>
      <c r="M101" s="418"/>
      <c r="N101" s="418"/>
      <c r="O101" s="418"/>
      <c r="P101" s="418"/>
      <c r="Q101" s="418"/>
      <c r="R101" s="418"/>
    </row>
    <row r="102" spans="1:18" ht="45" customHeight="1" x14ac:dyDescent="0.2">
      <c r="A102" s="816"/>
      <c r="B102" s="817"/>
      <c r="C102" s="817"/>
      <c r="D102" s="418"/>
      <c r="E102" s="418"/>
      <c r="F102" s="418"/>
      <c r="G102" s="418"/>
      <c r="H102" s="418"/>
      <c r="I102" s="418"/>
      <c r="J102" s="418"/>
      <c r="K102" s="418"/>
      <c r="L102" s="418"/>
      <c r="M102" s="418"/>
      <c r="N102" s="418"/>
      <c r="O102" s="418"/>
      <c r="P102" s="418"/>
      <c r="Q102" s="418"/>
      <c r="R102" s="418"/>
    </row>
    <row r="103" spans="1:18" ht="30" customHeight="1" x14ac:dyDescent="0.2">
      <c r="A103" s="816"/>
      <c r="B103" s="817"/>
      <c r="C103" s="817"/>
      <c r="D103" s="418"/>
      <c r="E103" s="418"/>
      <c r="F103" s="418"/>
      <c r="G103" s="418"/>
      <c r="H103" s="418"/>
      <c r="I103" s="418"/>
      <c r="J103" s="418"/>
      <c r="K103" s="418"/>
      <c r="L103" s="418"/>
      <c r="M103" s="418"/>
      <c r="N103" s="418"/>
      <c r="O103" s="418"/>
      <c r="P103" s="418"/>
      <c r="Q103" s="418"/>
      <c r="R103" s="418"/>
    </row>
    <row r="104" spans="1:18" ht="30" customHeight="1" x14ac:dyDescent="0.2">
      <c r="A104" s="816"/>
      <c r="B104" s="817"/>
      <c r="C104" s="817"/>
      <c r="D104" s="418"/>
      <c r="E104" s="418"/>
      <c r="F104" s="418"/>
      <c r="G104" s="418"/>
      <c r="H104" s="418"/>
      <c r="I104" s="418"/>
      <c r="J104" s="418"/>
      <c r="K104" s="418"/>
      <c r="L104" s="418"/>
      <c r="M104" s="418"/>
      <c r="N104" s="418"/>
      <c r="O104" s="418"/>
      <c r="P104" s="418"/>
      <c r="Q104" s="418"/>
      <c r="R104" s="418"/>
    </row>
    <row r="105" spans="1:18" ht="30" customHeight="1" x14ac:dyDescent="0.2">
      <c r="A105" s="816"/>
      <c r="B105" s="817"/>
      <c r="C105" s="817"/>
      <c r="D105" s="418"/>
      <c r="E105" s="418"/>
      <c r="F105" s="418"/>
      <c r="G105" s="418"/>
      <c r="H105" s="418"/>
      <c r="I105" s="418"/>
      <c r="J105" s="418"/>
      <c r="K105" s="418"/>
      <c r="L105" s="418"/>
      <c r="M105" s="418"/>
      <c r="N105" s="418"/>
      <c r="O105" s="418"/>
      <c r="P105" s="418"/>
      <c r="Q105" s="418"/>
      <c r="R105" s="418"/>
    </row>
    <row r="106" spans="1:18" ht="30" customHeight="1" x14ac:dyDescent="0.2">
      <c r="A106" s="816"/>
      <c r="B106" s="817"/>
      <c r="C106" s="817"/>
      <c r="D106" s="418"/>
      <c r="E106" s="418"/>
      <c r="F106" s="418"/>
      <c r="G106" s="418"/>
      <c r="H106" s="418"/>
      <c r="I106" s="418"/>
      <c r="J106" s="418"/>
      <c r="K106" s="418"/>
      <c r="L106" s="418"/>
      <c r="M106" s="418"/>
      <c r="N106" s="418"/>
      <c r="O106" s="418"/>
      <c r="P106" s="418"/>
      <c r="Q106" s="418"/>
      <c r="R106" s="418"/>
    </row>
    <row r="107" spans="1:18" ht="30" customHeight="1" x14ac:dyDescent="0.2">
      <c r="A107" s="816"/>
      <c r="B107" s="817"/>
      <c r="C107" s="817"/>
      <c r="D107" s="418"/>
      <c r="E107" s="418"/>
      <c r="F107" s="418"/>
      <c r="G107" s="418"/>
      <c r="H107" s="418"/>
      <c r="I107" s="418"/>
      <c r="J107" s="418"/>
      <c r="K107" s="418"/>
      <c r="L107" s="418"/>
      <c r="M107" s="418"/>
      <c r="N107" s="418"/>
      <c r="O107" s="418"/>
      <c r="P107" s="418"/>
      <c r="Q107" s="418"/>
      <c r="R107" s="418"/>
    </row>
    <row r="108" spans="1:18" ht="30" customHeight="1" x14ac:dyDescent="0.2">
      <c r="A108" s="816"/>
      <c r="B108" s="817"/>
      <c r="C108" s="817"/>
      <c r="D108" s="418"/>
      <c r="E108" s="418"/>
      <c r="F108" s="418"/>
      <c r="G108" s="418"/>
      <c r="H108" s="418"/>
      <c r="I108" s="418"/>
      <c r="J108" s="418"/>
      <c r="K108" s="418"/>
      <c r="L108" s="418"/>
      <c r="M108" s="418"/>
      <c r="N108" s="418"/>
      <c r="O108" s="418"/>
      <c r="P108" s="418"/>
      <c r="Q108" s="418"/>
      <c r="R108" s="418"/>
    </row>
    <row r="109" spans="1:18" ht="15" customHeight="1" x14ac:dyDescent="0.2">
      <c r="A109" s="816"/>
      <c r="B109" s="817"/>
      <c r="C109" s="817"/>
      <c r="D109" s="418"/>
      <c r="E109" s="418"/>
      <c r="F109" s="418"/>
      <c r="G109" s="418"/>
      <c r="H109" s="418"/>
      <c r="I109" s="418"/>
      <c r="J109" s="418"/>
      <c r="K109" s="418"/>
      <c r="L109" s="418"/>
      <c r="M109" s="418"/>
      <c r="N109" s="418"/>
      <c r="O109" s="418"/>
      <c r="P109" s="418"/>
      <c r="Q109" s="418"/>
      <c r="R109" s="418"/>
    </row>
    <row r="110" spans="1:18" ht="45" customHeight="1" x14ac:dyDescent="0.2">
      <c r="A110" s="816"/>
      <c r="B110" s="817"/>
      <c r="C110" s="817"/>
      <c r="D110" s="418"/>
      <c r="E110" s="418"/>
      <c r="F110" s="418"/>
      <c r="G110" s="418"/>
      <c r="H110" s="418"/>
      <c r="I110" s="418"/>
      <c r="J110" s="418"/>
      <c r="K110" s="418"/>
      <c r="L110" s="418"/>
      <c r="M110" s="418"/>
      <c r="N110" s="418"/>
      <c r="O110" s="418"/>
      <c r="P110" s="418"/>
      <c r="Q110" s="418"/>
      <c r="R110" s="418"/>
    </row>
    <row r="111" spans="1:18" ht="30" customHeight="1" x14ac:dyDescent="0.2">
      <c r="A111" s="816"/>
      <c r="B111" s="817"/>
      <c r="C111" s="817"/>
      <c r="D111" s="418"/>
      <c r="E111" s="418"/>
      <c r="F111" s="418"/>
      <c r="G111" s="418"/>
      <c r="H111" s="418"/>
      <c r="I111" s="418"/>
      <c r="J111" s="418"/>
      <c r="K111" s="418"/>
      <c r="L111" s="418"/>
      <c r="M111" s="418"/>
      <c r="N111" s="418"/>
      <c r="O111" s="418"/>
      <c r="P111" s="418"/>
      <c r="Q111" s="418"/>
      <c r="R111" s="418"/>
    </row>
    <row r="112" spans="1:18" ht="30" customHeight="1" x14ac:dyDescent="0.2">
      <c r="A112" s="816"/>
      <c r="B112" s="817"/>
      <c r="C112" s="817"/>
      <c r="D112" s="418"/>
      <c r="E112" s="418"/>
      <c r="F112" s="418"/>
      <c r="G112" s="418"/>
      <c r="H112" s="418"/>
      <c r="I112" s="418"/>
      <c r="J112" s="418"/>
      <c r="K112" s="418"/>
      <c r="L112" s="418"/>
      <c r="M112" s="418"/>
      <c r="N112" s="418"/>
      <c r="O112" s="418"/>
      <c r="P112" s="418"/>
      <c r="Q112" s="418"/>
      <c r="R112" s="418"/>
    </row>
    <row r="113" spans="1:18" ht="30" customHeight="1" x14ac:dyDescent="0.2">
      <c r="A113" s="816"/>
      <c r="B113" s="817"/>
      <c r="C113" s="817"/>
      <c r="D113" s="418"/>
      <c r="E113" s="418"/>
      <c r="F113" s="418"/>
      <c r="G113" s="418"/>
      <c r="H113" s="418"/>
      <c r="I113" s="418"/>
      <c r="J113" s="418"/>
      <c r="K113" s="418"/>
      <c r="L113" s="418"/>
      <c r="M113" s="418"/>
      <c r="N113" s="418"/>
      <c r="O113" s="418"/>
      <c r="P113" s="418"/>
      <c r="Q113" s="418"/>
      <c r="R113" s="418"/>
    </row>
    <row r="114" spans="1:18" ht="30" customHeight="1" x14ac:dyDescent="0.2">
      <c r="A114" s="816"/>
      <c r="B114" s="817"/>
      <c r="C114" s="817"/>
      <c r="D114" s="418"/>
      <c r="E114" s="418"/>
      <c r="F114" s="418"/>
      <c r="G114" s="418"/>
      <c r="H114" s="418"/>
      <c r="I114" s="418"/>
      <c r="J114" s="418"/>
      <c r="K114" s="418"/>
      <c r="L114" s="418"/>
      <c r="M114" s="418"/>
      <c r="N114" s="418"/>
      <c r="O114" s="418"/>
      <c r="P114" s="418"/>
      <c r="Q114" s="418"/>
      <c r="R114" s="418"/>
    </row>
    <row r="115" spans="1:18" ht="30" customHeight="1" x14ac:dyDescent="0.2">
      <c r="A115" s="816"/>
      <c r="B115" s="817"/>
      <c r="C115" s="817"/>
      <c r="D115" s="418"/>
      <c r="E115" s="418"/>
      <c r="F115" s="418"/>
      <c r="G115" s="418"/>
      <c r="H115" s="418"/>
      <c r="I115" s="418"/>
      <c r="J115" s="418"/>
      <c r="K115" s="418"/>
      <c r="L115" s="418"/>
      <c r="M115" s="418"/>
      <c r="N115" s="418"/>
      <c r="O115" s="418"/>
      <c r="P115" s="418"/>
      <c r="Q115" s="418"/>
      <c r="R115" s="418"/>
    </row>
    <row r="116" spans="1:18" ht="30" customHeight="1" x14ac:dyDescent="0.2">
      <c r="A116" s="816"/>
      <c r="B116" s="817"/>
      <c r="C116" s="817"/>
      <c r="D116" s="418"/>
      <c r="E116" s="418"/>
      <c r="F116" s="418"/>
      <c r="G116" s="418"/>
      <c r="H116" s="418"/>
      <c r="I116" s="418"/>
      <c r="J116" s="418"/>
      <c r="K116" s="418"/>
      <c r="L116" s="418"/>
      <c r="M116" s="418"/>
      <c r="N116" s="418"/>
      <c r="O116" s="418"/>
      <c r="P116" s="418"/>
      <c r="Q116" s="418"/>
      <c r="R116" s="418"/>
    </row>
    <row r="117" spans="1:18" ht="15" customHeight="1" x14ac:dyDescent="0.2">
      <c r="A117" s="816"/>
      <c r="B117" s="817"/>
      <c r="C117" s="817"/>
      <c r="D117" s="418"/>
      <c r="E117" s="418"/>
      <c r="F117" s="418"/>
      <c r="G117" s="418"/>
      <c r="H117" s="418"/>
      <c r="I117" s="418"/>
      <c r="J117" s="418"/>
      <c r="K117" s="418"/>
      <c r="L117" s="418"/>
      <c r="M117" s="418"/>
      <c r="N117" s="418"/>
      <c r="O117" s="418"/>
      <c r="P117" s="418"/>
      <c r="Q117" s="418"/>
      <c r="R117" s="418"/>
    </row>
    <row r="118" spans="1:18" ht="45" customHeight="1" x14ac:dyDescent="0.2">
      <c r="A118" s="816"/>
      <c r="B118" s="817"/>
      <c r="C118" s="817"/>
      <c r="D118" s="418"/>
      <c r="E118" s="418"/>
      <c r="F118" s="418"/>
      <c r="G118" s="418"/>
      <c r="H118" s="418"/>
      <c r="I118" s="418"/>
      <c r="J118" s="418"/>
      <c r="K118" s="418"/>
      <c r="L118" s="418"/>
      <c r="M118" s="418"/>
      <c r="N118" s="418"/>
      <c r="O118" s="418"/>
      <c r="P118" s="418"/>
      <c r="Q118" s="418"/>
      <c r="R118" s="418"/>
    </row>
    <row r="119" spans="1:18" ht="30" customHeight="1" x14ac:dyDescent="0.2">
      <c r="A119" s="816"/>
      <c r="B119" s="817"/>
      <c r="C119" s="817"/>
      <c r="D119" s="418"/>
      <c r="E119" s="418"/>
      <c r="F119" s="418"/>
      <c r="G119" s="418"/>
      <c r="H119" s="418"/>
      <c r="I119" s="418"/>
      <c r="J119" s="418"/>
      <c r="K119" s="418"/>
      <c r="L119" s="418"/>
      <c r="M119" s="418"/>
      <c r="N119" s="418"/>
      <c r="O119" s="418"/>
      <c r="P119" s="418"/>
      <c r="Q119" s="418"/>
      <c r="R119" s="418"/>
    </row>
    <row r="120" spans="1:18" ht="30" customHeight="1" x14ac:dyDescent="0.2">
      <c r="A120" s="816"/>
      <c r="B120" s="817"/>
      <c r="C120" s="817"/>
      <c r="D120" s="418"/>
      <c r="E120" s="418"/>
      <c r="F120" s="418"/>
      <c r="G120" s="418"/>
      <c r="H120" s="418"/>
      <c r="I120" s="418"/>
      <c r="J120" s="418"/>
      <c r="K120" s="418"/>
      <c r="L120" s="418"/>
      <c r="M120" s="418"/>
      <c r="N120" s="418"/>
      <c r="O120" s="418"/>
      <c r="P120" s="418"/>
      <c r="Q120" s="418"/>
      <c r="R120" s="418"/>
    </row>
    <row r="121" spans="1:18" ht="30" customHeight="1" x14ac:dyDescent="0.2">
      <c r="A121" s="816"/>
      <c r="B121" s="817"/>
      <c r="C121" s="817"/>
      <c r="D121" s="418"/>
      <c r="E121" s="418"/>
      <c r="F121" s="418"/>
      <c r="G121" s="418"/>
      <c r="H121" s="418"/>
      <c r="I121" s="418"/>
      <c r="J121" s="418"/>
      <c r="K121" s="418"/>
      <c r="L121" s="418"/>
      <c r="M121" s="418"/>
      <c r="N121" s="418"/>
      <c r="O121" s="418"/>
      <c r="P121" s="418"/>
      <c r="Q121" s="418"/>
      <c r="R121" s="418"/>
    </row>
    <row r="122" spans="1:18" ht="30" customHeight="1" x14ac:dyDescent="0.2">
      <c r="A122" s="816"/>
      <c r="B122" s="817"/>
      <c r="C122" s="817"/>
      <c r="D122" s="418"/>
      <c r="E122" s="418"/>
      <c r="F122" s="418"/>
      <c r="G122" s="418"/>
      <c r="H122" s="418"/>
      <c r="I122" s="418"/>
      <c r="J122" s="418"/>
      <c r="K122" s="418"/>
      <c r="L122" s="418"/>
      <c r="M122" s="418"/>
      <c r="N122" s="418"/>
      <c r="O122" s="418"/>
      <c r="P122" s="418"/>
      <c r="Q122" s="418"/>
      <c r="R122" s="418"/>
    </row>
    <row r="123" spans="1:18" ht="30" customHeight="1" x14ac:dyDescent="0.2">
      <c r="A123" s="816"/>
      <c r="B123" s="817"/>
      <c r="C123" s="817"/>
      <c r="D123" s="418"/>
      <c r="E123" s="418"/>
      <c r="F123" s="418"/>
      <c r="G123" s="418"/>
      <c r="H123" s="418"/>
      <c r="I123" s="418"/>
      <c r="J123" s="418"/>
      <c r="K123" s="418"/>
      <c r="L123" s="418"/>
      <c r="M123" s="418"/>
      <c r="N123" s="418"/>
      <c r="O123" s="418"/>
      <c r="P123" s="418"/>
      <c r="Q123" s="418"/>
      <c r="R123" s="418"/>
    </row>
    <row r="124" spans="1:18" ht="30" customHeight="1" x14ac:dyDescent="0.2">
      <c r="A124" s="816"/>
      <c r="B124" s="817"/>
      <c r="C124" s="817"/>
      <c r="D124" s="418"/>
      <c r="E124" s="418"/>
      <c r="F124" s="418"/>
      <c r="G124" s="418"/>
      <c r="H124" s="418"/>
      <c r="I124" s="418"/>
      <c r="J124" s="418"/>
      <c r="K124" s="418"/>
      <c r="L124" s="418"/>
      <c r="M124" s="418"/>
      <c r="N124" s="418"/>
      <c r="O124" s="418"/>
      <c r="P124" s="418"/>
      <c r="Q124" s="418"/>
      <c r="R124" s="418"/>
    </row>
    <row r="125" spans="1:18" ht="15" customHeight="1" x14ac:dyDescent="0.2">
      <c r="A125" s="816"/>
      <c r="B125" s="817"/>
      <c r="C125" s="817"/>
      <c r="D125" s="418"/>
      <c r="E125" s="418"/>
      <c r="F125" s="418"/>
      <c r="G125" s="418"/>
      <c r="H125" s="418"/>
      <c r="I125" s="418"/>
      <c r="J125" s="418"/>
      <c r="K125" s="418"/>
      <c r="L125" s="418"/>
      <c r="M125" s="418"/>
      <c r="N125" s="418"/>
      <c r="O125" s="418"/>
      <c r="P125" s="418"/>
      <c r="Q125" s="418"/>
      <c r="R125" s="418"/>
    </row>
    <row r="126" spans="1:18" ht="45" customHeight="1" x14ac:dyDescent="0.2">
      <c r="A126" s="816"/>
      <c r="B126" s="817"/>
      <c r="C126" s="817"/>
      <c r="D126" s="418"/>
      <c r="E126" s="418"/>
      <c r="F126" s="418"/>
      <c r="G126" s="418"/>
      <c r="H126" s="418"/>
      <c r="I126" s="418"/>
      <c r="J126" s="418"/>
      <c r="K126" s="418"/>
      <c r="L126" s="418"/>
      <c r="M126" s="418"/>
      <c r="N126" s="418"/>
      <c r="O126" s="418"/>
      <c r="P126" s="418"/>
      <c r="Q126" s="418"/>
      <c r="R126" s="418"/>
    </row>
    <row r="127" spans="1:18" ht="30" customHeight="1" x14ac:dyDescent="0.2">
      <c r="A127" s="816"/>
      <c r="B127" s="817"/>
      <c r="C127" s="817"/>
      <c r="D127" s="418"/>
      <c r="E127" s="418"/>
      <c r="F127" s="418"/>
      <c r="G127" s="418"/>
      <c r="H127" s="418"/>
      <c r="I127" s="418"/>
      <c r="J127" s="418"/>
      <c r="K127" s="418"/>
      <c r="L127" s="418"/>
      <c r="M127" s="418"/>
      <c r="N127" s="418"/>
      <c r="O127" s="418"/>
      <c r="P127" s="418"/>
      <c r="Q127" s="418"/>
      <c r="R127" s="418"/>
    </row>
    <row r="128" spans="1:18" ht="30" customHeight="1" x14ac:dyDescent="0.2">
      <c r="A128" s="816"/>
      <c r="B128" s="817"/>
      <c r="C128" s="817"/>
      <c r="D128" s="418"/>
      <c r="E128" s="418"/>
      <c r="F128" s="418"/>
      <c r="G128" s="418"/>
      <c r="H128" s="418"/>
      <c r="I128" s="418"/>
      <c r="J128" s="418"/>
      <c r="K128" s="418"/>
      <c r="L128" s="418"/>
      <c r="M128" s="418"/>
      <c r="N128" s="418"/>
      <c r="O128" s="418"/>
      <c r="P128" s="418"/>
      <c r="Q128" s="418"/>
      <c r="R128" s="418"/>
    </row>
    <row r="129" spans="1:18" ht="30" customHeight="1" x14ac:dyDescent="0.2">
      <c r="A129" s="816"/>
      <c r="B129" s="817"/>
      <c r="C129" s="817"/>
      <c r="D129" s="418"/>
      <c r="E129" s="418"/>
      <c r="F129" s="418"/>
      <c r="G129" s="418"/>
      <c r="H129" s="418"/>
      <c r="I129" s="418"/>
      <c r="J129" s="418"/>
      <c r="K129" s="418"/>
      <c r="L129" s="418"/>
      <c r="M129" s="418"/>
      <c r="N129" s="418"/>
      <c r="O129" s="418"/>
      <c r="P129" s="418"/>
      <c r="Q129" s="418"/>
      <c r="R129" s="418"/>
    </row>
    <row r="130" spans="1:18" ht="30" customHeight="1" x14ac:dyDescent="0.2">
      <c r="A130" s="816"/>
      <c r="B130" s="817"/>
      <c r="C130" s="817"/>
      <c r="D130" s="418"/>
      <c r="E130" s="418"/>
      <c r="F130" s="418"/>
      <c r="G130" s="418"/>
      <c r="H130" s="418"/>
      <c r="I130" s="418"/>
      <c r="J130" s="418"/>
      <c r="K130" s="418"/>
      <c r="L130" s="418"/>
      <c r="M130" s="418"/>
      <c r="N130" s="418"/>
      <c r="O130" s="418"/>
      <c r="P130" s="418"/>
      <c r="Q130" s="418"/>
      <c r="R130" s="418"/>
    </row>
    <row r="131" spans="1:18" ht="30" customHeight="1" x14ac:dyDescent="0.2">
      <c r="A131" s="816"/>
      <c r="B131" s="817"/>
      <c r="C131" s="817"/>
      <c r="D131" s="418"/>
      <c r="E131" s="418"/>
      <c r="F131" s="418"/>
      <c r="G131" s="418"/>
      <c r="H131" s="418"/>
      <c r="I131" s="418"/>
      <c r="J131" s="418"/>
      <c r="K131" s="418"/>
      <c r="L131" s="418"/>
      <c r="M131" s="418"/>
      <c r="N131" s="418"/>
      <c r="O131" s="418"/>
      <c r="P131" s="418"/>
      <c r="Q131" s="418"/>
      <c r="R131" s="418"/>
    </row>
    <row r="132" spans="1:18" ht="30" customHeight="1" x14ac:dyDescent="0.2">
      <c r="A132" s="816"/>
      <c r="B132" s="817"/>
      <c r="C132" s="817"/>
      <c r="D132" s="418"/>
      <c r="E132" s="418"/>
      <c r="F132" s="418"/>
      <c r="G132" s="418"/>
      <c r="H132" s="418"/>
      <c r="I132" s="418"/>
      <c r="J132" s="418"/>
      <c r="K132" s="418"/>
      <c r="L132" s="418"/>
      <c r="M132" s="418"/>
      <c r="N132" s="418"/>
      <c r="O132" s="418"/>
      <c r="P132" s="418"/>
      <c r="Q132" s="418"/>
      <c r="R132" s="418"/>
    </row>
    <row r="133" spans="1:18" ht="15" customHeight="1" x14ac:dyDescent="0.2">
      <c r="A133" s="816"/>
      <c r="B133" s="817"/>
      <c r="C133" s="817"/>
      <c r="D133" s="418"/>
      <c r="E133" s="418"/>
      <c r="F133" s="418"/>
      <c r="G133" s="418"/>
      <c r="H133" s="418"/>
      <c r="I133" s="418"/>
      <c r="J133" s="418"/>
      <c r="K133" s="418"/>
      <c r="L133" s="418"/>
      <c r="M133" s="418"/>
      <c r="N133" s="418"/>
      <c r="O133" s="418"/>
      <c r="P133" s="418"/>
      <c r="Q133" s="418"/>
      <c r="R133" s="418"/>
    </row>
    <row r="134" spans="1:18" ht="45" customHeight="1" x14ac:dyDescent="0.2">
      <c r="A134" s="816"/>
      <c r="B134" s="817"/>
      <c r="C134" s="817"/>
      <c r="D134" s="418"/>
      <c r="E134" s="418"/>
      <c r="F134" s="418"/>
      <c r="G134" s="418"/>
      <c r="H134" s="418"/>
      <c r="I134" s="418"/>
      <c r="J134" s="418"/>
      <c r="K134" s="418"/>
      <c r="L134" s="418"/>
      <c r="M134" s="418"/>
      <c r="N134" s="418"/>
      <c r="O134" s="418"/>
      <c r="P134" s="418"/>
      <c r="Q134" s="418"/>
      <c r="R134" s="418"/>
    </row>
    <row r="135" spans="1:18" ht="30" customHeight="1" x14ac:dyDescent="0.2">
      <c r="A135" s="816"/>
      <c r="B135" s="817"/>
      <c r="C135" s="817"/>
      <c r="D135" s="418"/>
      <c r="E135" s="418"/>
      <c r="F135" s="418"/>
      <c r="G135" s="418"/>
      <c r="H135" s="418"/>
      <c r="I135" s="418"/>
      <c r="J135" s="418"/>
      <c r="K135" s="418"/>
      <c r="L135" s="418"/>
      <c r="M135" s="418"/>
      <c r="N135" s="418"/>
      <c r="O135" s="418"/>
      <c r="P135" s="418"/>
      <c r="Q135" s="418"/>
      <c r="R135" s="418"/>
    </row>
    <row r="136" spans="1:18" ht="30" customHeight="1" x14ac:dyDescent="0.2">
      <c r="A136" s="816"/>
      <c r="B136" s="817"/>
      <c r="C136" s="817"/>
      <c r="D136" s="418"/>
      <c r="E136" s="418"/>
      <c r="F136" s="418"/>
      <c r="G136" s="418"/>
      <c r="H136" s="418"/>
      <c r="I136" s="418"/>
      <c r="J136" s="418"/>
      <c r="K136" s="418"/>
      <c r="L136" s="418"/>
      <c r="M136" s="418"/>
      <c r="N136" s="418"/>
      <c r="O136" s="418"/>
      <c r="P136" s="418"/>
      <c r="Q136" s="418"/>
      <c r="R136" s="418"/>
    </row>
    <row r="137" spans="1:18" ht="30" customHeight="1" x14ac:dyDescent="0.2">
      <c r="A137" s="816"/>
      <c r="B137" s="817"/>
      <c r="C137" s="817"/>
      <c r="D137" s="418"/>
      <c r="E137" s="418"/>
      <c r="F137" s="418"/>
      <c r="G137" s="418"/>
      <c r="H137" s="418"/>
      <c r="I137" s="418"/>
      <c r="J137" s="418"/>
      <c r="K137" s="418"/>
      <c r="L137" s="418"/>
      <c r="M137" s="418"/>
      <c r="N137" s="418"/>
      <c r="O137" s="418"/>
      <c r="P137" s="418"/>
      <c r="Q137" s="418"/>
      <c r="R137" s="418"/>
    </row>
    <row r="138" spans="1:18" ht="30" customHeight="1" x14ac:dyDescent="0.2">
      <c r="A138" s="816"/>
      <c r="B138" s="817"/>
      <c r="C138" s="817"/>
      <c r="D138" s="418"/>
      <c r="E138" s="418"/>
      <c r="F138" s="418"/>
      <c r="G138" s="418"/>
      <c r="H138" s="418"/>
      <c r="I138" s="418"/>
      <c r="J138" s="418"/>
      <c r="K138" s="418"/>
      <c r="L138" s="418"/>
      <c r="M138" s="418"/>
      <c r="N138" s="418"/>
      <c r="O138" s="418"/>
      <c r="P138" s="418"/>
      <c r="Q138" s="418"/>
      <c r="R138" s="418"/>
    </row>
    <row r="139" spans="1:18" ht="30" customHeight="1" x14ac:dyDescent="0.2">
      <c r="A139" s="816"/>
      <c r="B139" s="817"/>
      <c r="C139" s="817"/>
      <c r="D139" s="418"/>
      <c r="E139" s="418"/>
      <c r="F139" s="418"/>
      <c r="G139" s="418"/>
      <c r="H139" s="418"/>
      <c r="I139" s="418"/>
      <c r="J139" s="418"/>
      <c r="K139" s="418"/>
      <c r="L139" s="418"/>
      <c r="M139" s="418"/>
      <c r="N139" s="418"/>
      <c r="O139" s="418"/>
      <c r="P139" s="418"/>
      <c r="Q139" s="418"/>
      <c r="R139" s="418"/>
    </row>
    <row r="140" spans="1:18" ht="30" customHeight="1" x14ac:dyDescent="0.2">
      <c r="A140" s="816"/>
      <c r="B140" s="817"/>
      <c r="C140" s="817"/>
      <c r="D140" s="418"/>
      <c r="E140" s="418"/>
      <c r="F140" s="418"/>
      <c r="G140" s="418"/>
      <c r="H140" s="418"/>
      <c r="I140" s="418"/>
      <c r="J140" s="418"/>
      <c r="K140" s="418"/>
      <c r="L140" s="418"/>
      <c r="M140" s="418"/>
      <c r="N140" s="418"/>
      <c r="O140" s="418"/>
      <c r="P140" s="418"/>
      <c r="Q140" s="418"/>
      <c r="R140" s="418"/>
    </row>
    <row r="141" spans="1:18" ht="15" customHeight="1" x14ac:dyDescent="0.2">
      <c r="A141" s="816"/>
      <c r="B141" s="817"/>
      <c r="C141" s="817"/>
      <c r="D141" s="418"/>
      <c r="E141" s="418"/>
      <c r="F141" s="418"/>
      <c r="G141" s="418"/>
      <c r="H141" s="418"/>
      <c r="I141" s="418"/>
      <c r="J141" s="418"/>
      <c r="K141" s="418"/>
      <c r="L141" s="418"/>
      <c r="M141" s="418"/>
      <c r="N141" s="418"/>
      <c r="O141" s="418"/>
      <c r="P141" s="418"/>
      <c r="Q141" s="418"/>
      <c r="R141" s="418"/>
    </row>
    <row r="142" spans="1:18" ht="20.100000000000001" customHeight="1" x14ac:dyDescent="0.2">
      <c r="A142" s="816"/>
      <c r="B142" s="817"/>
      <c r="C142" s="817"/>
      <c r="D142" s="418"/>
      <c r="E142" s="418"/>
      <c r="F142" s="418"/>
      <c r="G142" s="418"/>
      <c r="H142" s="418"/>
      <c r="I142" s="418"/>
      <c r="J142" s="418"/>
      <c r="K142" s="418"/>
      <c r="L142" s="418"/>
      <c r="M142" s="418"/>
      <c r="N142" s="418"/>
      <c r="O142" s="418"/>
      <c r="P142" s="418"/>
      <c r="Q142" s="418"/>
      <c r="R142" s="418"/>
    </row>
    <row r="143" spans="1:18" ht="107.1" customHeight="1" x14ac:dyDescent="0.2">
      <c r="A143" s="816"/>
      <c r="B143" s="817"/>
      <c r="C143" s="817"/>
      <c r="D143" s="418"/>
      <c r="E143" s="418"/>
      <c r="F143" s="418"/>
      <c r="G143" s="418"/>
      <c r="H143" s="418"/>
      <c r="I143" s="418"/>
      <c r="J143" s="418"/>
      <c r="K143" s="418"/>
      <c r="L143" s="418"/>
      <c r="M143" s="418"/>
      <c r="N143" s="418"/>
      <c r="O143" s="418"/>
      <c r="P143" s="418"/>
      <c r="Q143" s="418"/>
      <c r="R143" s="418"/>
    </row>
    <row r="144" spans="1:18" ht="15.75" x14ac:dyDescent="0.2">
      <c r="A144" s="816"/>
      <c r="B144" s="817"/>
      <c r="C144" s="817"/>
      <c r="D144" s="418"/>
      <c r="E144" s="418"/>
      <c r="F144" s="418"/>
      <c r="G144" s="418"/>
      <c r="H144" s="418"/>
      <c r="I144" s="418"/>
      <c r="J144" s="418"/>
      <c r="K144" s="418"/>
      <c r="L144" s="418"/>
      <c r="M144" s="418"/>
      <c r="N144" s="418"/>
      <c r="O144" s="418"/>
      <c r="P144" s="418"/>
      <c r="Q144" s="418"/>
      <c r="R144" s="418"/>
    </row>
    <row r="145" spans="1:18" ht="20.100000000000001" customHeight="1" x14ac:dyDescent="0.2">
      <c r="A145" s="816"/>
      <c r="B145" s="817"/>
      <c r="C145" s="817"/>
      <c r="D145" s="418"/>
      <c r="E145" s="418"/>
      <c r="F145" s="418"/>
      <c r="G145" s="418"/>
      <c r="H145" s="418"/>
      <c r="I145" s="418"/>
      <c r="J145" s="418"/>
      <c r="K145" s="418"/>
      <c r="L145" s="418"/>
      <c r="M145" s="418"/>
      <c r="N145" s="418"/>
      <c r="O145" s="418"/>
      <c r="P145" s="418"/>
      <c r="Q145" s="418"/>
      <c r="R145" s="418"/>
    </row>
    <row r="146" spans="1:18" ht="107.1" customHeight="1" x14ac:dyDescent="0.2">
      <c r="A146" s="816"/>
      <c r="B146" s="817"/>
      <c r="C146" s="817"/>
      <c r="D146" s="418"/>
      <c r="E146" s="418"/>
      <c r="F146" s="418"/>
      <c r="G146" s="418"/>
      <c r="H146" s="418"/>
      <c r="I146" s="418"/>
      <c r="J146" s="418"/>
      <c r="K146" s="418"/>
      <c r="L146" s="418"/>
      <c r="M146" s="418"/>
      <c r="N146" s="418"/>
      <c r="O146" s="418"/>
      <c r="P146" s="418"/>
      <c r="Q146" s="418"/>
      <c r="R146" s="418"/>
    </row>
    <row r="147" spans="1:18" ht="15.75" x14ac:dyDescent="0.2">
      <c r="D147" s="418"/>
      <c r="E147" s="418"/>
      <c r="F147" s="418"/>
      <c r="G147" s="418"/>
      <c r="H147" s="418"/>
      <c r="I147" s="418"/>
      <c r="J147" s="418"/>
      <c r="K147" s="418"/>
      <c r="L147" s="418"/>
      <c r="M147" s="418"/>
      <c r="N147" s="418"/>
      <c r="O147" s="418"/>
      <c r="P147" s="418"/>
      <c r="Q147" s="418"/>
      <c r="R147" s="418"/>
    </row>
    <row r="148" spans="1:18" ht="15.75" x14ac:dyDescent="0.2">
      <c r="D148" s="418"/>
      <c r="E148" s="418"/>
      <c r="F148" s="418"/>
      <c r="G148" s="418"/>
      <c r="H148" s="418"/>
      <c r="I148" s="418"/>
      <c r="J148" s="418"/>
      <c r="K148" s="418"/>
      <c r="L148" s="418"/>
      <c r="M148" s="418"/>
      <c r="N148" s="418"/>
      <c r="O148" s="418"/>
      <c r="P148" s="418"/>
      <c r="Q148" s="418"/>
      <c r="R148" s="418"/>
    </row>
    <row r="149" spans="1:18" ht="15.75" x14ac:dyDescent="0.2">
      <c r="D149" s="418"/>
      <c r="E149" s="418"/>
      <c r="F149" s="418"/>
      <c r="G149" s="418"/>
      <c r="H149" s="418"/>
      <c r="I149" s="418"/>
      <c r="J149" s="418"/>
      <c r="K149" s="418"/>
      <c r="L149" s="418"/>
      <c r="M149" s="418"/>
      <c r="N149" s="418"/>
      <c r="O149" s="418"/>
      <c r="P149" s="418"/>
      <c r="Q149" s="418"/>
      <c r="R149" s="418"/>
    </row>
    <row r="150" spans="1:18" ht="15.75" x14ac:dyDescent="0.2">
      <c r="D150" s="418"/>
      <c r="E150" s="418"/>
      <c r="F150" s="418"/>
      <c r="G150" s="418"/>
      <c r="H150" s="418"/>
      <c r="I150" s="418"/>
      <c r="J150" s="418"/>
      <c r="K150" s="418"/>
      <c r="L150" s="418"/>
      <c r="M150" s="418"/>
      <c r="N150" s="418"/>
      <c r="O150" s="418"/>
      <c r="P150" s="418"/>
      <c r="Q150" s="418"/>
      <c r="R150" s="418"/>
    </row>
    <row r="151" spans="1:18" ht="15.75" x14ac:dyDescent="0.2">
      <c r="D151" s="418"/>
      <c r="E151" s="418"/>
      <c r="F151" s="418"/>
      <c r="G151" s="418"/>
      <c r="H151" s="418"/>
      <c r="I151" s="418"/>
      <c r="J151" s="418"/>
      <c r="K151" s="418"/>
      <c r="L151" s="418"/>
      <c r="M151" s="418"/>
      <c r="N151" s="418"/>
      <c r="O151" s="418"/>
      <c r="P151" s="418"/>
      <c r="Q151" s="418"/>
      <c r="R151" s="418"/>
    </row>
    <row r="152" spans="1:18" ht="15.75" x14ac:dyDescent="0.2">
      <c r="D152" s="418"/>
      <c r="E152" s="418"/>
      <c r="F152" s="418"/>
      <c r="G152" s="418"/>
      <c r="H152" s="418"/>
      <c r="I152" s="418"/>
      <c r="J152" s="418"/>
      <c r="K152" s="418"/>
      <c r="L152" s="418"/>
      <c r="M152" s="418"/>
      <c r="N152" s="418"/>
      <c r="O152" s="418"/>
      <c r="P152" s="418"/>
      <c r="Q152" s="418"/>
      <c r="R152" s="418"/>
    </row>
    <row r="153" spans="1:18" ht="15.75" x14ac:dyDescent="0.2">
      <c r="D153" s="418"/>
      <c r="E153" s="418"/>
      <c r="F153" s="418"/>
      <c r="G153" s="418"/>
      <c r="H153" s="418"/>
      <c r="I153" s="418"/>
      <c r="J153" s="418"/>
      <c r="K153" s="418"/>
      <c r="L153" s="418"/>
      <c r="M153" s="418"/>
      <c r="N153" s="418"/>
      <c r="O153" s="418"/>
      <c r="P153" s="418"/>
      <c r="Q153" s="418"/>
      <c r="R153" s="418"/>
    </row>
    <row r="154" spans="1:18" ht="15.75" x14ac:dyDescent="0.2">
      <c r="D154" s="418"/>
      <c r="E154" s="418"/>
      <c r="F154" s="418"/>
      <c r="G154" s="418"/>
      <c r="H154" s="418"/>
      <c r="I154" s="418"/>
      <c r="J154" s="418"/>
      <c r="K154" s="418"/>
      <c r="L154" s="418"/>
      <c r="M154" s="418"/>
      <c r="N154" s="418"/>
      <c r="O154" s="418"/>
      <c r="P154" s="418"/>
      <c r="Q154" s="418"/>
      <c r="R154" s="418"/>
    </row>
    <row r="155" spans="1:18" ht="15.75" x14ac:dyDescent="0.2">
      <c r="D155" s="418"/>
      <c r="E155" s="418"/>
      <c r="F155" s="418"/>
      <c r="G155" s="418"/>
      <c r="H155" s="418"/>
      <c r="I155" s="418"/>
      <c r="J155" s="418"/>
      <c r="K155" s="418"/>
      <c r="L155" s="418"/>
      <c r="M155" s="418"/>
      <c r="N155" s="418"/>
      <c r="O155" s="418"/>
      <c r="P155" s="418"/>
      <c r="Q155" s="418"/>
      <c r="R155" s="418"/>
    </row>
    <row r="156" spans="1:18" ht="15.75" x14ac:dyDescent="0.2">
      <c r="D156" s="418"/>
      <c r="E156" s="418"/>
      <c r="F156" s="418"/>
      <c r="G156" s="418"/>
      <c r="H156" s="418"/>
      <c r="I156" s="418"/>
      <c r="J156" s="418"/>
      <c r="K156" s="418"/>
      <c r="L156" s="418"/>
      <c r="M156" s="418"/>
      <c r="N156" s="418"/>
      <c r="O156" s="418"/>
      <c r="P156" s="418"/>
      <c r="Q156" s="418"/>
      <c r="R156" s="418"/>
    </row>
  </sheetData>
  <sheetProtection password="CF5C" sheet="1" objects="1" scenarios="1"/>
  <mergeCells count="5">
    <mergeCell ref="O6:Q6"/>
    <mergeCell ref="R6:T6"/>
    <mergeCell ref="A1:C3"/>
    <mergeCell ref="A4:R4"/>
    <mergeCell ref="D1:X3"/>
  </mergeCells>
  <phoneticPr fontId="71" type="noConversion"/>
  <printOptions horizontalCentered="1"/>
  <pageMargins left="0.70866141732283472" right="0.70866141732283472" top="0.74803149606299213" bottom="0.74803149606299213" header="0.31496062992125984" footer="0.31496062992125984"/>
  <pageSetup scale="13" orientation="portrait" r:id="rId1"/>
  <headerFooter>
    <oddHeader xml:space="preserve">&amp;C
&amp;16   
</oddHeader>
    <oddFooter xml:space="preserve">&amp;RRT03-F13 Vr.14 (2021-05-21)
</oddFooter>
  </headerFooter>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theme="0" tint="-0.249977111117893"/>
  </sheetPr>
  <dimension ref="A1:U114"/>
  <sheetViews>
    <sheetView showGridLines="0" view="pageBreakPreview" zoomScale="80" zoomScaleNormal="60" zoomScaleSheetLayoutView="80" workbookViewId="0">
      <selection activeCell="C65" sqref="C65"/>
    </sheetView>
  </sheetViews>
  <sheetFormatPr baseColWidth="10" defaultColWidth="11.42578125" defaultRowHeight="31.5" customHeight="1" x14ac:dyDescent="0.2"/>
  <cols>
    <col min="1" max="1" width="14.7109375" style="37" customWidth="1"/>
    <col min="2" max="2" width="12" style="37" customWidth="1"/>
    <col min="3" max="3" width="15.7109375" style="37" customWidth="1"/>
    <col min="4" max="4" width="17" style="37" customWidth="1"/>
    <col min="5" max="5" width="15.5703125" style="37" customWidth="1"/>
    <col min="6" max="6" width="18.5703125" style="37" customWidth="1"/>
    <col min="7" max="7" width="15.7109375" style="37" customWidth="1"/>
    <col min="8" max="8" width="24.42578125" style="37" bestFit="1" customWidth="1"/>
    <col min="9" max="9" width="13.85546875" style="37" bestFit="1" customWidth="1"/>
    <col min="10" max="10" width="13.7109375" style="37" customWidth="1"/>
    <col min="11" max="19" width="11.42578125" style="8"/>
    <col min="20" max="20" width="15.85546875" style="8" bestFit="1" customWidth="1"/>
    <col min="21" max="21" width="14.42578125" style="8" bestFit="1" customWidth="1"/>
    <col min="22" max="16384" width="11.42578125" style="8"/>
  </cols>
  <sheetData>
    <row r="1" spans="1:16" ht="60" customHeight="1" thickBot="1" x14ac:dyDescent="0.25">
      <c r="A1" s="1257"/>
      <c r="B1" s="1258"/>
      <c r="C1" s="1259" t="s">
        <v>57</v>
      </c>
      <c r="D1" s="1260"/>
      <c r="E1" s="1260"/>
      <c r="F1" s="1260"/>
      <c r="G1" s="1260"/>
      <c r="H1" s="1260"/>
      <c r="I1" s="1260"/>
      <c r="J1" s="1260"/>
      <c r="K1" s="1260"/>
      <c r="L1" s="1260"/>
      <c r="M1" s="1261"/>
      <c r="N1" s="7"/>
      <c r="O1" s="7"/>
      <c r="P1" s="7"/>
    </row>
    <row r="2" spans="1:16" s="11" customFormat="1" ht="9.75" customHeight="1" thickBot="1" x14ac:dyDescent="0.25">
      <c r="A2" s="9"/>
      <c r="B2" s="9"/>
      <c r="C2" s="10"/>
      <c r="D2" s="10"/>
      <c r="E2" s="10"/>
      <c r="F2" s="10"/>
      <c r="G2" s="10"/>
      <c r="H2" s="10"/>
      <c r="K2" s="12"/>
      <c r="M2" s="7"/>
    </row>
    <row r="3" spans="1:16" s="12" customFormat="1" ht="35.25" customHeight="1" thickBot="1" x14ac:dyDescent="0.25">
      <c r="A3" s="13" t="s">
        <v>17</v>
      </c>
      <c r="B3" s="14" t="s">
        <v>55</v>
      </c>
      <c r="C3" s="15" t="s">
        <v>209</v>
      </c>
      <c r="D3" s="15" t="s">
        <v>56</v>
      </c>
      <c r="E3" s="15" t="s">
        <v>8</v>
      </c>
      <c r="F3" s="16" t="s">
        <v>18</v>
      </c>
      <c r="G3" s="16" t="s">
        <v>297</v>
      </c>
      <c r="H3" s="17" t="s">
        <v>24</v>
      </c>
      <c r="I3" s="1262"/>
      <c r="J3" s="1263"/>
      <c r="K3" s="11"/>
      <c r="M3" s="7"/>
    </row>
    <row r="4" spans="1:16" s="11" customFormat="1" ht="32.25" customHeight="1" thickBot="1" x14ac:dyDescent="0.25">
      <c r="A4" s="18" t="e">
        <f>VLOOKUP($I$3,'DATOS %'!B7:J40,2,FALSE)</f>
        <v>#N/A</v>
      </c>
      <c r="B4" s="212" t="e">
        <f>VLOOKUP($I$3,'DATOS %'!$B$7:$J$40,3,FALSE)</f>
        <v>#N/A</v>
      </c>
      <c r="C4" s="19" t="e">
        <f>VLOOKUP($I$3,'DATOS %'!$B$7:$J$40,8,FALSE)</f>
        <v>#N/A</v>
      </c>
      <c r="D4" s="19" t="e">
        <f>VLOOKUP($I$3,'DATOS %'!$B$7:$J$40,6,FALSE)</f>
        <v>#N/A</v>
      </c>
      <c r="E4" s="212" t="e">
        <f>VLOOKUP($I$3,'DATOS %'!$B$7:$J$40,7,FALSE)</f>
        <v>#N/A</v>
      </c>
      <c r="F4" s="18" t="e">
        <f>VLOOKUP($I$3,'DATOS %'!$B$7:$J$40,4,FALSE)</f>
        <v>#N/A</v>
      </c>
      <c r="G4" s="18" t="e">
        <f>VLOOKUP($I$3,'DATOS %'!$B$7:$J$40,5,FALSE)</f>
        <v>#N/A</v>
      </c>
      <c r="H4" s="19" t="e">
        <f>VLOOKUP($I$3,'DATOS %'!$B$7:$J$40,9,FALSE)</f>
        <v>#N/A</v>
      </c>
      <c r="I4" s="1264"/>
      <c r="J4" s="1265"/>
      <c r="K4" s="8"/>
      <c r="L4" s="20"/>
      <c r="M4" s="20"/>
    </row>
    <row r="5" spans="1:16" s="22" customFormat="1" ht="6.75" customHeight="1" thickBot="1" x14ac:dyDescent="0.25">
      <c r="A5" s="21"/>
      <c r="B5" s="21"/>
      <c r="C5" s="21"/>
      <c r="F5" s="21"/>
      <c r="G5" s="21"/>
      <c r="H5" s="21"/>
      <c r="K5" s="8"/>
    </row>
    <row r="6" spans="1:16" ht="31.5" customHeight="1" thickBot="1" x14ac:dyDescent="0.25">
      <c r="A6" s="1266" t="s">
        <v>19</v>
      </c>
      <c r="B6" s="1267"/>
      <c r="C6" s="1267"/>
      <c r="D6" s="1268"/>
      <c r="E6" s="4"/>
      <c r="F6" s="1266" t="s">
        <v>20</v>
      </c>
      <c r="G6" s="1267"/>
      <c r="H6" s="1267"/>
      <c r="I6" s="1268"/>
      <c r="J6" s="405">
        <f>I3</f>
        <v>0</v>
      </c>
    </row>
    <row r="7" spans="1:16" ht="31.5" customHeight="1" x14ac:dyDescent="0.2">
      <c r="A7" s="23" t="s">
        <v>21</v>
      </c>
      <c r="B7" s="24" t="e">
        <f>VLOOKUP($E$6,'DATOS %'!N11:AA113,2,FALSE)</f>
        <v>#N/A</v>
      </c>
      <c r="C7" s="25" t="s">
        <v>10</v>
      </c>
      <c r="D7" s="26" t="e">
        <f>VLOOKUP($E$6,'DATOS %'!N11:AA113,3,FALSE)</f>
        <v>#N/A</v>
      </c>
      <c r="E7" s="27"/>
      <c r="F7" s="23" t="s">
        <v>21</v>
      </c>
      <c r="G7" s="24" t="e">
        <f>VLOOKUP($J$6,'DATOS %'!B47:I79,2,FALSE)</f>
        <v>#N/A</v>
      </c>
      <c r="H7" s="28" t="s">
        <v>10</v>
      </c>
      <c r="I7" s="26" t="e">
        <f>VLOOKUP($J$6,'DATOS %'!B47:I79,3,FALSE)</f>
        <v>#N/A</v>
      </c>
      <c r="J7" s="29"/>
    </row>
    <row r="8" spans="1:16" ht="31.5" customHeight="1" x14ac:dyDescent="0.2">
      <c r="A8" s="30" t="s">
        <v>22</v>
      </c>
      <c r="B8" s="31" t="e">
        <f>VLOOKUP($E$6,'DATOS %'!N11:AA113,4,FALSE)</f>
        <v>#N/A</v>
      </c>
      <c r="C8" s="32" t="s">
        <v>23</v>
      </c>
      <c r="D8" s="33" t="e">
        <f>VLOOKUP($E$6,'DATOS %'!N11:AA113,5,FALSE)</f>
        <v>#N/A</v>
      </c>
      <c r="E8" s="27"/>
      <c r="F8" s="30" t="s">
        <v>22</v>
      </c>
      <c r="G8" s="31" t="e">
        <f>VLOOKUP($J$6,'DATOS %'!B47:I79,4,FALSE)</f>
        <v>#N/A</v>
      </c>
      <c r="H8" s="32" t="s">
        <v>23</v>
      </c>
      <c r="I8" s="297" t="e">
        <f>VLOOKUP($J$6,'DATOS %'!B47:I79,5,FALSE)</f>
        <v>#N/A</v>
      </c>
      <c r="J8" s="29"/>
    </row>
    <row r="9" spans="1:16" ht="31.5" customHeight="1" x14ac:dyDescent="0.2">
      <c r="A9" s="34" t="s">
        <v>24</v>
      </c>
      <c r="B9" s="31" t="e">
        <f>VLOOKUP($E$6,'DATOS %'!N11:AA113,6,FALSE)</f>
        <v>#N/A</v>
      </c>
      <c r="C9" s="35" t="s">
        <v>15</v>
      </c>
      <c r="D9" s="36" t="e">
        <f>VLOOKUP($E$6,'DATOS %'!N11:AA113,7,FALSE)</f>
        <v>#N/A</v>
      </c>
      <c r="F9" s="1252" t="s">
        <v>62</v>
      </c>
      <c r="G9" s="1253"/>
      <c r="H9" s="31" t="e">
        <f>VLOOKUP($J$6,'DATOS %'!B47:I79,6,FALSE)</f>
        <v>#N/A</v>
      </c>
      <c r="I9" s="33" t="s">
        <v>1</v>
      </c>
      <c r="J9" s="29"/>
      <c r="K9" s="208"/>
    </row>
    <row r="10" spans="1:16" s="38" customFormat="1" ht="31.5" customHeight="1" x14ac:dyDescent="0.25">
      <c r="A10" s="1252" t="s">
        <v>63</v>
      </c>
      <c r="B10" s="1253"/>
      <c r="C10" s="223" t="e">
        <f>VLOOKUP($E$6,'DATOS %'!N11:AA113,8,FALSE)</f>
        <v>#N/A</v>
      </c>
      <c r="D10" s="33" t="s">
        <v>1</v>
      </c>
      <c r="F10" s="1252" t="s">
        <v>64</v>
      </c>
      <c r="G10" s="1253"/>
      <c r="H10" s="213" t="e">
        <f>VLOOKUP($J$6,'DATOS %'!B47:I79,7,FALSE)</f>
        <v>#N/A</v>
      </c>
      <c r="I10" s="33" t="s">
        <v>76</v>
      </c>
      <c r="J10" s="39"/>
    </row>
    <row r="11" spans="1:16" s="38" customFormat="1" ht="31.5" customHeight="1" thickBot="1" x14ac:dyDescent="0.3">
      <c r="A11" s="1252" t="s">
        <v>65</v>
      </c>
      <c r="B11" s="1253"/>
      <c r="C11" s="31" t="e">
        <f>VLOOKUP($E$6,'DATOS %'!N11:AA113,9,FALSE)</f>
        <v>#N/A</v>
      </c>
      <c r="D11" s="33" t="s">
        <v>3</v>
      </c>
      <c r="E11" s="40"/>
      <c r="F11" s="1271" t="s">
        <v>66</v>
      </c>
      <c r="G11" s="1272"/>
      <c r="H11" s="41" t="e">
        <f>VLOOKUP($J$6,'DATOS %'!B47:I79,8,FALSE)</f>
        <v>#N/A</v>
      </c>
      <c r="I11" s="45" t="s">
        <v>76</v>
      </c>
      <c r="J11" s="39"/>
    </row>
    <row r="12" spans="1:16" s="38" customFormat="1" ht="31.5" customHeight="1" thickBot="1" x14ac:dyDescent="0.3">
      <c r="A12" s="1252" t="s">
        <v>67</v>
      </c>
      <c r="B12" s="1253"/>
      <c r="C12" s="31" t="e">
        <f>VLOOKUP($E$6,'DATOS %'!N11:AA113,10,FALSE)</f>
        <v>#N/A</v>
      </c>
      <c r="D12" s="33" t="s">
        <v>3</v>
      </c>
      <c r="E12" s="39"/>
      <c r="F12" s="39"/>
      <c r="G12" s="39"/>
      <c r="H12" s="39"/>
    </row>
    <row r="13" spans="1:16" s="38" customFormat="1" ht="31.5" customHeight="1" thickBot="1" x14ac:dyDescent="0.3">
      <c r="A13" s="1252" t="s">
        <v>68</v>
      </c>
      <c r="B13" s="1253"/>
      <c r="C13" s="213" t="e">
        <f>VLOOKUP($E$6,'DATOS %'!N11:AA113,11,FALSE)</f>
        <v>#N/A</v>
      </c>
      <c r="D13" s="33" t="s">
        <v>76</v>
      </c>
      <c r="E13" s="39"/>
      <c r="F13" s="1254" t="s">
        <v>559</v>
      </c>
      <c r="G13" s="1255"/>
      <c r="H13" s="1255"/>
      <c r="I13" s="1256"/>
      <c r="J13" s="5"/>
    </row>
    <row r="14" spans="1:16" s="38" customFormat="1" ht="31.5" customHeight="1" x14ac:dyDescent="0.2">
      <c r="A14" s="1252" t="s">
        <v>305</v>
      </c>
      <c r="B14" s="1253"/>
      <c r="C14" s="31" t="e">
        <f>VLOOKUP($E$6,'DATOS %'!N11:AA113,12,FALSE)</f>
        <v>#N/A</v>
      </c>
      <c r="D14" s="33" t="s">
        <v>76</v>
      </c>
      <c r="E14" s="39"/>
      <c r="F14" s="23" t="s">
        <v>10</v>
      </c>
      <c r="G14" s="24" t="e">
        <f>VLOOKUP($J$13,'DATOS %'!$V$119:$Y$126,2,FALSE)</f>
        <v>#N/A</v>
      </c>
      <c r="H14" s="28" t="s">
        <v>22</v>
      </c>
      <c r="I14" s="24" t="e">
        <f>VLOOKUP($J$13,'DATOS %'!$V$119:$Z$126,3,FALSE)</f>
        <v>#N/A</v>
      </c>
      <c r="J14" s="42"/>
      <c r="K14" s="8"/>
    </row>
    <row r="15" spans="1:16" ht="31.5" customHeight="1" thickBot="1" x14ac:dyDescent="0.25">
      <c r="A15" s="1277" t="s">
        <v>69</v>
      </c>
      <c r="B15" s="1278"/>
      <c r="C15" s="31" t="e">
        <f>VLOOKUP($E$6,'DATOS %'!N11:AA113,13,FALSE)</f>
        <v>#N/A</v>
      </c>
      <c r="D15" s="33" t="s">
        <v>76</v>
      </c>
      <c r="E15" s="29"/>
      <c r="F15" s="43" t="s">
        <v>61</v>
      </c>
      <c r="G15" s="41" t="e">
        <f>VLOOKUP($J$13,'DATOS %'!$V$119:$Y$126,4,FALSE)</f>
        <v>#N/A</v>
      </c>
      <c r="H15" s="41" t="s">
        <v>1</v>
      </c>
      <c r="I15" s="243" t="s">
        <v>210</v>
      </c>
      <c r="J15" s="45" t="e">
        <f>VLOOKUP($J$13,'DATOS %'!$V$119:$Z$126,5,FALSE)</f>
        <v>#N/A</v>
      </c>
      <c r="K15" s="22"/>
    </row>
    <row r="16" spans="1:16" ht="30.95" customHeight="1" thickBot="1" x14ac:dyDescent="0.25">
      <c r="A16" s="1279" t="s">
        <v>210</v>
      </c>
      <c r="B16" s="1280"/>
      <c r="C16" s="1281" t="e">
        <f>VLOOKUP($E$6,'DATOS %'!N11:AA113,14,FALSE)</f>
        <v>#N/A</v>
      </c>
      <c r="D16" s="1282"/>
      <c r="E16" s="29"/>
      <c r="F16" s="8"/>
      <c r="G16" s="8"/>
      <c r="H16" s="8"/>
      <c r="I16" s="8"/>
      <c r="J16" s="8"/>
    </row>
    <row r="17" spans="1:11" s="22" customFormat="1" ht="30.95" customHeight="1" thickBot="1" x14ac:dyDescent="0.25">
      <c r="A17" s="29"/>
      <c r="B17" s="29"/>
      <c r="C17" s="29"/>
      <c r="D17" s="29"/>
      <c r="E17" s="29"/>
      <c r="F17" s="29"/>
      <c r="G17" s="29"/>
      <c r="H17" s="29"/>
      <c r="I17" s="29"/>
      <c r="J17" s="29"/>
      <c r="K17" s="8"/>
    </row>
    <row r="18" spans="1:11" ht="31.5" customHeight="1" thickBot="1" x14ac:dyDescent="0.25">
      <c r="A18" s="1331" t="s">
        <v>26</v>
      </c>
      <c r="B18" s="1332"/>
      <c r="C18" s="1332"/>
      <c r="D18" s="1332"/>
      <c r="E18" s="1332"/>
      <c r="F18" s="1332"/>
      <c r="G18" s="1332"/>
      <c r="H18" s="1332"/>
      <c r="I18" s="1332"/>
      <c r="J18" s="1333"/>
    </row>
    <row r="19" spans="1:11" ht="46.5" customHeight="1" thickBot="1" x14ac:dyDescent="0.25">
      <c r="A19" s="407" t="s">
        <v>10</v>
      </c>
      <c r="B19" s="101" t="e">
        <f>VLOOKUP(J19,'DATOS %'!J174:W180,2,FALSE)</f>
        <v>#N/A</v>
      </c>
      <c r="C19" s="95" t="s">
        <v>7</v>
      </c>
      <c r="D19" s="408" t="e">
        <f>VLOOKUP(J19,'DATOS %'!J174:W180,3,FALSE)</f>
        <v>#N/A</v>
      </c>
      <c r="E19" s="409" t="s">
        <v>24</v>
      </c>
      <c r="F19" s="1286" t="e">
        <f>VLOOKUP(J19,'DATOS %'!J174:W180,5,FALSE)</f>
        <v>#N/A</v>
      </c>
      <c r="G19" s="1287"/>
      <c r="H19" s="95" t="s">
        <v>25</v>
      </c>
      <c r="I19" s="212" t="e">
        <f>VLOOKUP(J19,'DATOS %'!J174:W180,4,FALSE)</f>
        <v>#N/A</v>
      </c>
      <c r="J19" s="1374"/>
    </row>
    <row r="20" spans="1:11" ht="31.5" customHeight="1" thickBot="1" x14ac:dyDescent="0.25">
      <c r="A20" s="1290" t="s">
        <v>316</v>
      </c>
      <c r="B20" s="1291"/>
      <c r="C20" s="94" t="s">
        <v>27</v>
      </c>
      <c r="D20" s="101" t="e">
        <f>VLOOKUP(J19,'DATOS %'!J174:W180,6,FALSE)</f>
        <v>#N/A</v>
      </c>
      <c r="E20" s="1292" t="s">
        <v>307</v>
      </c>
      <c r="F20" s="1293"/>
      <c r="G20" s="101" t="e">
        <f>VLOOKUP(J19,'DATOS %'!J174:W180,7,FALSE)</f>
        <v>#N/A</v>
      </c>
      <c r="H20" s="95" t="s">
        <v>9</v>
      </c>
      <c r="I20" s="214" t="e">
        <f>VLOOKUP(J19,'DATOS %'!J174:W180,8,FALSE)</f>
        <v>#N/A</v>
      </c>
      <c r="J20" s="1289"/>
    </row>
    <row r="21" spans="1:11" s="46" customFormat="1" ht="15" customHeight="1" thickBot="1" x14ac:dyDescent="0.25">
      <c r="A21" s="47"/>
      <c r="B21" s="47"/>
      <c r="C21" s="47"/>
      <c r="D21" s="47"/>
      <c r="E21" s="47"/>
      <c r="F21" s="47"/>
      <c r="G21" s="47"/>
      <c r="H21" s="47"/>
      <c r="I21" s="47"/>
      <c r="J21" s="47"/>
      <c r="K21" s="8"/>
    </row>
    <row r="22" spans="1:11" s="48" customFormat="1" ht="31.5" customHeight="1" thickBot="1" x14ac:dyDescent="0.25">
      <c r="A22" s="1294" t="s">
        <v>28</v>
      </c>
      <c r="B22" s="1295"/>
      <c r="C22" s="1295"/>
      <c r="D22" s="1295"/>
      <c r="E22" s="1295"/>
      <c r="F22" s="1295"/>
      <c r="G22" s="1295"/>
      <c r="H22" s="1295"/>
      <c r="I22" s="1295"/>
      <c r="J22" s="1296"/>
      <c r="K22" s="47"/>
    </row>
    <row r="23" spans="1:11" s="47" customFormat="1" ht="2.25" customHeight="1" thickBot="1" x14ac:dyDescent="0.25">
      <c r="A23" s="49"/>
      <c r="B23" s="50"/>
      <c r="C23" s="50"/>
      <c r="D23" s="50"/>
      <c r="E23" s="50"/>
      <c r="F23" s="50"/>
      <c r="G23" s="50"/>
      <c r="H23" s="50"/>
      <c r="I23" s="50"/>
      <c r="J23" s="51"/>
      <c r="K23" s="48"/>
    </row>
    <row r="24" spans="1:11" s="48" customFormat="1" ht="31.5" customHeight="1" thickBot="1" x14ac:dyDescent="0.25">
      <c r="A24" s="52" t="s">
        <v>29</v>
      </c>
      <c r="B24" s="916"/>
      <c r="C24" s="1297" t="s">
        <v>27</v>
      </c>
      <c r="D24" s="1298"/>
      <c r="E24" s="1"/>
      <c r="F24" s="1299" t="s">
        <v>307</v>
      </c>
      <c r="G24" s="1300"/>
      <c r="H24" s="2"/>
      <c r="I24" s="224" t="s">
        <v>9</v>
      </c>
      <c r="J24" s="215"/>
      <c r="K24" s="46"/>
    </row>
    <row r="25" spans="1:11" s="46" customFormat="1" ht="15" customHeight="1" thickBot="1" x14ac:dyDescent="0.25">
      <c r="A25" s="47"/>
      <c r="B25" s="47"/>
      <c r="C25" s="47"/>
      <c r="D25" s="47"/>
      <c r="E25" s="47"/>
      <c r="F25" s="47"/>
      <c r="G25" s="47"/>
      <c r="H25" s="6"/>
      <c r="I25" s="47"/>
      <c r="K25" s="48"/>
    </row>
    <row r="26" spans="1:11" s="48" customFormat="1" ht="29.25" customHeight="1" thickBot="1" x14ac:dyDescent="0.25">
      <c r="A26" s="115" t="s">
        <v>129</v>
      </c>
      <c r="B26" s="105">
        <v>4</v>
      </c>
      <c r="C26" s="1301" t="s">
        <v>30</v>
      </c>
      <c r="D26" s="1302"/>
      <c r="E26" s="1302"/>
      <c r="F26" s="1303"/>
      <c r="G26" s="1304" t="s">
        <v>211</v>
      </c>
      <c r="H26" s="1305"/>
    </row>
    <row r="27" spans="1:11" s="48" customFormat="1" ht="31.5" customHeight="1" thickBot="1" x14ac:dyDescent="0.25">
      <c r="A27" s="1273" t="s">
        <v>31</v>
      </c>
      <c r="B27" s="1274"/>
      <c r="C27" s="242">
        <v>1</v>
      </c>
      <c r="D27" s="242">
        <v>2</v>
      </c>
      <c r="E27" s="242">
        <v>3</v>
      </c>
      <c r="F27" s="129">
        <v>4</v>
      </c>
      <c r="G27" s="1275" t="e">
        <f>VLOOKUP($H$25,'DATOS %'!$V$161:$AA$165,2,FALSE)</f>
        <v>#N/A</v>
      </c>
      <c r="H27" s="1276"/>
    </row>
    <row r="28" spans="1:11" s="48" customFormat="1" ht="31.5" customHeight="1" x14ac:dyDescent="0.2">
      <c r="A28" s="1310" t="s">
        <v>32</v>
      </c>
      <c r="B28" s="141" t="s">
        <v>0</v>
      </c>
      <c r="C28" s="265"/>
      <c r="D28" s="265"/>
      <c r="E28" s="265"/>
      <c r="F28" s="266"/>
      <c r="G28" s="47"/>
      <c r="H28" s="47"/>
      <c r="I28" s="47"/>
      <c r="J28" s="47"/>
    </row>
    <row r="29" spans="1:11" s="48" customFormat="1" ht="31.5" customHeight="1" x14ac:dyDescent="0.2">
      <c r="A29" s="1311"/>
      <c r="B29" s="104" t="s">
        <v>2</v>
      </c>
      <c r="C29" s="267"/>
      <c r="D29" s="267"/>
      <c r="E29" s="267"/>
      <c r="F29" s="268"/>
      <c r="G29" s="47"/>
      <c r="H29" s="47"/>
      <c r="I29" s="47"/>
      <c r="J29" s="47"/>
    </row>
    <row r="30" spans="1:11" s="48" customFormat="1" ht="31.5" customHeight="1" x14ac:dyDescent="0.2">
      <c r="A30" s="1311"/>
      <c r="B30" s="104" t="s">
        <v>2</v>
      </c>
      <c r="C30" s="267"/>
      <c r="D30" s="267"/>
      <c r="E30" s="267"/>
      <c r="F30" s="268"/>
      <c r="G30" s="47"/>
      <c r="H30" s="47"/>
      <c r="I30" s="47"/>
      <c r="J30" s="47"/>
    </row>
    <row r="31" spans="1:11" s="48" customFormat="1" ht="31.5" customHeight="1" thickBot="1" x14ac:dyDescent="0.25">
      <c r="A31" s="1312"/>
      <c r="B31" s="53" t="s">
        <v>0</v>
      </c>
      <c r="C31" s="269"/>
      <c r="D31" s="269"/>
      <c r="E31" s="269"/>
      <c r="F31" s="270"/>
      <c r="G31" s="47"/>
      <c r="H31" s="47"/>
      <c r="I31" s="47"/>
      <c r="J31" s="47"/>
      <c r="K31" s="46"/>
    </row>
    <row r="32" spans="1:11" s="46" customFormat="1" ht="15" customHeight="1" thickBot="1" x14ac:dyDescent="0.25">
      <c r="A32" s="47"/>
      <c r="B32" s="47"/>
      <c r="C32" s="47"/>
      <c r="D32" s="47"/>
      <c r="E32" s="47"/>
      <c r="F32" s="47"/>
      <c r="G32" s="47"/>
      <c r="H32" s="47"/>
      <c r="I32" s="47"/>
      <c r="J32" s="47"/>
      <c r="K32" s="48"/>
    </row>
    <row r="33" spans="1:11" s="48" customFormat="1" ht="31.5" customHeight="1" thickBot="1" x14ac:dyDescent="0.25">
      <c r="A33" s="54" t="s">
        <v>33</v>
      </c>
      <c r="B33" s="916"/>
      <c r="C33" s="1297" t="s">
        <v>27</v>
      </c>
      <c r="D33" s="1298"/>
      <c r="E33" s="1"/>
      <c r="F33" s="1299" t="s">
        <v>307</v>
      </c>
      <c r="G33" s="1300"/>
      <c r="H33" s="2"/>
      <c r="I33" s="225" t="s">
        <v>9</v>
      </c>
      <c r="J33" s="3"/>
      <c r="K33" s="46"/>
    </row>
    <row r="34" spans="1:11" s="46" customFormat="1" ht="12" customHeight="1" x14ac:dyDescent="0.2">
      <c r="A34" s="55"/>
      <c r="B34" s="55"/>
      <c r="C34" s="55"/>
      <c r="D34" s="55"/>
      <c r="E34" s="55"/>
      <c r="F34" s="55"/>
      <c r="G34" s="55"/>
      <c r="H34" s="55"/>
      <c r="I34" s="55"/>
      <c r="J34" s="55"/>
      <c r="K34" s="48"/>
    </row>
    <row r="35" spans="1:11" s="48" customFormat="1" ht="15" customHeight="1" thickBot="1" x14ac:dyDescent="0.25">
      <c r="A35" s="56"/>
      <c r="B35" s="56"/>
      <c r="C35" s="56"/>
      <c r="D35" s="56"/>
      <c r="E35" s="56"/>
      <c r="F35" s="56"/>
      <c r="G35" s="56"/>
      <c r="H35" s="56"/>
      <c r="I35" s="56"/>
      <c r="J35" s="56"/>
    </row>
    <row r="36" spans="1:11" s="48" customFormat="1" ht="32.25" customHeight="1" thickBot="1" x14ac:dyDescent="0.25">
      <c r="A36" s="1294" t="s">
        <v>34</v>
      </c>
      <c r="B36" s="1295"/>
      <c r="C36" s="1295"/>
      <c r="D36" s="1295"/>
      <c r="E36" s="1295"/>
      <c r="F36" s="1295"/>
      <c r="G36" s="1295"/>
      <c r="H36" s="1295"/>
      <c r="I36" s="1295"/>
      <c r="J36" s="1296"/>
    </row>
    <row r="37" spans="1:11" s="48" customFormat="1" ht="3.75" customHeight="1" thickBot="1" x14ac:dyDescent="0.25">
      <c r="A37" s="55"/>
      <c r="B37" s="47"/>
      <c r="C37" s="47"/>
      <c r="D37" s="47"/>
      <c r="E37" s="47"/>
      <c r="F37" s="47"/>
      <c r="G37" s="47"/>
      <c r="H37" s="47"/>
      <c r="I37" s="47"/>
      <c r="J37" s="55"/>
    </row>
    <row r="38" spans="1:11" s="48" customFormat="1" ht="31.5" customHeight="1" thickBot="1" x14ac:dyDescent="0.25">
      <c r="A38" s="47"/>
      <c r="B38" s="1316" t="s">
        <v>35</v>
      </c>
      <c r="C38" s="1317"/>
      <c r="D38" s="1317"/>
      <c r="E38" s="1317"/>
      <c r="F38" s="1318"/>
      <c r="G38" s="47"/>
      <c r="H38" s="1319" t="s">
        <v>236</v>
      </c>
      <c r="I38" s="1320"/>
      <c r="J38" s="1321"/>
    </row>
    <row r="39" spans="1:11" s="48" customFormat="1" ht="31.5" customHeight="1" thickBot="1" x14ac:dyDescent="0.25">
      <c r="A39" s="47"/>
      <c r="B39" s="57" t="s">
        <v>31</v>
      </c>
      <c r="C39" s="203">
        <v>1</v>
      </c>
      <c r="D39" s="141">
        <v>2</v>
      </c>
      <c r="E39" s="141">
        <v>3</v>
      </c>
      <c r="F39" s="204">
        <v>4</v>
      </c>
      <c r="G39" s="47"/>
      <c r="H39" s="1322"/>
      <c r="I39" s="1323"/>
      <c r="J39" s="1324"/>
    </row>
    <row r="40" spans="1:11" s="48" customFormat="1" ht="31.5" customHeight="1" x14ac:dyDescent="0.2">
      <c r="A40" s="58"/>
      <c r="B40" s="59"/>
      <c r="C40" s="271" t="e">
        <f>+AVERAGE(C28,C31)</f>
        <v>#DIV/0!</v>
      </c>
      <c r="D40" s="272" t="e">
        <f>+AVERAGE(D28,D31)</f>
        <v>#DIV/0!</v>
      </c>
      <c r="E40" s="272" t="e">
        <f>+AVERAGE(E28,E31)</f>
        <v>#DIV/0!</v>
      </c>
      <c r="F40" s="273" t="e">
        <f>+AVERAGE(F28,F31)</f>
        <v>#DIV/0!</v>
      </c>
      <c r="G40" s="47"/>
      <c r="H40" s="1325"/>
      <c r="I40" s="1326"/>
      <c r="J40" s="1327"/>
    </row>
    <row r="41" spans="1:11" s="48" customFormat="1" ht="31.5" customHeight="1" x14ac:dyDescent="0.2">
      <c r="A41" s="58"/>
      <c r="B41" s="60"/>
      <c r="C41" s="274" t="e">
        <f>+AVERAGE(C29:C30)</f>
        <v>#DIV/0!</v>
      </c>
      <c r="D41" s="275" t="e">
        <f>+AVERAGE(D29:D30)</f>
        <v>#DIV/0!</v>
      </c>
      <c r="E41" s="275" t="e">
        <f>+AVERAGE(E29:E30)</f>
        <v>#DIV/0!</v>
      </c>
      <c r="F41" s="276" t="e">
        <f>+AVERAGE(F29:F30)</f>
        <v>#DIV/0!</v>
      </c>
      <c r="G41" s="47"/>
      <c r="H41" s="1325"/>
      <c r="I41" s="1326"/>
      <c r="J41" s="1327"/>
    </row>
    <row r="42" spans="1:11" s="48" customFormat="1" ht="31.5" customHeight="1" thickBot="1" x14ac:dyDescent="0.25">
      <c r="A42" s="58"/>
      <c r="B42" s="62"/>
      <c r="C42" s="277" t="e">
        <f>+C41-C40</f>
        <v>#DIV/0!</v>
      </c>
      <c r="D42" s="278" t="e">
        <f>+D41-D40</f>
        <v>#DIV/0!</v>
      </c>
      <c r="E42" s="278" t="e">
        <f>+E41-E40</f>
        <v>#DIV/0!</v>
      </c>
      <c r="F42" s="279" t="e">
        <f>+F41-F40</f>
        <v>#DIV/0!</v>
      </c>
      <c r="G42" s="47"/>
      <c r="H42" s="1328"/>
      <c r="I42" s="1329"/>
      <c r="J42" s="1330"/>
    </row>
    <row r="43" spans="1:11" s="48" customFormat="1" ht="31.5" customHeight="1" thickBot="1" x14ac:dyDescent="0.25">
      <c r="A43" s="47"/>
      <c r="B43" s="63" t="s">
        <v>36</v>
      </c>
      <c r="C43" s="258" t="e">
        <f>+AVERAGE(C42:F42)</f>
        <v>#DIV/0!</v>
      </c>
      <c r="D43" s="280"/>
      <c r="E43" s="280"/>
      <c r="F43" s="280"/>
      <c r="G43" s="47"/>
      <c r="H43" s="47"/>
      <c r="I43" s="47"/>
      <c r="J43" s="47"/>
    </row>
    <row r="44" spans="1:11" s="48" customFormat="1" ht="31.5" customHeight="1" thickBot="1" x14ac:dyDescent="0.25">
      <c r="A44" s="47"/>
      <c r="B44" s="64" t="s">
        <v>77</v>
      </c>
      <c r="C44" s="259" t="e">
        <f>+STDEV(C42:F42)</f>
        <v>#DIV/0!</v>
      </c>
      <c r="D44" s="280"/>
      <c r="E44" s="280"/>
      <c r="F44" s="280"/>
      <c r="G44" s="47"/>
      <c r="H44" s="47"/>
      <c r="I44" s="47"/>
      <c r="J44" s="47"/>
      <c r="K44" s="46"/>
    </row>
    <row r="45" spans="1:11" s="46" customFormat="1" ht="15" customHeight="1" thickBot="1" x14ac:dyDescent="0.25">
      <c r="A45" s="47"/>
      <c r="B45" s="47"/>
      <c r="C45" s="47"/>
      <c r="D45" s="47"/>
      <c r="E45" s="47"/>
      <c r="F45" s="47"/>
      <c r="G45" s="65"/>
      <c r="H45" s="47"/>
      <c r="I45" s="47"/>
      <c r="J45" s="47"/>
      <c r="K45" s="48"/>
    </row>
    <row r="46" spans="1:11" s="48" customFormat="1" ht="31.5" customHeight="1" thickBot="1" x14ac:dyDescent="0.25">
      <c r="A46" s="1331" t="s">
        <v>37</v>
      </c>
      <c r="B46" s="1332"/>
      <c r="C46" s="1284"/>
      <c r="D46" s="1284"/>
      <c r="E46" s="1284"/>
      <c r="F46" s="1332"/>
      <c r="G46" s="1332"/>
      <c r="H46" s="1332"/>
      <c r="I46" s="1332"/>
      <c r="J46" s="1333"/>
    </row>
    <row r="47" spans="1:11" s="48" customFormat="1" ht="31.5" customHeight="1" thickBot="1" x14ac:dyDescent="0.25">
      <c r="A47" s="1375" t="s">
        <v>321</v>
      </c>
      <c r="B47" s="1376"/>
      <c r="C47" s="1338" t="s">
        <v>38</v>
      </c>
      <c r="D47" s="1339"/>
      <c r="E47" s="1340"/>
      <c r="F47" s="47"/>
      <c r="G47" s="47"/>
      <c r="H47" s="47"/>
      <c r="I47" s="47"/>
      <c r="J47" s="47"/>
    </row>
    <row r="48" spans="1:11" s="48" customFormat="1" ht="36.75" customHeight="1" thickBot="1" x14ac:dyDescent="0.25">
      <c r="A48" s="1377"/>
      <c r="B48" s="1378"/>
      <c r="C48" s="82" t="s">
        <v>27</v>
      </c>
      <c r="D48" s="93" t="s">
        <v>307</v>
      </c>
      <c r="E48" s="83" t="s">
        <v>9</v>
      </c>
      <c r="G48" s="1341" t="s">
        <v>70</v>
      </c>
      <c r="H48" s="1342"/>
      <c r="I48" s="102" t="e">
        <f>+(0.34848*E50-0.009*D50*EXP(0.061*C50))/(273.15+C50)</f>
        <v>#DIV/0!</v>
      </c>
      <c r="J48" s="103" t="s">
        <v>73</v>
      </c>
    </row>
    <row r="49" spans="1:21" s="48" customFormat="1" ht="33" customHeight="1" thickBot="1" x14ac:dyDescent="0.25">
      <c r="A49" s="1306" t="s">
        <v>39</v>
      </c>
      <c r="B49" s="1307"/>
      <c r="C49" s="90" t="e">
        <f>+AVERAGE(E33,E24)</f>
        <v>#DIV/0!</v>
      </c>
      <c r="D49" s="91" t="e">
        <f>+AVERAGE(H33,H24)</f>
        <v>#DIV/0!</v>
      </c>
      <c r="E49" s="92" t="e">
        <f>+AVERAGE(J33,J24)</f>
        <v>#DIV/0!</v>
      </c>
      <c r="G49" s="1308" t="s">
        <v>71</v>
      </c>
      <c r="H49" s="1309"/>
      <c r="I49" s="422" t="e">
        <f>I48*((0.0001)^2+(0.001*I20/2)^2+(-0.0034*D20/2)^2+(-0.01*G20/2)^2)^0.5</f>
        <v>#DIV/0!</v>
      </c>
      <c r="J49" s="66" t="s">
        <v>73</v>
      </c>
    </row>
    <row r="50" spans="1:21" s="48" customFormat="1" ht="36.75" customHeight="1" thickBot="1" x14ac:dyDescent="0.25">
      <c r="A50" s="1343" t="s">
        <v>322</v>
      </c>
      <c r="B50" s="1344"/>
      <c r="C50" s="84" t="e">
        <f>C49+(VLOOKUP(J19,'DATOS %'!J174:W180,9,FALSE))*C49+(VLOOKUP(J19,'DATOS %'!J174:W180,10,FALSE))</f>
        <v>#DIV/0!</v>
      </c>
      <c r="D50" s="85" t="e">
        <f>D49+(VLOOKUP(J19,'DATOS %'!J174:W180,11,FALSE))*D49+(VLOOKUP(J19,'DATOS %'!J174:W180,12,FALSE))</f>
        <v>#DIV/0!</v>
      </c>
      <c r="E50" s="86" t="e">
        <f>E49+(VLOOKUP(J19,'DATOS %'!J174:W180,13,FALSE))*E49+(VLOOKUP(J19,'DATOS %'!J174:W180,14,FALSE))</f>
        <v>#DIV/0!</v>
      </c>
      <c r="G50" s="1341" t="s">
        <v>72</v>
      </c>
      <c r="H50" s="1342"/>
      <c r="I50" s="67">
        <v>1.2</v>
      </c>
      <c r="J50" s="66" t="s">
        <v>73</v>
      </c>
    </row>
    <row r="51" spans="1:21" s="46" customFormat="1" ht="15" customHeight="1" thickBot="1" x14ac:dyDescent="0.25">
      <c r="A51" s="47"/>
      <c r="B51" s="47"/>
      <c r="C51" s="47"/>
      <c r="D51" s="47"/>
      <c r="E51" s="47"/>
      <c r="F51" s="47"/>
      <c r="G51" s="47"/>
      <c r="H51" s="47"/>
      <c r="I51" s="47"/>
      <c r="J51" s="47"/>
      <c r="K51" s="48"/>
    </row>
    <row r="52" spans="1:21" s="48" customFormat="1" ht="31.5" customHeight="1" thickBot="1" x14ac:dyDescent="0.25">
      <c r="A52" s="1331" t="s">
        <v>40</v>
      </c>
      <c r="B52" s="1332"/>
      <c r="C52" s="1332"/>
      <c r="D52" s="1332"/>
      <c r="E52" s="1332"/>
      <c r="F52" s="1332"/>
      <c r="G52" s="1332"/>
      <c r="H52" s="1332"/>
      <c r="I52" s="1332"/>
      <c r="J52" s="1333"/>
    </row>
    <row r="53" spans="1:21" s="48" customFormat="1" ht="31.5" customHeight="1" x14ac:dyDescent="0.35">
      <c r="A53" s="47"/>
      <c r="B53" s="68" t="s">
        <v>41</v>
      </c>
      <c r="C53" s="69"/>
      <c r="D53" s="1345" t="s">
        <v>74</v>
      </c>
      <c r="E53" s="1345"/>
      <c r="F53" s="70" t="s">
        <v>42</v>
      </c>
      <c r="G53" s="71" t="s">
        <v>43</v>
      </c>
      <c r="H53" s="1346" t="s">
        <v>44</v>
      </c>
      <c r="I53" s="1347"/>
      <c r="J53" s="47"/>
    </row>
    <row r="54" spans="1:21" s="48" customFormat="1" ht="31.5" customHeight="1" thickBot="1" x14ac:dyDescent="0.25">
      <c r="A54" s="47"/>
      <c r="B54" s="72" t="e">
        <f>+C43</f>
        <v>#DIV/0!</v>
      </c>
      <c r="C54" s="73" t="s">
        <v>1</v>
      </c>
      <c r="D54" s="261" t="e">
        <f>+C10+C11/1000</f>
        <v>#N/A</v>
      </c>
      <c r="E54" s="73" t="s">
        <v>1</v>
      </c>
      <c r="F54" s="74" t="e">
        <f>+(I48-I50)*(1/H10-1/C13)</f>
        <v>#DIV/0!</v>
      </c>
      <c r="G54" s="75"/>
      <c r="H54" s="67" t="e">
        <f>+(B54+D54*F54)*1000</f>
        <v>#DIV/0!</v>
      </c>
      <c r="I54" s="66" t="s">
        <v>3</v>
      </c>
      <c r="J54" s="47"/>
      <c r="K54" s="46"/>
    </row>
    <row r="55" spans="1:21" s="46" customFormat="1" ht="15" customHeight="1" x14ac:dyDescent="0.2">
      <c r="A55" s="47"/>
      <c r="B55" s="47"/>
      <c r="C55" s="47"/>
      <c r="D55" s="47"/>
      <c r="E55" s="47"/>
      <c r="F55" s="47"/>
      <c r="G55" s="47"/>
      <c r="H55" s="47"/>
      <c r="I55" s="47"/>
      <c r="J55" s="47"/>
      <c r="K55" s="48"/>
    </row>
    <row r="56" spans="1:21" s="48" customFormat="1" ht="31.5" customHeight="1" x14ac:dyDescent="0.2">
      <c r="A56" s="1348" t="s">
        <v>45</v>
      </c>
      <c r="B56" s="1349"/>
      <c r="C56" s="1349"/>
      <c r="D56" s="1349"/>
      <c r="E56" s="1349"/>
      <c r="F56" s="1349"/>
      <c r="G56" s="1349"/>
      <c r="H56" s="1349"/>
      <c r="I56" s="1349"/>
      <c r="J56" s="1349"/>
      <c r="K56" s="46"/>
    </row>
    <row r="57" spans="1:21" s="46" customFormat="1" ht="15" customHeight="1" thickBot="1" x14ac:dyDescent="0.25">
      <c r="A57" s="47"/>
      <c r="B57" s="47"/>
      <c r="C57" s="47"/>
      <c r="D57" s="47"/>
      <c r="E57" s="47"/>
      <c r="K57" s="48"/>
    </row>
    <row r="58" spans="1:21" s="48" customFormat="1" ht="31.5" customHeight="1" thickBot="1" x14ac:dyDescent="0.25">
      <c r="A58" s="1350" t="s">
        <v>38</v>
      </c>
      <c r="B58" s="1351"/>
      <c r="C58" s="1352" t="s">
        <v>46</v>
      </c>
      <c r="D58" s="1353"/>
      <c r="E58" s="1354" t="s">
        <v>238</v>
      </c>
      <c r="F58" s="1379"/>
      <c r="G58" s="1061" t="s">
        <v>553</v>
      </c>
      <c r="J58" s="114"/>
      <c r="L58" s="46"/>
      <c r="Q58" s="47"/>
      <c r="R58" s="47"/>
      <c r="S58" s="47"/>
      <c r="T58" s="47"/>
      <c r="U58" s="47"/>
    </row>
    <row r="59" spans="1:21" s="48" customFormat="1" ht="57.95" customHeight="1" thickBot="1" x14ac:dyDescent="0.25">
      <c r="A59" s="1024" t="s">
        <v>47</v>
      </c>
      <c r="B59" s="1025"/>
      <c r="C59" s="1026" t="e">
        <f>+C44/B26^0.5*1000</f>
        <v>#DIV/0!</v>
      </c>
      <c r="D59" s="1017" t="s">
        <v>3</v>
      </c>
      <c r="E59" s="1027" t="s">
        <v>240</v>
      </c>
      <c r="F59" s="139">
        <f>$B$26-1</f>
        <v>3</v>
      </c>
      <c r="G59" s="1111" t="e">
        <f>(C59/$G$70)^2</f>
        <v>#DIV/0!</v>
      </c>
      <c r="H59" s="47"/>
      <c r="K59" s="156">
        <v>0.3</v>
      </c>
      <c r="L59" s="157">
        <v>1.65</v>
      </c>
      <c r="M59" s="113"/>
    </row>
    <row r="60" spans="1:21" s="48" customFormat="1" ht="57.95" customHeight="1" thickBot="1" x14ac:dyDescent="0.25">
      <c r="A60" s="1019" t="s">
        <v>343</v>
      </c>
      <c r="B60" s="1020" t="s">
        <v>48</v>
      </c>
      <c r="C60" s="1021" t="e">
        <f>+C12/2</f>
        <v>#N/A</v>
      </c>
      <c r="D60" s="1022" t="s">
        <v>3</v>
      </c>
      <c r="E60" s="1023" t="s">
        <v>239</v>
      </c>
      <c r="F60" s="146" t="s">
        <v>265</v>
      </c>
      <c r="G60" s="1112"/>
      <c r="H60" s="1380" t="s">
        <v>241</v>
      </c>
      <c r="I60" s="1356"/>
      <c r="J60" s="1356"/>
      <c r="K60" s="1356"/>
      <c r="L60" s="1356"/>
      <c r="M60" s="1357"/>
    </row>
    <row r="61" spans="1:21" s="48" customFormat="1" ht="57.95" customHeight="1" thickBot="1" x14ac:dyDescent="0.25">
      <c r="A61" s="1028" t="s">
        <v>344</v>
      </c>
      <c r="B61" s="1029"/>
      <c r="C61" s="1030" t="e">
        <f>+C12/3^0.5</f>
        <v>#N/A</v>
      </c>
      <c r="D61" s="1031" t="s">
        <v>3</v>
      </c>
      <c r="E61" s="1032" t="s">
        <v>239</v>
      </c>
      <c r="F61" s="147" t="s">
        <v>265</v>
      </c>
      <c r="G61" s="1112"/>
      <c r="H61" s="132" t="s">
        <v>243</v>
      </c>
      <c r="I61" s="149" t="e">
        <f>MAX(C59:C62,C66:C67,C68)</f>
        <v>#DIV/0!</v>
      </c>
      <c r="J61" s="151" t="e">
        <f>IF((I62)&lt;=(K59),"1,65","2")</f>
        <v>#DIV/0!</v>
      </c>
      <c r="K61" s="152" t="s">
        <v>242</v>
      </c>
      <c r="L61" s="153" t="s">
        <v>237</v>
      </c>
      <c r="M61" s="360" t="s">
        <v>328</v>
      </c>
    </row>
    <row r="62" spans="1:21" s="48" customFormat="1" ht="57.95" customHeight="1" thickBot="1" x14ac:dyDescent="0.3">
      <c r="A62" s="1024" t="s">
        <v>49</v>
      </c>
      <c r="B62" s="1035"/>
      <c r="C62" s="1036" t="e">
        <f>+SQRT(SUMSQ(C60:C61))</f>
        <v>#N/A</v>
      </c>
      <c r="D62" s="1017" t="s">
        <v>3</v>
      </c>
      <c r="E62" s="1037" t="s">
        <v>240</v>
      </c>
      <c r="F62" s="139">
        <v>200</v>
      </c>
      <c r="G62" s="1112" t="e">
        <f t="shared" ref="G62:G68" si="0">(C62/$G$70)^2</f>
        <v>#N/A</v>
      </c>
      <c r="H62" s="133" t="s">
        <v>244</v>
      </c>
      <c r="I62" s="150" t="e">
        <f>SQRT((C59)^2+(C66)^2+(C67)^2+(C68)^2)/I61</f>
        <v>#DIV/0!</v>
      </c>
      <c r="J62" s="126"/>
      <c r="K62" s="154" t="s">
        <v>242</v>
      </c>
      <c r="L62" s="155" t="s">
        <v>252</v>
      </c>
      <c r="M62" s="361" t="s">
        <v>329</v>
      </c>
    </row>
    <row r="63" spans="1:21" s="48" customFormat="1" ht="57.95" customHeight="1" x14ac:dyDescent="0.2">
      <c r="A63" s="1019" t="s">
        <v>345</v>
      </c>
      <c r="B63" s="1020"/>
      <c r="C63" s="1033" t="e">
        <f>+I49</f>
        <v>#DIV/0!</v>
      </c>
      <c r="D63" s="1021" t="s">
        <v>73</v>
      </c>
      <c r="E63" s="1034" t="s">
        <v>239</v>
      </c>
      <c r="F63" s="146" t="s">
        <v>265</v>
      </c>
      <c r="G63" s="1112"/>
      <c r="L63" s="46"/>
      <c r="T63" s="46"/>
      <c r="U63" s="46"/>
    </row>
    <row r="64" spans="1:21" s="48" customFormat="1" ht="57.95" customHeight="1" x14ac:dyDescent="0.2">
      <c r="A64" s="426" t="s">
        <v>50</v>
      </c>
      <c r="B64" s="1018"/>
      <c r="C64" s="425" t="e">
        <f>+H11/2</f>
        <v>#N/A</v>
      </c>
      <c r="D64" s="424" t="s">
        <v>73</v>
      </c>
      <c r="E64" s="423" t="s">
        <v>239</v>
      </c>
      <c r="F64" s="148" t="s">
        <v>265</v>
      </c>
      <c r="G64" s="1112"/>
      <c r="H64" s="130"/>
      <c r="J64" s="130"/>
      <c r="K64" s="130"/>
      <c r="L64" s="130"/>
      <c r="M64" s="130"/>
      <c r="Q64" s="47"/>
      <c r="R64" s="47"/>
      <c r="S64" s="47"/>
      <c r="T64" s="47"/>
      <c r="U64" s="47"/>
    </row>
    <row r="65" spans="1:21" s="48" customFormat="1" ht="57.95" customHeight="1" thickBot="1" x14ac:dyDescent="0.25">
      <c r="A65" s="1028" t="s">
        <v>346</v>
      </c>
      <c r="B65" s="1038"/>
      <c r="C65" s="1039" t="e">
        <f>+C14/2</f>
        <v>#N/A</v>
      </c>
      <c r="D65" s="1031" t="s">
        <v>73</v>
      </c>
      <c r="E65" s="1040" t="s">
        <v>239</v>
      </c>
      <c r="F65" s="147" t="s">
        <v>265</v>
      </c>
      <c r="G65" s="1112"/>
      <c r="H65" s="130"/>
      <c r="I65" s="130"/>
      <c r="J65" s="130"/>
      <c r="K65" s="130"/>
      <c r="L65" s="130"/>
      <c r="M65" s="130"/>
      <c r="Q65" s="46"/>
      <c r="R65" s="46"/>
      <c r="S65" s="46"/>
      <c r="T65" s="46"/>
      <c r="U65" s="46"/>
    </row>
    <row r="66" spans="1:21" s="48" customFormat="1" ht="57.95" customHeight="1" thickBot="1" x14ac:dyDescent="0.3">
      <c r="A66" s="1024" t="s">
        <v>347</v>
      </c>
      <c r="B66" s="1035"/>
      <c r="C66" s="1036" t="e">
        <f>+SQRT(ABS(((C10/1000+C11/1000000)*(C13-H10)/(C13*H10)*C63)^2+((C10/1000+C11/1000000)*(I48-I50))^2*C64^2/H10^4+(C10/1000+C11/1000000)^2*(I48-I50)*((I48-I50)-2*(C15-I50))*C65^2/C13^4))*1000000</f>
        <v>#N/A</v>
      </c>
      <c r="D66" s="1051" t="s">
        <v>3</v>
      </c>
      <c r="E66" s="1037" t="s">
        <v>240</v>
      </c>
      <c r="F66" s="139">
        <v>200</v>
      </c>
      <c r="G66" s="1112" t="e">
        <f t="shared" si="0"/>
        <v>#N/A</v>
      </c>
      <c r="H66" s="130"/>
      <c r="I66" s="1093" t="s">
        <v>554</v>
      </c>
      <c r="J66" s="1095" t="s">
        <v>556</v>
      </c>
      <c r="K66" s="1094" t="s">
        <v>555</v>
      </c>
      <c r="L66" s="130"/>
      <c r="M66" s="130"/>
      <c r="Q66" s="47"/>
      <c r="R66" s="47"/>
      <c r="S66" s="47"/>
      <c r="T66" s="47"/>
      <c r="U66" s="47"/>
    </row>
    <row r="67" spans="1:21" s="48" customFormat="1" ht="57.95" customHeight="1" thickBot="1" x14ac:dyDescent="0.3">
      <c r="A67" s="1047" t="s">
        <v>52</v>
      </c>
      <c r="B67" s="1048"/>
      <c r="C67" s="1049" t="e">
        <f>+(G15/2/3^0.5)*2^0.5*1000</f>
        <v>#N/A</v>
      </c>
      <c r="D67" s="1044" t="s">
        <v>3</v>
      </c>
      <c r="E67" s="1045" t="s">
        <v>239</v>
      </c>
      <c r="F67" s="1050">
        <v>200</v>
      </c>
      <c r="G67" s="1112" t="e">
        <f t="shared" si="0"/>
        <v>#N/A</v>
      </c>
      <c r="H67" s="130"/>
      <c r="I67" s="1096" t="e">
        <f>G70^4/((C59^4/F59)+(C62^4/F62)+(C66^4/F66)+(C67^4/F67)+(C68^4/F68))</f>
        <v>#DIV/0!</v>
      </c>
      <c r="J67" s="1097" t="e">
        <f>TINV(0.05,I67)</f>
        <v>#DIV/0!</v>
      </c>
      <c r="K67" s="1098" t="e">
        <f>1-TDIST(J67,I67,2)</f>
        <v>#DIV/0!</v>
      </c>
      <c r="L67" s="130"/>
      <c r="M67" s="130"/>
    </row>
    <row r="68" spans="1:21" s="46" customFormat="1" ht="65.25" customHeight="1" thickBot="1" x14ac:dyDescent="0.3">
      <c r="A68" s="1041" t="s">
        <v>551</v>
      </c>
      <c r="B68" s="1042"/>
      <c r="C68" s="1043">
        <f>0.37/SQRT(45)</f>
        <v>5.5156343444994808E-2</v>
      </c>
      <c r="D68" s="1044" t="s">
        <v>3</v>
      </c>
      <c r="E68" s="1045" t="s">
        <v>240</v>
      </c>
      <c r="F68" s="1046">
        <v>50</v>
      </c>
      <c r="G68" s="1113" t="e">
        <f t="shared" si="0"/>
        <v>#DIV/0!</v>
      </c>
      <c r="H68" s="130"/>
      <c r="I68" s="130"/>
      <c r="J68" s="130"/>
      <c r="K68" s="130"/>
      <c r="L68" s="130"/>
      <c r="M68" s="130"/>
      <c r="S68" s="48"/>
      <c r="T68" s="48"/>
      <c r="U68" s="48"/>
    </row>
    <row r="69" spans="1:21" s="106" customFormat="1" ht="51.75" customHeight="1" thickBot="1" x14ac:dyDescent="0.25">
      <c r="G69" s="1114" t="e">
        <f>SUM(G59,G62,G66,G67,G68)</f>
        <v>#DIV/0!</v>
      </c>
      <c r="L69" s="130"/>
      <c r="M69" s="130"/>
      <c r="S69" s="48"/>
      <c r="T69" s="48"/>
      <c r="U69" s="48"/>
    </row>
    <row r="70" spans="1:21" s="106" customFormat="1" ht="35.1" customHeight="1" thickBot="1" x14ac:dyDescent="0.3">
      <c r="D70" s="1306" t="s">
        <v>51</v>
      </c>
      <c r="E70" s="1307"/>
      <c r="F70" s="134"/>
      <c r="G70" s="140" t="e">
        <f>+SQRT(SUMSQ(C59,C62,C66,C67,C68))</f>
        <v>#DIV/0!</v>
      </c>
      <c r="H70" s="136" t="s">
        <v>3</v>
      </c>
      <c r="K70" s="130"/>
      <c r="L70" s="107"/>
      <c r="O70" s="48"/>
      <c r="P70" s="48"/>
      <c r="Q70" s="48"/>
      <c r="R70" s="48"/>
      <c r="S70" s="48"/>
      <c r="T70" s="48"/>
      <c r="U70" s="48"/>
    </row>
    <row r="71" spans="1:21" s="106" customFormat="1" ht="33.75" customHeight="1" thickBot="1" x14ac:dyDescent="4.45">
      <c r="D71" s="1306" t="s">
        <v>53</v>
      </c>
      <c r="E71" s="1307"/>
      <c r="F71" s="135"/>
      <c r="G71" s="140" t="e">
        <f>+G70*2</f>
        <v>#DIV/0!</v>
      </c>
      <c r="H71" s="137" t="s">
        <v>3</v>
      </c>
      <c r="K71" s="110"/>
      <c r="L71" s="117"/>
      <c r="O71" s="48"/>
      <c r="P71" s="48"/>
      <c r="Q71" s="48"/>
      <c r="R71" s="48"/>
      <c r="S71" s="48"/>
      <c r="T71" s="48"/>
      <c r="U71" s="48"/>
    </row>
    <row r="72" spans="1:21" s="106" customFormat="1" ht="35.1" customHeight="1" thickBot="1" x14ac:dyDescent="0.25">
      <c r="B72" s="1313" t="s">
        <v>54</v>
      </c>
      <c r="C72" s="1314"/>
      <c r="D72" s="1314"/>
      <c r="E72" s="1314"/>
      <c r="F72" s="1314"/>
      <c r="G72" s="1314"/>
      <c r="H72" s="1314"/>
      <c r="I72" s="1314"/>
      <c r="J72" s="1314"/>
      <c r="K72" s="1315"/>
      <c r="O72" s="48"/>
      <c r="P72" s="48"/>
      <c r="Q72" s="48"/>
      <c r="R72" s="48"/>
      <c r="S72" s="48"/>
      <c r="T72" s="48"/>
      <c r="U72" s="48"/>
    </row>
    <row r="73" spans="1:21" s="106" customFormat="1" ht="40.5" customHeight="1" thickBot="1" x14ac:dyDescent="0.25">
      <c r="B73" s="1368" t="s">
        <v>255</v>
      </c>
      <c r="C73" s="1369"/>
      <c r="D73" s="1369"/>
      <c r="E73" s="1370"/>
      <c r="F73" s="79"/>
      <c r="G73" s="80"/>
      <c r="H73" s="1371"/>
      <c r="I73" s="1372"/>
      <c r="J73" s="1372"/>
      <c r="K73" s="1373"/>
      <c r="O73" s="48"/>
      <c r="P73" s="48"/>
      <c r="Q73" s="48"/>
      <c r="R73" s="48"/>
      <c r="S73" s="48"/>
      <c r="T73" s="48"/>
      <c r="U73" s="48"/>
    </row>
    <row r="74" spans="1:21" s="106" customFormat="1" ht="35.1" customHeight="1" x14ac:dyDescent="0.2">
      <c r="B74" s="118"/>
      <c r="C74" s="362" t="s">
        <v>348</v>
      </c>
      <c r="D74" s="119" t="s">
        <v>253</v>
      </c>
      <c r="E74" s="120"/>
      <c r="F74" s="1358"/>
      <c r="G74" s="1358"/>
      <c r="H74" s="1359" t="s">
        <v>266</v>
      </c>
      <c r="I74" s="1381" t="s">
        <v>254</v>
      </c>
      <c r="J74" s="1381"/>
      <c r="K74" s="1382"/>
      <c r="O74" s="48"/>
      <c r="P74" s="48"/>
      <c r="Q74" s="48"/>
      <c r="R74" s="48"/>
      <c r="S74" s="48"/>
      <c r="T74" s="48"/>
      <c r="U74" s="48"/>
    </row>
    <row r="75" spans="1:21" s="106" customFormat="1" ht="35.1" customHeight="1" x14ac:dyDescent="0.2">
      <c r="B75" s="81" t="e">
        <f>C10</f>
        <v>#N/A</v>
      </c>
      <c r="C75" s="77" t="e">
        <f>C11</f>
        <v>#N/A</v>
      </c>
      <c r="D75" s="78" t="e">
        <f>H54</f>
        <v>#DIV/0!</v>
      </c>
      <c r="E75" s="216" t="e">
        <f>B75+(C75/1000)+(D75/1000)</f>
        <v>#N/A</v>
      </c>
      <c r="F75" s="296" t="e">
        <f>E75*1000-B75*1000</f>
        <v>#N/A</v>
      </c>
      <c r="G75" s="61"/>
      <c r="H75" s="1360"/>
      <c r="I75" s="282" t="e">
        <f>G71</f>
        <v>#DIV/0!</v>
      </c>
      <c r="J75" s="1364"/>
      <c r="K75" s="1365"/>
      <c r="O75" s="48"/>
      <c r="P75" s="48"/>
      <c r="Q75" s="48"/>
      <c r="R75" s="48"/>
      <c r="S75" s="48"/>
      <c r="T75" s="48"/>
      <c r="U75" s="48"/>
    </row>
    <row r="76" spans="1:21" s="106" customFormat="1" ht="35.1" customHeight="1" thickBot="1" x14ac:dyDescent="0.25">
      <c r="B76" s="87" t="e">
        <f>B75</f>
        <v>#N/A</v>
      </c>
      <c r="C76" s="88" t="e">
        <f>C75</f>
        <v>#N/A</v>
      </c>
      <c r="D76" s="88" t="e">
        <f>D75</f>
        <v>#DIV/0!</v>
      </c>
      <c r="E76" s="217" t="e">
        <f>B76+(C76/1000)+(D76/1000)</f>
        <v>#N/A</v>
      </c>
      <c r="F76" s="262" t="e">
        <f>F75/1000</f>
        <v>#N/A</v>
      </c>
      <c r="G76" s="89"/>
      <c r="H76" s="1361"/>
      <c r="I76" s="263" t="e">
        <f>I75/1000</f>
        <v>#DIV/0!</v>
      </c>
      <c r="J76" s="1366"/>
      <c r="K76" s="1367"/>
      <c r="O76" s="48"/>
      <c r="P76" s="48"/>
      <c r="Q76" s="48"/>
      <c r="R76" s="48"/>
      <c r="S76" s="48"/>
      <c r="T76" s="48"/>
      <c r="U76" s="48"/>
    </row>
    <row r="77" spans="1:21" s="106" customFormat="1" ht="35.1" customHeight="1" x14ac:dyDescent="0.2">
      <c r="G77" s="47"/>
      <c r="H77" s="47"/>
      <c r="I77" s="47"/>
      <c r="J77" s="47"/>
      <c r="O77" s="48"/>
      <c r="P77" s="48"/>
      <c r="Q77" s="48"/>
      <c r="R77" s="48"/>
      <c r="S77" s="48"/>
      <c r="T77" s="48"/>
      <c r="U77" s="48"/>
    </row>
    <row r="78" spans="1:21" s="106" customFormat="1" ht="35.1" customHeight="1" x14ac:dyDescent="0.2">
      <c r="G78" s="47"/>
      <c r="H78" s="47"/>
      <c r="I78" s="47"/>
      <c r="J78" s="47"/>
    </row>
    <row r="79" spans="1:21" s="107" customFormat="1" ht="35.1" customHeight="1" x14ac:dyDescent="0.2">
      <c r="A79" s="109"/>
      <c r="B79" s="106"/>
      <c r="C79" s="106"/>
      <c r="D79" s="106"/>
      <c r="E79" s="106"/>
      <c r="F79" s="106"/>
      <c r="G79" s="47"/>
      <c r="H79" s="47"/>
    </row>
    <row r="80" spans="1:21" s="111" customFormat="1" ht="35.1" customHeight="1" x14ac:dyDescent="0.2">
      <c r="B80" s="106"/>
      <c r="C80" s="106"/>
      <c r="D80" s="106"/>
      <c r="E80" s="106"/>
      <c r="F80" s="106"/>
      <c r="G80" s="47"/>
      <c r="H80" s="47"/>
    </row>
    <row r="81" spans="6:10" s="106" customFormat="1" ht="61.5" customHeight="1" x14ac:dyDescent="0.2"/>
    <row r="82" spans="6:10" s="106" customFormat="1" ht="35.1" customHeight="1" x14ac:dyDescent="0.2"/>
    <row r="83" spans="6:10" s="106" customFormat="1" ht="35.1" customHeight="1" x14ac:dyDescent="0.2"/>
    <row r="84" spans="6:10" s="106" customFormat="1" ht="35.1" customHeight="1" x14ac:dyDescent="0.2"/>
    <row r="85" spans="6:10" s="106" customFormat="1" ht="50.1" customHeight="1" x14ac:dyDescent="0.2"/>
    <row r="86" spans="6:10" s="106" customFormat="1" ht="57.75" customHeight="1" x14ac:dyDescent="0.2"/>
    <row r="87" spans="6:10" s="106" customFormat="1" ht="35.1" customHeight="1" x14ac:dyDescent="0.2"/>
    <row r="88" spans="6:10" s="106" customFormat="1" ht="35.1" customHeight="1" x14ac:dyDescent="0.2">
      <c r="F88" s="108"/>
      <c r="G88" s="108"/>
      <c r="H88" s="108"/>
      <c r="I88" s="108"/>
      <c r="J88" s="108"/>
    </row>
    <row r="89" spans="6:10" s="106" customFormat="1" ht="35.1" customHeight="1" x14ac:dyDescent="0.2"/>
    <row r="90" spans="6:10" s="106" customFormat="1" ht="50.1" customHeight="1" x14ac:dyDescent="0.2">
      <c r="J90" s="47"/>
    </row>
    <row r="91" spans="6:10" s="106" customFormat="1" ht="55.5" customHeight="1" x14ac:dyDescent="0.2">
      <c r="J91" s="111"/>
    </row>
    <row r="92" spans="6:10" s="106" customFormat="1" ht="50.1" customHeight="1" x14ac:dyDescent="0.2">
      <c r="J92" s="111"/>
    </row>
    <row r="93" spans="6:10" s="107" customFormat="1" ht="31.5" customHeight="1" x14ac:dyDescent="0.2">
      <c r="J93" s="111"/>
    </row>
    <row r="94" spans="6:10" s="106" customFormat="1" ht="35.1" customHeight="1" x14ac:dyDescent="0.2">
      <c r="G94" s="111"/>
      <c r="H94" s="111"/>
      <c r="I94" s="111"/>
      <c r="J94" s="111"/>
    </row>
    <row r="95" spans="6:10" s="106" customFormat="1" ht="35.1" customHeight="1" x14ac:dyDescent="0.2">
      <c r="G95" s="111"/>
      <c r="H95" s="111"/>
      <c r="I95" s="111"/>
      <c r="J95" s="111"/>
    </row>
    <row r="96" spans="6:10" s="106" customFormat="1" ht="9.9499999999999993" customHeight="1" x14ac:dyDescent="0.2">
      <c r="G96" s="108"/>
      <c r="H96" s="108"/>
      <c r="I96" s="108"/>
      <c r="J96" s="108"/>
    </row>
    <row r="97" spans="1:12" s="106" customFormat="1" ht="35.1" customHeight="1" x14ac:dyDescent="0.2">
      <c r="J97" s="108"/>
      <c r="K97" s="108"/>
      <c r="L97" s="108"/>
    </row>
    <row r="98" spans="1:12" s="46" customFormat="1" ht="15" customHeight="1" x14ac:dyDescent="0.2">
      <c r="A98" s="47"/>
      <c r="G98" s="47"/>
      <c r="H98" s="47"/>
      <c r="I98" s="47"/>
      <c r="J98" s="47"/>
      <c r="K98" s="48"/>
    </row>
    <row r="99" spans="1:12" s="48" customFormat="1" ht="31.5" customHeight="1" x14ac:dyDescent="0.2">
      <c r="A99" s="47"/>
      <c r="B99" s="47"/>
      <c r="C99" s="47"/>
      <c r="D99" s="47"/>
      <c r="E99" s="47"/>
      <c r="F99" s="47"/>
      <c r="G99" s="47"/>
      <c r="H99" s="47"/>
      <c r="I99" s="47"/>
      <c r="J99" s="47"/>
    </row>
    <row r="100" spans="1:12" s="48" customFormat="1" ht="31.5" customHeight="1" x14ac:dyDescent="0.2"/>
    <row r="101" spans="1:12" s="48" customFormat="1" ht="31.5" customHeight="1" x14ac:dyDescent="0.2"/>
    <row r="102" spans="1:12" s="48" customFormat="1" ht="52.5" customHeight="1" x14ac:dyDescent="0.2"/>
    <row r="103" spans="1:12" s="48" customFormat="1" ht="31.5" customHeight="1" x14ac:dyDescent="0.2">
      <c r="K103" s="8"/>
    </row>
    <row r="104" spans="1:12" s="48" customFormat="1" ht="31.5" customHeight="1" x14ac:dyDescent="0.2">
      <c r="K104" s="8"/>
    </row>
    <row r="105" spans="1:12" ht="31.5" customHeight="1" x14ac:dyDescent="0.2">
      <c r="G105" s="76"/>
    </row>
    <row r="106" spans="1:12" ht="51" customHeight="1" x14ac:dyDescent="0.2"/>
    <row r="108" spans="1:12" ht="31.5" customHeight="1" x14ac:dyDescent="0.2">
      <c r="B108" s="29"/>
      <c r="C108" s="29"/>
      <c r="D108" s="29"/>
      <c r="E108" s="29"/>
      <c r="F108" s="29"/>
      <c r="G108" s="29"/>
      <c r="H108" s="29"/>
      <c r="I108" s="29"/>
      <c r="J108" s="29"/>
    </row>
    <row r="109" spans="1:12" ht="31.5" customHeight="1" x14ac:dyDescent="0.2">
      <c r="B109" s="29"/>
      <c r="C109" s="29"/>
      <c r="D109" s="29"/>
      <c r="E109" s="29"/>
      <c r="F109" s="29"/>
      <c r="G109" s="29"/>
      <c r="H109" s="29"/>
      <c r="I109" s="29"/>
      <c r="J109" s="29"/>
    </row>
    <row r="110" spans="1:12" ht="31.5" customHeight="1" x14ac:dyDescent="0.2">
      <c r="B110" s="29"/>
      <c r="C110" s="29"/>
      <c r="D110" s="29"/>
      <c r="E110" s="29"/>
      <c r="F110" s="29"/>
      <c r="G110" s="29"/>
      <c r="H110" s="29"/>
      <c r="I110" s="29"/>
      <c r="J110" s="29"/>
    </row>
    <row r="111" spans="1:12" ht="31.5" customHeight="1" x14ac:dyDescent="0.2">
      <c r="B111" s="29"/>
      <c r="C111" s="29"/>
      <c r="D111" s="29"/>
      <c r="E111" s="29"/>
      <c r="F111" s="29"/>
      <c r="G111" s="29"/>
      <c r="H111" s="29"/>
      <c r="I111" s="29"/>
      <c r="J111" s="29"/>
    </row>
    <row r="112" spans="1:12" ht="31.5" customHeight="1" x14ac:dyDescent="0.2">
      <c r="B112" s="29"/>
      <c r="C112" s="29"/>
      <c r="D112" s="29"/>
      <c r="E112" s="29"/>
      <c r="F112" s="29"/>
      <c r="G112" s="29"/>
      <c r="H112" s="29"/>
      <c r="I112" s="29"/>
      <c r="J112" s="29"/>
    </row>
    <row r="113" spans="2:10" ht="31.5" customHeight="1" x14ac:dyDescent="0.2">
      <c r="B113" s="29"/>
      <c r="C113" s="29"/>
      <c r="D113" s="29"/>
      <c r="E113" s="29"/>
      <c r="F113" s="29"/>
      <c r="G113" s="29"/>
      <c r="H113" s="29"/>
      <c r="I113" s="29"/>
      <c r="J113" s="29"/>
    </row>
    <row r="114" spans="2:10" ht="31.5" customHeight="1" x14ac:dyDescent="0.2">
      <c r="B114" s="29"/>
      <c r="C114" s="29"/>
      <c r="D114" s="29"/>
      <c r="E114" s="29"/>
      <c r="F114" s="29"/>
      <c r="G114" s="29"/>
      <c r="H114" s="29"/>
      <c r="I114" s="29"/>
      <c r="J114" s="29"/>
    </row>
  </sheetData>
  <sheetProtection password="CF5C" sheet="1" objects="1" scenarios="1"/>
  <mergeCells count="62">
    <mergeCell ref="D70:E70"/>
    <mergeCell ref="D71:E71"/>
    <mergeCell ref="B72:K72"/>
    <mergeCell ref="B73:E73"/>
    <mergeCell ref="H73:K73"/>
    <mergeCell ref="F74:G74"/>
    <mergeCell ref="H74:H76"/>
    <mergeCell ref="I74:K74"/>
    <mergeCell ref="J75:K75"/>
    <mergeCell ref="J76:K76"/>
    <mergeCell ref="A56:J56"/>
    <mergeCell ref="A58:B58"/>
    <mergeCell ref="C58:D58"/>
    <mergeCell ref="E58:F58"/>
    <mergeCell ref="H60:M60"/>
    <mergeCell ref="A50:B50"/>
    <mergeCell ref="G50:H50"/>
    <mergeCell ref="A52:J52"/>
    <mergeCell ref="D53:E53"/>
    <mergeCell ref="H53:I53"/>
    <mergeCell ref="A49:B49"/>
    <mergeCell ref="G49:H49"/>
    <mergeCell ref="A28:A31"/>
    <mergeCell ref="C33:D33"/>
    <mergeCell ref="F33:G33"/>
    <mergeCell ref="A36:J36"/>
    <mergeCell ref="B38:F38"/>
    <mergeCell ref="H38:J38"/>
    <mergeCell ref="H39:J42"/>
    <mergeCell ref="A46:J46"/>
    <mergeCell ref="A47:B48"/>
    <mergeCell ref="C47:E47"/>
    <mergeCell ref="G48:H48"/>
    <mergeCell ref="A27:B27"/>
    <mergeCell ref="G27:H27"/>
    <mergeCell ref="A14:B14"/>
    <mergeCell ref="A15:B15"/>
    <mergeCell ref="A16:B16"/>
    <mergeCell ref="A18:J18"/>
    <mergeCell ref="F19:G19"/>
    <mergeCell ref="J19:J20"/>
    <mergeCell ref="A20:B20"/>
    <mergeCell ref="E20:F20"/>
    <mergeCell ref="A22:J22"/>
    <mergeCell ref="C24:D24"/>
    <mergeCell ref="F24:G24"/>
    <mergeCell ref="C26:F26"/>
    <mergeCell ref="G26:H26"/>
    <mergeCell ref="C16:D16"/>
    <mergeCell ref="A13:B13"/>
    <mergeCell ref="F13:I13"/>
    <mergeCell ref="A1:B1"/>
    <mergeCell ref="C1:M1"/>
    <mergeCell ref="I3:J4"/>
    <mergeCell ref="A6:D6"/>
    <mergeCell ref="F6:I6"/>
    <mergeCell ref="F9:G9"/>
    <mergeCell ref="A10:B10"/>
    <mergeCell ref="F10:G10"/>
    <mergeCell ref="A11:B11"/>
    <mergeCell ref="F11:G11"/>
    <mergeCell ref="A12:B12"/>
  </mergeCells>
  <printOptions horizontalCentered="1"/>
  <pageMargins left="0.70866141732283472" right="0.70866141732283472" top="0.74803149606299213" bottom="0.74803149606299213" header="0.31496062992125984" footer="0.31496062992125984"/>
  <pageSetup scale="13" orientation="portrait" r:id="rId1"/>
  <headerFooter>
    <oddHeader xml:space="preserve">&amp;C
&amp;16   
</oddHeader>
    <oddFooter xml:space="preserve">&amp;RRT03-F13 Vr.14 (2021-05-21)
</oddFooter>
  </headerFooter>
  <rowBreaks count="1" manualBreakCount="1">
    <brk id="34" max="12" man="1"/>
  </rowBreaks>
  <drawing r:id="rId2"/>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2600-000000000000}">
          <x14:formula1>
            <xm:f>'DATOS %'!$V$161:$V$165</xm:f>
          </x14:formula1>
          <xm:sqref>H25</xm:sqref>
        </x14:dataValidation>
        <x14:dataValidation type="list" allowBlank="1" showInputMessage="1" showErrorMessage="1" xr:uid="{00000000-0002-0000-2600-000001000000}">
          <x14:formula1>
            <xm:f>'DATOS %'!$V$120:$V$126</xm:f>
          </x14:formula1>
          <xm:sqref>J13</xm:sqref>
        </x14:dataValidation>
        <x14:dataValidation type="list" allowBlank="1" showInputMessage="1" showErrorMessage="1" xr:uid="{00000000-0002-0000-2600-000002000000}">
          <x14:formula1>
            <xm:f>'DATOS %'!$N$29:$N$113</xm:f>
          </x14:formula1>
          <xm:sqref>E6</xm:sqref>
        </x14:dataValidation>
        <x14:dataValidation type="list" allowBlank="1" showInputMessage="1" showErrorMessage="1" xr:uid="{00000000-0002-0000-2600-000003000000}">
          <x14:formula1>
            <xm:f>'DATOS %'!$N$121:$N$166</xm:f>
          </x14:formula1>
          <xm:sqref>F48</xm:sqref>
        </x14:dataValidation>
        <x14:dataValidation type="list" allowBlank="1" showInputMessage="1" showErrorMessage="1" xr:uid="{00000000-0002-0000-2600-000004000000}">
          <x14:formula1>
            <xm:f>'DATOS %'!$J$174:$J$179</xm:f>
          </x14:formula1>
          <xm:sqref>J19:J20</xm:sqref>
        </x14:dataValidation>
        <x14:dataValidation type="list" allowBlank="1" showInputMessage="1" showErrorMessage="1" xr:uid="{00000000-0002-0000-2600-000005000000}">
          <x14:formula1>
            <xm:f>'DATOS %'!$B$7:$B$40</xm:f>
          </x14:formula1>
          <xm:sqref>I3:J4</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FF00"/>
  </sheetPr>
  <dimension ref="A1:U115"/>
  <sheetViews>
    <sheetView showGridLines="0" view="pageBreakPreview" zoomScale="80" zoomScaleNormal="60" zoomScaleSheetLayoutView="80" workbookViewId="0">
      <selection activeCell="C65" sqref="C65"/>
    </sheetView>
  </sheetViews>
  <sheetFormatPr baseColWidth="10" defaultColWidth="11.42578125" defaultRowHeight="31.5" customHeight="1" x14ac:dyDescent="0.2"/>
  <cols>
    <col min="1" max="1" width="14.7109375" style="37" customWidth="1"/>
    <col min="2" max="2" width="12" style="37" customWidth="1"/>
    <col min="3" max="3" width="15.7109375" style="37" customWidth="1"/>
    <col min="4" max="4" width="17" style="37" customWidth="1"/>
    <col min="5" max="5" width="15.5703125" style="37" customWidth="1"/>
    <col min="6" max="6" width="18.5703125" style="37" customWidth="1"/>
    <col min="7" max="7" width="15.7109375" style="37" customWidth="1"/>
    <col min="8" max="8" width="24.42578125" style="37" bestFit="1" customWidth="1"/>
    <col min="9" max="9" width="13.85546875" style="37" bestFit="1" customWidth="1"/>
    <col min="10" max="10" width="13.7109375" style="37" customWidth="1"/>
    <col min="11" max="19" width="11.42578125" style="8"/>
    <col min="20" max="20" width="15.85546875" style="8" bestFit="1" customWidth="1"/>
    <col min="21" max="21" width="14.42578125" style="8" bestFit="1" customWidth="1"/>
    <col min="22" max="16384" width="11.42578125" style="8"/>
  </cols>
  <sheetData>
    <row r="1" spans="1:16" ht="60" customHeight="1" thickBot="1" x14ac:dyDescent="0.25">
      <c r="A1" s="1257"/>
      <c r="B1" s="1258"/>
      <c r="C1" s="1259" t="s">
        <v>57</v>
      </c>
      <c r="D1" s="1260"/>
      <c r="E1" s="1260"/>
      <c r="F1" s="1260"/>
      <c r="G1" s="1260"/>
      <c r="H1" s="1260"/>
      <c r="I1" s="1260"/>
      <c r="J1" s="1260"/>
      <c r="K1" s="1260"/>
      <c r="L1" s="1260"/>
      <c r="M1" s="1261"/>
      <c r="N1" s="7"/>
      <c r="O1" s="7"/>
      <c r="P1" s="7"/>
    </row>
    <row r="2" spans="1:16" s="11" customFormat="1" ht="9.75" customHeight="1" thickBot="1" x14ac:dyDescent="0.25">
      <c r="A2" s="9"/>
      <c r="B2" s="9"/>
      <c r="C2" s="10"/>
      <c r="D2" s="10"/>
      <c r="E2" s="10"/>
      <c r="F2" s="10"/>
      <c r="G2" s="10"/>
      <c r="H2" s="10"/>
      <c r="K2" s="12"/>
      <c r="M2" s="7"/>
    </row>
    <row r="3" spans="1:16" s="12" customFormat="1" ht="35.25" customHeight="1" thickBot="1" x14ac:dyDescent="0.25">
      <c r="A3" s="13" t="s">
        <v>17</v>
      </c>
      <c r="B3" s="14" t="s">
        <v>55</v>
      </c>
      <c r="C3" s="15" t="s">
        <v>209</v>
      </c>
      <c r="D3" s="15" t="s">
        <v>56</v>
      </c>
      <c r="E3" s="15" t="s">
        <v>8</v>
      </c>
      <c r="F3" s="16" t="s">
        <v>18</v>
      </c>
      <c r="G3" s="16" t="s">
        <v>297</v>
      </c>
      <c r="H3" s="17" t="s">
        <v>24</v>
      </c>
      <c r="I3" s="1262"/>
      <c r="J3" s="1263"/>
      <c r="K3" s="11"/>
      <c r="M3" s="7"/>
    </row>
    <row r="4" spans="1:16" s="11" customFormat="1" ht="32.25" customHeight="1" thickBot="1" x14ac:dyDescent="0.25">
      <c r="A4" s="18" t="e">
        <f>VLOOKUP($I$3,'DATOS %'!B7:J29,2,FALSE)</f>
        <v>#N/A</v>
      </c>
      <c r="B4" s="212" t="e">
        <f>VLOOKUP($I$3,'DATOS %'!$B$7:$J$29,3,FALSE)</f>
        <v>#N/A</v>
      </c>
      <c r="C4" s="19" t="e">
        <f>VLOOKUP($I$3,'DATOS %'!$B$7:$J$29,8,FALSE)</f>
        <v>#N/A</v>
      </c>
      <c r="D4" s="19" t="e">
        <f>VLOOKUP($I$3,'DATOS %'!$B$7:$J$29,6,FALSE)</f>
        <v>#N/A</v>
      </c>
      <c r="E4" s="212" t="e">
        <f>VLOOKUP($I$3,'DATOS %'!$B$7:$J$29,7,FALSE)</f>
        <v>#N/A</v>
      </c>
      <c r="F4" s="18" t="e">
        <f>VLOOKUP($I$3,'DATOS %'!$B$7:$J$29,4,FALSE)</f>
        <v>#N/A</v>
      </c>
      <c r="G4" s="18" t="e">
        <f>VLOOKUP($I$3,'DATOS %'!$B$7:$J$29,5,FALSE)</f>
        <v>#N/A</v>
      </c>
      <c r="H4" s="19" t="e">
        <f>VLOOKUP($I$3,'DATOS %'!$B$7:$J$29,9,FALSE)</f>
        <v>#N/A</v>
      </c>
      <c r="I4" s="1264"/>
      <c r="J4" s="1265"/>
      <c r="K4" s="8"/>
      <c r="L4" s="20"/>
      <c r="M4" s="20"/>
    </row>
    <row r="5" spans="1:16" s="22" customFormat="1" ht="6.75" customHeight="1" thickBot="1" x14ac:dyDescent="0.25">
      <c r="A5" s="21"/>
      <c r="B5" s="21"/>
      <c r="C5" s="21"/>
      <c r="F5" s="21"/>
      <c r="G5" s="21"/>
      <c r="H5" s="21"/>
      <c r="K5" s="8"/>
    </row>
    <row r="6" spans="1:16" ht="31.5" customHeight="1" thickBot="1" x14ac:dyDescent="0.25">
      <c r="A6" s="1266" t="s">
        <v>19</v>
      </c>
      <c r="B6" s="1267"/>
      <c r="C6" s="1267"/>
      <c r="D6" s="1268"/>
      <c r="E6" s="4"/>
      <c r="F6" s="1266" t="s">
        <v>20</v>
      </c>
      <c r="G6" s="1267"/>
      <c r="H6" s="1267"/>
      <c r="I6" s="1268"/>
      <c r="J6" s="402">
        <f>I3</f>
        <v>0</v>
      </c>
    </row>
    <row r="7" spans="1:16" ht="31.5" customHeight="1" x14ac:dyDescent="0.2">
      <c r="A7" s="23" t="s">
        <v>21</v>
      </c>
      <c r="B7" s="24" t="e">
        <f>VLOOKUP($E$6,'DATOS %'!N11:AA113,2,FALSE)</f>
        <v>#N/A</v>
      </c>
      <c r="C7" s="25" t="s">
        <v>10</v>
      </c>
      <c r="D7" s="26" t="e">
        <f>VLOOKUP($E$6,'DATOS %'!N11:AA113,3,FALSE)</f>
        <v>#N/A</v>
      </c>
      <c r="E7" s="27"/>
      <c r="F7" s="23" t="s">
        <v>21</v>
      </c>
      <c r="G7" s="24" t="e">
        <f>VLOOKUP($J$6,'DATOS %'!B47:I79,2,FALSE)</f>
        <v>#N/A</v>
      </c>
      <c r="H7" s="28" t="s">
        <v>10</v>
      </c>
      <c r="I7" s="26" t="e">
        <f>VLOOKUP($J$6,'DATOS %'!B47:I79,3,FALSE)</f>
        <v>#N/A</v>
      </c>
      <c r="J7" s="29"/>
    </row>
    <row r="8" spans="1:16" ht="31.5" customHeight="1" x14ac:dyDescent="0.2">
      <c r="A8" s="30" t="s">
        <v>22</v>
      </c>
      <c r="B8" s="31" t="e">
        <f>VLOOKUP($E$6,'DATOS %'!N11:AA113,4,FALSE)</f>
        <v>#N/A</v>
      </c>
      <c r="C8" s="32" t="s">
        <v>23</v>
      </c>
      <c r="D8" s="33" t="e">
        <f>VLOOKUP($E$6,'DATOS %'!N11:AA113,5,FALSE)</f>
        <v>#N/A</v>
      </c>
      <c r="E8" s="27"/>
      <c r="F8" s="30" t="s">
        <v>22</v>
      </c>
      <c r="G8" s="31" t="e">
        <f>VLOOKUP($J$6,'DATOS %'!B47:I79,4,FALSE)</f>
        <v>#N/A</v>
      </c>
      <c r="H8" s="32" t="s">
        <v>23</v>
      </c>
      <c r="I8" s="297" t="e">
        <f>VLOOKUP($J$6,'DATOS %'!B47:I79,5,FALSE)</f>
        <v>#N/A</v>
      </c>
      <c r="J8" s="29"/>
    </row>
    <row r="9" spans="1:16" ht="31.5" customHeight="1" x14ac:dyDescent="0.2">
      <c r="A9" s="34" t="s">
        <v>24</v>
      </c>
      <c r="B9" s="31" t="e">
        <f>VLOOKUP($E$6,'DATOS %'!N11:AA113,6,FALSE)</f>
        <v>#N/A</v>
      </c>
      <c r="C9" s="35" t="s">
        <v>15</v>
      </c>
      <c r="D9" s="36" t="e">
        <f>VLOOKUP($E$6,'DATOS %'!N11:AA113,7,FALSE)</f>
        <v>#N/A</v>
      </c>
      <c r="F9" s="1252" t="s">
        <v>62</v>
      </c>
      <c r="G9" s="1253"/>
      <c r="H9" s="31" t="e">
        <f>(VLOOKUP($J$6,'DATOS %'!B47:I79,6,FALSE))/1000</f>
        <v>#N/A</v>
      </c>
      <c r="I9" s="33" t="s">
        <v>1</v>
      </c>
      <c r="J9" s="29"/>
      <c r="K9" s="208"/>
    </row>
    <row r="10" spans="1:16" s="38" customFormat="1" ht="31.5" customHeight="1" x14ac:dyDescent="0.25">
      <c r="A10" s="1252" t="s">
        <v>63</v>
      </c>
      <c r="B10" s="1253"/>
      <c r="C10" s="926" t="e">
        <f>(VLOOKUP($E$6,'DATOS %'!N11:AA113,8,FALSE))/1000</f>
        <v>#N/A</v>
      </c>
      <c r="D10" s="33" t="s">
        <v>1</v>
      </c>
      <c r="F10" s="1252" t="s">
        <v>64</v>
      </c>
      <c r="G10" s="1253"/>
      <c r="H10" s="213" t="e">
        <f>VLOOKUP($J$6,'DATOS %'!B47:I79,7,FALSE)</f>
        <v>#N/A</v>
      </c>
      <c r="I10" s="33" t="s">
        <v>76</v>
      </c>
      <c r="J10" s="39"/>
    </row>
    <row r="11" spans="1:16" s="38" customFormat="1" ht="31.5" customHeight="1" thickBot="1" x14ac:dyDescent="0.3">
      <c r="A11" s="1252" t="s">
        <v>65</v>
      </c>
      <c r="B11" s="1253"/>
      <c r="C11" s="31" t="e">
        <f>VLOOKUP($E$6,'DATOS %'!N11:AA113,9,FALSE)</f>
        <v>#N/A</v>
      </c>
      <c r="D11" s="33" t="s">
        <v>3</v>
      </c>
      <c r="E11" s="40"/>
      <c r="F11" s="1271" t="s">
        <v>66</v>
      </c>
      <c r="G11" s="1272"/>
      <c r="H11" s="41" t="e">
        <f>VLOOKUP($J$6,'DATOS %'!B47:I79,8,FALSE)</f>
        <v>#N/A</v>
      </c>
      <c r="I11" s="45" t="s">
        <v>76</v>
      </c>
      <c r="J11" s="39"/>
    </row>
    <row r="12" spans="1:16" s="38" customFormat="1" ht="31.5" customHeight="1" thickBot="1" x14ac:dyDescent="0.3">
      <c r="A12" s="1252" t="s">
        <v>67</v>
      </c>
      <c r="B12" s="1253"/>
      <c r="C12" s="31" t="e">
        <f>VLOOKUP($E$6,'DATOS %'!N11:AA113,10,FALSE)</f>
        <v>#N/A</v>
      </c>
      <c r="D12" s="33" t="s">
        <v>3</v>
      </c>
      <c r="E12" s="39"/>
      <c r="F12" s="39"/>
      <c r="G12" s="39"/>
      <c r="H12" s="39"/>
    </row>
    <row r="13" spans="1:16" s="38" customFormat="1" ht="31.5" customHeight="1" thickBot="1" x14ac:dyDescent="0.3">
      <c r="A13" s="1252" t="s">
        <v>68</v>
      </c>
      <c r="B13" s="1253"/>
      <c r="C13" s="213" t="e">
        <f>VLOOKUP($E$6,'DATOS %'!N11:AA113,11,FALSE)</f>
        <v>#N/A</v>
      </c>
      <c r="D13" s="33" t="s">
        <v>76</v>
      </c>
      <c r="E13" s="39"/>
      <c r="F13" s="1254" t="s">
        <v>559</v>
      </c>
      <c r="G13" s="1255"/>
      <c r="H13" s="1255"/>
      <c r="I13" s="1256"/>
      <c r="J13" s="5"/>
    </row>
    <row r="14" spans="1:16" s="38" customFormat="1" ht="31.5" customHeight="1" x14ac:dyDescent="0.2">
      <c r="A14" s="1252" t="s">
        <v>305</v>
      </c>
      <c r="B14" s="1253"/>
      <c r="C14" s="31" t="e">
        <f>VLOOKUP($E$6,'DATOS %'!N11:AA113,12,FALSE)</f>
        <v>#N/A</v>
      </c>
      <c r="D14" s="33" t="s">
        <v>76</v>
      </c>
      <c r="E14" s="39"/>
      <c r="F14" s="23" t="s">
        <v>10</v>
      </c>
      <c r="G14" s="24" t="e">
        <f>VLOOKUP($J$13,'DATOS %'!$V$119:$Y$126,2,FALSE)</f>
        <v>#N/A</v>
      </c>
      <c r="H14" s="28" t="s">
        <v>22</v>
      </c>
      <c r="I14" s="24" t="e">
        <f>VLOOKUP($J$13,'DATOS %'!$V$119:$Z$126,3,FALSE)</f>
        <v>#N/A</v>
      </c>
      <c r="J14" s="42"/>
      <c r="K14" s="8"/>
    </row>
    <row r="15" spans="1:16" ht="31.5" customHeight="1" thickBot="1" x14ac:dyDescent="0.25">
      <c r="A15" s="1277" t="s">
        <v>69</v>
      </c>
      <c r="B15" s="1278"/>
      <c r="C15" s="31" t="e">
        <f>VLOOKUP($E$6,'DATOS %'!N11:AA113,13,FALSE)</f>
        <v>#N/A</v>
      </c>
      <c r="D15" s="33" t="s">
        <v>76</v>
      </c>
      <c r="E15" s="29"/>
      <c r="F15" s="43" t="s">
        <v>61</v>
      </c>
      <c r="G15" s="41" t="e">
        <f>VLOOKUP($J$13,'DATOS %'!$V$119:$Y$126,4,FALSE)</f>
        <v>#N/A</v>
      </c>
      <c r="H15" s="41" t="s">
        <v>1</v>
      </c>
      <c r="I15" s="243" t="s">
        <v>210</v>
      </c>
      <c r="J15" s="45" t="e">
        <f>VLOOKUP($J$13,'DATOS %'!$V$119:$Z$126,5,FALSE)</f>
        <v>#N/A</v>
      </c>
      <c r="K15" s="22"/>
    </row>
    <row r="16" spans="1:16" ht="30.95" customHeight="1" thickBot="1" x14ac:dyDescent="0.25">
      <c r="A16" s="1279" t="s">
        <v>210</v>
      </c>
      <c r="B16" s="1280"/>
      <c r="C16" s="1281" t="e">
        <f>VLOOKUP($E$6,'DATOS %'!N11:AA113,14,FALSE)</f>
        <v>#N/A</v>
      </c>
      <c r="D16" s="1282"/>
      <c r="E16" s="29"/>
      <c r="F16" s="8"/>
      <c r="G16" s="8"/>
      <c r="H16" s="8"/>
      <c r="I16" s="8"/>
      <c r="J16" s="8"/>
    </row>
    <row r="17" spans="1:11" s="22" customFormat="1" ht="30.95" customHeight="1" thickBot="1" x14ac:dyDescent="0.25">
      <c r="A17" s="29"/>
      <c r="B17" s="29"/>
      <c r="C17" s="29"/>
      <c r="D17" s="29"/>
      <c r="E17" s="29"/>
      <c r="F17" s="29"/>
      <c r="G17" s="29"/>
      <c r="H17" s="29"/>
      <c r="I17" s="29"/>
      <c r="J17" s="29"/>
      <c r="K17" s="8"/>
    </row>
    <row r="18" spans="1:11" ht="31.5" customHeight="1" thickBot="1" x14ac:dyDescent="0.25">
      <c r="A18" s="1283" t="s">
        <v>26</v>
      </c>
      <c r="B18" s="1284"/>
      <c r="C18" s="1284"/>
      <c r="D18" s="1284"/>
      <c r="E18" s="1284"/>
      <c r="F18" s="1284"/>
      <c r="G18" s="1284"/>
      <c r="H18" s="1284"/>
      <c r="I18" s="1284"/>
      <c r="J18" s="1285"/>
    </row>
    <row r="19" spans="1:11" ht="46.5" customHeight="1" thickBot="1" x14ac:dyDescent="0.25">
      <c r="A19" s="96" t="s">
        <v>10</v>
      </c>
      <c r="B19" s="97" t="e">
        <f>VLOOKUP(J19,'DATOS %'!J174:W180,2,FALSE)</f>
        <v>#N/A</v>
      </c>
      <c r="C19" s="98" t="s">
        <v>7</v>
      </c>
      <c r="D19" s="99" t="e">
        <f>VLOOKUP(J19,'DATOS %'!J174:W180,3,FALSE)</f>
        <v>#N/A</v>
      </c>
      <c r="E19" s="100" t="s">
        <v>24</v>
      </c>
      <c r="F19" s="1286" t="e">
        <f>VLOOKUP(J19,'DATOS %'!J174:W180,5,FALSE)</f>
        <v>#N/A</v>
      </c>
      <c r="G19" s="1287"/>
      <c r="H19" s="98" t="s">
        <v>25</v>
      </c>
      <c r="I19" s="212" t="e">
        <f>VLOOKUP(J19,'DATOS %'!J174:W180,4,FALSE)</f>
        <v>#N/A</v>
      </c>
      <c r="J19" s="1288"/>
    </row>
    <row r="20" spans="1:11" ht="31.5" customHeight="1" thickBot="1" x14ac:dyDescent="0.25">
      <c r="A20" s="1290" t="s">
        <v>316</v>
      </c>
      <c r="B20" s="1291"/>
      <c r="C20" s="94" t="s">
        <v>27</v>
      </c>
      <c r="D20" s="101" t="e">
        <f>VLOOKUP(J19,'DATOS %'!J174:W180,6,FALSE)</f>
        <v>#N/A</v>
      </c>
      <c r="E20" s="1292" t="s">
        <v>307</v>
      </c>
      <c r="F20" s="1293"/>
      <c r="G20" s="101" t="e">
        <f>VLOOKUP(J19,'DATOS %'!J174:W180,7,FALSE)</f>
        <v>#N/A</v>
      </c>
      <c r="H20" s="95" t="s">
        <v>9</v>
      </c>
      <c r="I20" s="214" t="e">
        <f>VLOOKUP(J19,'DATOS %'!J174:W180,8,FALSE)</f>
        <v>#N/A</v>
      </c>
      <c r="J20" s="1289"/>
    </row>
    <row r="21" spans="1:11" s="46" customFormat="1" ht="15" customHeight="1" thickBot="1" x14ac:dyDescent="0.25">
      <c r="A21" s="47"/>
      <c r="B21" s="47"/>
      <c r="C21" s="47"/>
      <c r="D21" s="47"/>
      <c r="E21" s="47"/>
      <c r="F21" s="47"/>
      <c r="G21" s="47"/>
      <c r="H21" s="47"/>
      <c r="I21" s="47"/>
      <c r="J21" s="47"/>
      <c r="K21" s="8"/>
    </row>
    <row r="22" spans="1:11" s="48" customFormat="1" ht="31.5" customHeight="1" thickBot="1" x14ac:dyDescent="0.25">
      <c r="A22" s="1294" t="s">
        <v>28</v>
      </c>
      <c r="B22" s="1295"/>
      <c r="C22" s="1295"/>
      <c r="D22" s="1295"/>
      <c r="E22" s="1295"/>
      <c r="F22" s="1295"/>
      <c r="G22" s="1295"/>
      <c r="H22" s="1295"/>
      <c r="I22" s="1295"/>
      <c r="J22" s="1296"/>
      <c r="K22" s="47"/>
    </row>
    <row r="23" spans="1:11" s="47" customFormat="1" ht="2.25" customHeight="1" thickBot="1" x14ac:dyDescent="0.25">
      <c r="A23" s="49"/>
      <c r="B23" s="50"/>
      <c r="C23" s="50"/>
      <c r="D23" s="50"/>
      <c r="E23" s="50"/>
      <c r="F23" s="50"/>
      <c r="G23" s="50"/>
      <c r="H23" s="50"/>
      <c r="I23" s="50"/>
      <c r="J23" s="51"/>
      <c r="K23" s="48"/>
    </row>
    <row r="24" spans="1:11" s="48" customFormat="1" ht="31.5" customHeight="1" thickBot="1" x14ac:dyDescent="0.25">
      <c r="A24" s="52" t="s">
        <v>29</v>
      </c>
      <c r="B24" s="916"/>
      <c r="C24" s="1297" t="s">
        <v>27</v>
      </c>
      <c r="D24" s="1298"/>
      <c r="E24" s="1"/>
      <c r="F24" s="1299" t="s">
        <v>307</v>
      </c>
      <c r="G24" s="1300"/>
      <c r="H24" s="2"/>
      <c r="I24" s="224" t="s">
        <v>9</v>
      </c>
      <c r="J24" s="215"/>
      <c r="K24" s="46"/>
    </row>
    <row r="25" spans="1:11" s="46" customFormat="1" ht="15" customHeight="1" thickBot="1" x14ac:dyDescent="0.25">
      <c r="A25" s="47"/>
      <c r="B25" s="47"/>
      <c r="C25" s="47"/>
      <c r="D25" s="47"/>
      <c r="E25" s="47"/>
      <c r="F25" s="47"/>
      <c r="G25" s="47"/>
      <c r="H25" s="6"/>
      <c r="I25" s="47"/>
      <c r="K25" s="48"/>
    </row>
    <row r="26" spans="1:11" s="48" customFormat="1" ht="29.25" customHeight="1" thickBot="1" x14ac:dyDescent="0.25">
      <c r="A26" s="115" t="s">
        <v>129</v>
      </c>
      <c r="B26" s="105">
        <v>4</v>
      </c>
      <c r="C26" s="1301" t="s">
        <v>30</v>
      </c>
      <c r="D26" s="1302"/>
      <c r="E26" s="1302"/>
      <c r="F26" s="1303"/>
      <c r="G26" s="1304" t="s">
        <v>211</v>
      </c>
      <c r="H26" s="1305"/>
    </row>
    <row r="27" spans="1:11" s="48" customFormat="1" ht="31.5" customHeight="1" thickBot="1" x14ac:dyDescent="0.25">
      <c r="A27" s="1273" t="s">
        <v>31</v>
      </c>
      <c r="B27" s="1274"/>
      <c r="C27" s="525">
        <v>1</v>
      </c>
      <c r="D27" s="525">
        <v>2</v>
      </c>
      <c r="E27" s="525">
        <v>3</v>
      </c>
      <c r="F27" s="129">
        <v>4</v>
      </c>
      <c r="G27" s="1275" t="e">
        <f>VLOOKUP($H$25,'DATOS %'!$V$161:$AA$165,2,FALSE)</f>
        <v>#N/A</v>
      </c>
      <c r="H27" s="1276"/>
    </row>
    <row r="28" spans="1:11" s="48" customFormat="1" ht="31.5" customHeight="1" x14ac:dyDescent="0.2">
      <c r="A28" s="1310" t="s">
        <v>32</v>
      </c>
      <c r="B28" s="141" t="s">
        <v>0</v>
      </c>
      <c r="C28" s="142"/>
      <c r="D28" s="142"/>
      <c r="E28" s="142"/>
      <c r="F28" s="143"/>
      <c r="G28" s="47"/>
      <c r="H28" s="47"/>
      <c r="I28" s="47"/>
      <c r="J28" s="47"/>
    </row>
    <row r="29" spans="1:11" s="48" customFormat="1" ht="31.5" customHeight="1" x14ac:dyDescent="0.2">
      <c r="A29" s="1311"/>
      <c r="B29" s="104" t="s">
        <v>2</v>
      </c>
      <c r="C29" s="127"/>
      <c r="D29" s="127"/>
      <c r="E29" s="127"/>
      <c r="F29" s="128"/>
      <c r="G29" s="47"/>
      <c r="H29" s="47"/>
      <c r="I29" s="47"/>
      <c r="J29" s="47"/>
    </row>
    <row r="30" spans="1:11" s="48" customFormat="1" ht="31.5" customHeight="1" x14ac:dyDescent="0.2">
      <c r="A30" s="1311"/>
      <c r="B30" s="104" t="s">
        <v>2</v>
      </c>
      <c r="C30" s="127"/>
      <c r="D30" s="127"/>
      <c r="E30" s="127"/>
      <c r="F30" s="128"/>
      <c r="G30" s="47"/>
      <c r="H30" s="47"/>
      <c r="I30" s="47"/>
      <c r="J30" s="47"/>
    </row>
    <row r="31" spans="1:11" s="48" customFormat="1" ht="31.5" customHeight="1" thickBot="1" x14ac:dyDescent="0.25">
      <c r="A31" s="1312"/>
      <c r="B31" s="53" t="s">
        <v>0</v>
      </c>
      <c r="C31" s="144"/>
      <c r="D31" s="144"/>
      <c r="E31" s="144"/>
      <c r="F31" s="145"/>
      <c r="G31" s="47"/>
      <c r="H31" s="47"/>
      <c r="I31" s="47"/>
      <c r="J31" s="47"/>
      <c r="K31" s="46"/>
    </row>
    <row r="32" spans="1:11" s="46" customFormat="1" ht="15" customHeight="1" thickBot="1" x14ac:dyDescent="0.25">
      <c r="A32" s="47"/>
      <c r="B32" s="47"/>
      <c r="C32" s="47"/>
      <c r="D32" s="47"/>
      <c r="E32" s="47"/>
      <c r="F32" s="47"/>
      <c r="G32" s="47"/>
      <c r="H32" s="47"/>
      <c r="I32" s="47"/>
      <c r="J32" s="47"/>
      <c r="K32" s="48"/>
    </row>
    <row r="33" spans="1:11" s="48" customFormat="1" ht="31.5" customHeight="1" thickBot="1" x14ac:dyDescent="0.25">
      <c r="A33" s="54" t="s">
        <v>33</v>
      </c>
      <c r="B33" s="916"/>
      <c r="C33" s="1297" t="s">
        <v>27</v>
      </c>
      <c r="D33" s="1298"/>
      <c r="E33" s="1"/>
      <c r="F33" s="1299" t="s">
        <v>307</v>
      </c>
      <c r="G33" s="1300"/>
      <c r="H33" s="2"/>
      <c r="I33" s="225" t="s">
        <v>9</v>
      </c>
      <c r="J33" s="3"/>
      <c r="K33" s="46"/>
    </row>
    <row r="34" spans="1:11" s="46" customFormat="1" ht="12" customHeight="1" x14ac:dyDescent="0.2">
      <c r="A34" s="55"/>
      <c r="B34" s="55"/>
      <c r="C34" s="55"/>
      <c r="D34" s="55"/>
      <c r="E34" s="55"/>
      <c r="F34" s="55"/>
      <c r="G34" s="55"/>
      <c r="H34" s="55"/>
      <c r="I34" s="55"/>
      <c r="J34" s="55"/>
      <c r="K34" s="48"/>
    </row>
    <row r="35" spans="1:11" s="48" customFormat="1" ht="15" customHeight="1" thickBot="1" x14ac:dyDescent="0.25">
      <c r="A35" s="56"/>
      <c r="B35" s="56"/>
      <c r="C35" s="56"/>
      <c r="D35" s="56"/>
      <c r="E35" s="56"/>
      <c r="F35" s="56"/>
      <c r="G35" s="56"/>
      <c r="H35" s="56"/>
      <c r="I35" s="56"/>
      <c r="J35" s="56"/>
    </row>
    <row r="36" spans="1:11" s="48" customFormat="1" ht="32.25" customHeight="1" thickBot="1" x14ac:dyDescent="0.25">
      <c r="A36" s="1294" t="s">
        <v>34</v>
      </c>
      <c r="B36" s="1295"/>
      <c r="C36" s="1295"/>
      <c r="D36" s="1295"/>
      <c r="E36" s="1295"/>
      <c r="F36" s="1295"/>
      <c r="G36" s="1295"/>
      <c r="H36" s="1295"/>
      <c r="I36" s="1295"/>
      <c r="J36" s="1296"/>
    </row>
    <row r="37" spans="1:11" s="48" customFormat="1" ht="3.75" customHeight="1" thickBot="1" x14ac:dyDescent="0.25">
      <c r="A37" s="55"/>
      <c r="B37" s="47"/>
      <c r="C37" s="47"/>
      <c r="D37" s="47"/>
      <c r="E37" s="47"/>
      <c r="F37" s="47"/>
      <c r="G37" s="47"/>
      <c r="H37" s="47"/>
      <c r="I37" s="47"/>
      <c r="J37" s="55"/>
    </row>
    <row r="38" spans="1:11" s="48" customFormat="1" ht="31.5" customHeight="1" thickBot="1" x14ac:dyDescent="0.25">
      <c r="A38" s="47"/>
      <c r="B38" s="1316" t="s">
        <v>35</v>
      </c>
      <c r="C38" s="1317"/>
      <c r="D38" s="1317"/>
      <c r="E38" s="1317"/>
      <c r="F38" s="1318"/>
      <c r="G38" s="47"/>
      <c r="H38" s="1319" t="s">
        <v>236</v>
      </c>
      <c r="I38" s="1320"/>
      <c r="J38" s="1321"/>
    </row>
    <row r="39" spans="1:11" s="48" customFormat="1" ht="31.5" customHeight="1" thickBot="1" x14ac:dyDescent="0.25">
      <c r="A39" s="47"/>
      <c r="B39" s="57" t="s">
        <v>31</v>
      </c>
      <c r="C39" s="203">
        <v>1</v>
      </c>
      <c r="D39" s="141">
        <v>2</v>
      </c>
      <c r="E39" s="141">
        <v>3</v>
      </c>
      <c r="F39" s="204">
        <v>4</v>
      </c>
      <c r="G39" s="47"/>
      <c r="H39" s="1322"/>
      <c r="I39" s="1323"/>
      <c r="J39" s="1324"/>
    </row>
    <row r="40" spans="1:11" s="48" customFormat="1" ht="31.5" customHeight="1" x14ac:dyDescent="0.2">
      <c r="A40" s="58"/>
      <c r="B40" s="59"/>
      <c r="C40" s="121" t="e">
        <f>+AVERAGE(C28,C31)</f>
        <v>#DIV/0!</v>
      </c>
      <c r="D40" s="122" t="e">
        <f>+AVERAGE(D28,D31)</f>
        <v>#DIV/0!</v>
      </c>
      <c r="E40" s="122" t="e">
        <f>+AVERAGE(E28,E31)</f>
        <v>#DIV/0!</v>
      </c>
      <c r="F40" s="205" t="e">
        <f>+AVERAGE(F28,F31)</f>
        <v>#DIV/0!</v>
      </c>
      <c r="G40" s="47"/>
      <c r="H40" s="1325"/>
      <c r="I40" s="1326"/>
      <c r="J40" s="1327"/>
    </row>
    <row r="41" spans="1:11" s="48" customFormat="1" ht="31.5" customHeight="1" x14ac:dyDescent="0.2">
      <c r="A41" s="58"/>
      <c r="B41" s="60"/>
      <c r="C41" s="123" t="e">
        <f>+AVERAGE(C29:C30)</f>
        <v>#DIV/0!</v>
      </c>
      <c r="D41" s="61" t="e">
        <f>+AVERAGE(D29:D30)</f>
        <v>#DIV/0!</v>
      </c>
      <c r="E41" s="61" t="e">
        <f>+AVERAGE(E29:E30)</f>
        <v>#DIV/0!</v>
      </c>
      <c r="F41" s="206" t="e">
        <f>+AVERAGE(F29:F30)</f>
        <v>#DIV/0!</v>
      </c>
      <c r="G41" s="47"/>
      <c r="H41" s="1325"/>
      <c r="I41" s="1326"/>
      <c r="J41" s="1327"/>
    </row>
    <row r="42" spans="1:11" s="48" customFormat="1" ht="31.5" customHeight="1" thickBot="1" x14ac:dyDescent="0.25">
      <c r="A42" s="58"/>
      <c r="B42" s="62"/>
      <c r="C42" s="124" t="e">
        <f>+C41-C40</f>
        <v>#DIV/0!</v>
      </c>
      <c r="D42" s="125" t="e">
        <f>+D41-D40</f>
        <v>#DIV/0!</v>
      </c>
      <c r="E42" s="125" t="e">
        <f>+E41-E40</f>
        <v>#DIV/0!</v>
      </c>
      <c r="F42" s="207" t="e">
        <f>+F41-F40</f>
        <v>#DIV/0!</v>
      </c>
      <c r="G42" s="47"/>
      <c r="H42" s="1328"/>
      <c r="I42" s="1329"/>
      <c r="J42" s="1330"/>
    </row>
    <row r="43" spans="1:11" s="48" customFormat="1" ht="31.5" customHeight="1" thickBot="1" x14ac:dyDescent="0.25">
      <c r="A43" s="47"/>
      <c r="B43" s="63" t="s">
        <v>36</v>
      </c>
      <c r="C43" s="286" t="e">
        <f>+AVERAGE(C42:F42)</f>
        <v>#DIV/0!</v>
      </c>
      <c r="D43" s="47"/>
      <c r="E43" s="47"/>
      <c r="F43" s="47"/>
      <c r="G43" s="47"/>
      <c r="H43" s="47"/>
      <c r="I43" s="47"/>
      <c r="J43" s="47"/>
    </row>
    <row r="44" spans="1:11" s="48" customFormat="1" ht="31.5" customHeight="1" thickBot="1" x14ac:dyDescent="0.25">
      <c r="A44" s="47"/>
      <c r="B44" s="64" t="s">
        <v>77</v>
      </c>
      <c r="C44" s="287" t="e">
        <f>+STDEV(C42:F42)</f>
        <v>#DIV/0!</v>
      </c>
      <c r="D44" s="47"/>
      <c r="E44" s="47"/>
      <c r="F44" s="47"/>
      <c r="G44" s="47"/>
      <c r="H44" s="47"/>
      <c r="I44" s="47"/>
      <c r="J44" s="47"/>
      <c r="K44" s="46"/>
    </row>
    <row r="45" spans="1:11" s="46" customFormat="1" ht="15" customHeight="1" thickBot="1" x14ac:dyDescent="0.25">
      <c r="A45" s="47"/>
      <c r="B45" s="47"/>
      <c r="C45" s="47"/>
      <c r="D45" s="47"/>
      <c r="E45" s="47"/>
      <c r="F45" s="47"/>
      <c r="G45" s="65"/>
      <c r="H45" s="47"/>
      <c r="I45" s="47"/>
      <c r="J45" s="47"/>
      <c r="K45" s="48"/>
    </row>
    <row r="46" spans="1:11" s="48" customFormat="1" ht="31.5" customHeight="1" thickBot="1" x14ac:dyDescent="0.25">
      <c r="A46" s="1331" t="s">
        <v>37</v>
      </c>
      <c r="B46" s="1332"/>
      <c r="C46" s="1284"/>
      <c r="D46" s="1284"/>
      <c r="E46" s="1284"/>
      <c r="F46" s="1332"/>
      <c r="G46" s="1332"/>
      <c r="H46" s="1332"/>
      <c r="I46" s="1332"/>
      <c r="J46" s="1333"/>
    </row>
    <row r="47" spans="1:11" s="48" customFormat="1" ht="31.5" customHeight="1" thickBot="1" x14ac:dyDescent="0.25">
      <c r="A47" s="1375" t="s">
        <v>321</v>
      </c>
      <c r="B47" s="1376"/>
      <c r="C47" s="1338" t="s">
        <v>38</v>
      </c>
      <c r="D47" s="1339"/>
      <c r="E47" s="1340"/>
      <c r="F47" s="47"/>
      <c r="G47" s="47"/>
      <c r="H47" s="47"/>
      <c r="I47" s="47"/>
      <c r="J47" s="47"/>
    </row>
    <row r="48" spans="1:11" s="48" customFormat="1" ht="36.75" customHeight="1" thickBot="1" x14ac:dyDescent="0.25">
      <c r="A48" s="1377"/>
      <c r="B48" s="1378"/>
      <c r="C48" s="82" t="s">
        <v>27</v>
      </c>
      <c r="D48" s="93" t="s">
        <v>307</v>
      </c>
      <c r="E48" s="83" t="s">
        <v>9</v>
      </c>
      <c r="G48" s="1341" t="s">
        <v>70</v>
      </c>
      <c r="H48" s="1342"/>
      <c r="I48" s="102" t="e">
        <f>+(0.34848*E50-0.009*D50*EXP(0.061*C50))/(273.15+C50)</f>
        <v>#DIV/0!</v>
      </c>
      <c r="J48" s="103" t="s">
        <v>73</v>
      </c>
    </row>
    <row r="49" spans="1:21" s="48" customFormat="1" ht="33" customHeight="1" thickBot="1" x14ac:dyDescent="0.25">
      <c r="A49" s="1306" t="s">
        <v>39</v>
      </c>
      <c r="B49" s="1307"/>
      <c r="C49" s="90" t="e">
        <f>+AVERAGE(E33,E24)</f>
        <v>#DIV/0!</v>
      </c>
      <c r="D49" s="91" t="e">
        <f>+AVERAGE(H33,H24)</f>
        <v>#DIV/0!</v>
      </c>
      <c r="E49" s="92" t="e">
        <f>+AVERAGE(J33,J24)</f>
        <v>#DIV/0!</v>
      </c>
      <c r="G49" s="1308" t="s">
        <v>71</v>
      </c>
      <c r="H49" s="1309"/>
      <c r="I49" s="422" t="e">
        <f>I48*((0.0001)^2+(0.001*I20/2)^2+(-0.0034*D20/2)^2+(-0.01*G20/2)^2)^0.5</f>
        <v>#DIV/0!</v>
      </c>
      <c r="J49" s="66" t="s">
        <v>73</v>
      </c>
    </row>
    <row r="50" spans="1:21" s="48" customFormat="1" ht="36.75" customHeight="1" thickBot="1" x14ac:dyDescent="0.25">
      <c r="A50" s="1343" t="s">
        <v>322</v>
      </c>
      <c r="B50" s="1344"/>
      <c r="C50" s="84" t="e">
        <f>C49+(VLOOKUP(J19,'DATOS %'!J174:W180,9,FALSE))*C49+(VLOOKUP(J19,'DATOS %'!J174:W180,10,FALSE))</f>
        <v>#DIV/0!</v>
      </c>
      <c r="D50" s="85" t="e">
        <f>D49+(VLOOKUP(J19,'DATOS %'!J174:W180,11,FALSE))*D49+(VLOOKUP(J19,'DATOS %'!J174:W180,12,FALSE))</f>
        <v>#DIV/0!</v>
      </c>
      <c r="E50" s="86" t="e">
        <f>E49+(VLOOKUP(J19,'DATOS %'!J174:W180,13,FALSE))*E49+(VLOOKUP(J19,'DATOS %'!J174:W180,14,FALSE))</f>
        <v>#DIV/0!</v>
      </c>
      <c r="G50" s="1341" t="s">
        <v>72</v>
      </c>
      <c r="H50" s="1342"/>
      <c r="I50" s="67">
        <v>1.2</v>
      </c>
      <c r="J50" s="66" t="s">
        <v>73</v>
      </c>
    </row>
    <row r="51" spans="1:21" s="46" customFormat="1" ht="15" customHeight="1" thickBot="1" x14ac:dyDescent="0.25">
      <c r="A51" s="47"/>
      <c r="B51" s="47"/>
      <c r="C51" s="47"/>
      <c r="D51" s="47"/>
      <c r="E51" s="47"/>
      <c r="F51" s="47"/>
      <c r="G51" s="47"/>
      <c r="H51" s="47"/>
      <c r="I51" s="47"/>
      <c r="J51" s="47"/>
      <c r="K51" s="48"/>
    </row>
    <row r="52" spans="1:21" s="48" customFormat="1" ht="31.5" customHeight="1" thickBot="1" x14ac:dyDescent="0.25">
      <c r="A52" s="1331" t="s">
        <v>40</v>
      </c>
      <c r="B52" s="1332"/>
      <c r="C52" s="1332"/>
      <c r="D52" s="1332"/>
      <c r="E52" s="1332"/>
      <c r="F52" s="1332"/>
      <c r="G52" s="1332"/>
      <c r="H52" s="1332"/>
      <c r="I52" s="1332"/>
      <c r="J52" s="1333"/>
    </row>
    <row r="53" spans="1:21" s="48" customFormat="1" ht="31.5" customHeight="1" x14ac:dyDescent="0.35">
      <c r="A53" s="47"/>
      <c r="B53" s="68" t="s">
        <v>41</v>
      </c>
      <c r="C53" s="69"/>
      <c r="D53" s="1345" t="s">
        <v>74</v>
      </c>
      <c r="E53" s="1345"/>
      <c r="F53" s="70" t="s">
        <v>42</v>
      </c>
      <c r="G53" s="71" t="s">
        <v>43</v>
      </c>
      <c r="H53" s="1346" t="s">
        <v>44</v>
      </c>
      <c r="I53" s="1347"/>
      <c r="J53" s="47"/>
    </row>
    <row r="54" spans="1:21" s="48" customFormat="1" ht="31.5" customHeight="1" thickBot="1" x14ac:dyDescent="0.25">
      <c r="A54" s="47"/>
      <c r="B54" s="72" t="e">
        <f>+C43</f>
        <v>#DIV/0!</v>
      </c>
      <c r="C54" s="73" t="s">
        <v>1</v>
      </c>
      <c r="D54" s="74" t="e">
        <f>+C10+C11/1000</f>
        <v>#N/A</v>
      </c>
      <c r="E54" s="73" t="s">
        <v>1</v>
      </c>
      <c r="F54" s="939" t="e">
        <f>+(I48-I50)*(1/H10-1/C13)</f>
        <v>#DIV/0!</v>
      </c>
      <c r="G54" s="75"/>
      <c r="H54" s="938" t="e">
        <f>+(B54+D54*F54)*1000</f>
        <v>#DIV/0!</v>
      </c>
      <c r="I54" s="66" t="s">
        <v>3</v>
      </c>
      <c r="J54" s="47"/>
      <c r="K54" s="46"/>
    </row>
    <row r="55" spans="1:21" s="46" customFormat="1" ht="15" customHeight="1" x14ac:dyDescent="0.2">
      <c r="A55" s="47"/>
      <c r="B55" s="47"/>
      <c r="C55" s="47"/>
      <c r="D55" s="47"/>
      <c r="E55" s="47"/>
      <c r="F55" s="47"/>
      <c r="G55" s="47"/>
      <c r="H55" s="47"/>
      <c r="I55" s="47"/>
      <c r="J55" s="47"/>
      <c r="K55" s="48"/>
    </row>
    <row r="56" spans="1:21" s="48" customFormat="1" ht="31.5" customHeight="1" x14ac:dyDescent="0.2">
      <c r="A56" s="1348" t="s">
        <v>45</v>
      </c>
      <c r="B56" s="1349"/>
      <c r="C56" s="1349"/>
      <c r="D56" s="1349"/>
      <c r="E56" s="1349"/>
      <c r="F56" s="1349"/>
      <c r="G56" s="1349"/>
      <c r="H56" s="1349"/>
      <c r="I56" s="1349"/>
      <c r="J56" s="1349"/>
      <c r="K56" s="46"/>
    </row>
    <row r="57" spans="1:21" s="46" customFormat="1" ht="15" customHeight="1" thickBot="1" x14ac:dyDescent="0.25">
      <c r="A57" s="47"/>
      <c r="B57" s="47"/>
      <c r="C57" s="47"/>
      <c r="D57" s="47"/>
      <c r="E57" s="47"/>
      <c r="K57" s="48"/>
    </row>
    <row r="58" spans="1:21" s="48" customFormat="1" ht="31.5" customHeight="1" thickBot="1" x14ac:dyDescent="0.25">
      <c r="A58" s="1350" t="s">
        <v>38</v>
      </c>
      <c r="B58" s="1351"/>
      <c r="C58" s="1352" t="s">
        <v>46</v>
      </c>
      <c r="D58" s="1353"/>
      <c r="E58" s="1354" t="s">
        <v>238</v>
      </c>
      <c r="F58" s="1379"/>
      <c r="G58" s="1061" t="s">
        <v>553</v>
      </c>
      <c r="J58" s="114"/>
      <c r="L58" s="46"/>
      <c r="Q58" s="47"/>
      <c r="R58" s="47"/>
      <c r="S58" s="47"/>
      <c r="T58" s="47"/>
      <c r="U58" s="47"/>
    </row>
    <row r="59" spans="1:21" s="48" customFormat="1" ht="57.95" customHeight="1" thickBot="1" x14ac:dyDescent="0.25">
      <c r="A59" s="1024" t="s">
        <v>47</v>
      </c>
      <c r="B59" s="1025"/>
      <c r="C59" s="1026" t="e">
        <f>+C44/B26^0.5*1000</f>
        <v>#DIV/0!</v>
      </c>
      <c r="D59" s="1017" t="s">
        <v>3</v>
      </c>
      <c r="E59" s="1027" t="s">
        <v>240</v>
      </c>
      <c r="F59" s="139">
        <f>$B$26-1</f>
        <v>3</v>
      </c>
      <c r="G59" s="1111" t="e">
        <f>(C59/$G$70)^2</f>
        <v>#DIV/0!</v>
      </c>
      <c r="H59" s="47"/>
      <c r="K59" s="156">
        <v>0.3</v>
      </c>
      <c r="L59" s="157">
        <v>1.65</v>
      </c>
      <c r="M59" s="113"/>
    </row>
    <row r="60" spans="1:21" s="48" customFormat="1" ht="57.95" customHeight="1" thickBot="1" x14ac:dyDescent="0.25">
      <c r="A60" s="1019" t="s">
        <v>343</v>
      </c>
      <c r="B60" s="1020" t="s">
        <v>48</v>
      </c>
      <c r="C60" s="1021" t="e">
        <f>+C12/2</f>
        <v>#N/A</v>
      </c>
      <c r="D60" s="1022" t="s">
        <v>3</v>
      </c>
      <c r="E60" s="1023" t="s">
        <v>239</v>
      </c>
      <c r="F60" s="146" t="s">
        <v>265</v>
      </c>
      <c r="G60" s="1112"/>
      <c r="H60" s="1380" t="s">
        <v>241</v>
      </c>
      <c r="I60" s="1356"/>
      <c r="J60" s="1356"/>
      <c r="K60" s="1356"/>
      <c r="L60" s="1356"/>
      <c r="M60" s="1357"/>
    </row>
    <row r="61" spans="1:21" s="48" customFormat="1" ht="57.95" customHeight="1" thickBot="1" x14ac:dyDescent="0.25">
      <c r="A61" s="1028" t="s">
        <v>344</v>
      </c>
      <c r="B61" s="1029"/>
      <c r="C61" s="1030" t="e">
        <f>+C12/3^0.5</f>
        <v>#N/A</v>
      </c>
      <c r="D61" s="1031" t="s">
        <v>3</v>
      </c>
      <c r="E61" s="1032" t="s">
        <v>239</v>
      </c>
      <c r="F61" s="147" t="s">
        <v>265</v>
      </c>
      <c r="G61" s="1112"/>
      <c r="H61" s="132" t="s">
        <v>243</v>
      </c>
      <c r="I61" s="149" t="e">
        <f>MAX(C59:C62,C66:C67,C68)</f>
        <v>#DIV/0!</v>
      </c>
      <c r="J61" s="151" t="e">
        <f>IF((I62)&lt;=(K59),"1,65","2")</f>
        <v>#DIV/0!</v>
      </c>
      <c r="K61" s="152" t="s">
        <v>242</v>
      </c>
      <c r="L61" s="153" t="s">
        <v>237</v>
      </c>
      <c r="M61" s="360" t="s">
        <v>328</v>
      </c>
    </row>
    <row r="62" spans="1:21" s="48" customFormat="1" ht="57.95" customHeight="1" thickBot="1" x14ac:dyDescent="0.3">
      <c r="A62" s="1024" t="s">
        <v>49</v>
      </c>
      <c r="B62" s="1035"/>
      <c r="C62" s="1036" t="e">
        <f>+SQRT(SUMSQ(C60:C61))</f>
        <v>#N/A</v>
      </c>
      <c r="D62" s="1017" t="s">
        <v>3</v>
      </c>
      <c r="E62" s="1037" t="s">
        <v>240</v>
      </c>
      <c r="F62" s="139">
        <v>200</v>
      </c>
      <c r="G62" s="1112" t="e">
        <f t="shared" ref="G62:G68" si="0">(C62/$G$70)^2</f>
        <v>#N/A</v>
      </c>
      <c r="H62" s="133" t="s">
        <v>244</v>
      </c>
      <c r="I62" s="150" t="e">
        <f>SQRT((C59)^2+(C66)^2+(C67)^2+(C68)^2)/I61</f>
        <v>#DIV/0!</v>
      </c>
      <c r="J62" s="126"/>
      <c r="K62" s="154" t="s">
        <v>242</v>
      </c>
      <c r="L62" s="155" t="s">
        <v>252</v>
      </c>
      <c r="M62" s="361" t="s">
        <v>329</v>
      </c>
    </row>
    <row r="63" spans="1:21" s="48" customFormat="1" ht="57.95" customHeight="1" x14ac:dyDescent="0.2">
      <c r="A63" s="1019" t="s">
        <v>345</v>
      </c>
      <c r="B63" s="1020"/>
      <c r="C63" s="1033" t="e">
        <f>+I49</f>
        <v>#DIV/0!</v>
      </c>
      <c r="D63" s="1021" t="s">
        <v>73</v>
      </c>
      <c r="E63" s="1034" t="s">
        <v>239</v>
      </c>
      <c r="F63" s="146" t="s">
        <v>265</v>
      </c>
      <c r="G63" s="1112"/>
      <c r="L63" s="46"/>
      <c r="T63" s="46"/>
      <c r="U63" s="46"/>
    </row>
    <row r="64" spans="1:21" s="48" customFormat="1" ht="57.95" customHeight="1" x14ac:dyDescent="0.2">
      <c r="A64" s="426" t="s">
        <v>50</v>
      </c>
      <c r="B64" s="1018"/>
      <c r="C64" s="425" t="e">
        <f>+H11/2</f>
        <v>#N/A</v>
      </c>
      <c r="D64" s="424" t="s">
        <v>73</v>
      </c>
      <c r="E64" s="423" t="s">
        <v>239</v>
      </c>
      <c r="F64" s="148" t="s">
        <v>265</v>
      </c>
      <c r="G64" s="1112"/>
      <c r="H64" s="130"/>
      <c r="J64" s="130"/>
      <c r="K64" s="130"/>
      <c r="L64" s="130"/>
      <c r="M64" s="130"/>
      <c r="Q64" s="47"/>
      <c r="R64" s="47"/>
      <c r="S64" s="47"/>
      <c r="T64" s="47"/>
      <c r="U64" s="47"/>
    </row>
    <row r="65" spans="1:21" s="48" customFormat="1" ht="57.95" customHeight="1" thickBot="1" x14ac:dyDescent="0.25">
      <c r="A65" s="1028" t="s">
        <v>346</v>
      </c>
      <c r="B65" s="1038"/>
      <c r="C65" s="1039" t="e">
        <f>+C14/2</f>
        <v>#N/A</v>
      </c>
      <c r="D65" s="1031" t="s">
        <v>73</v>
      </c>
      <c r="E65" s="1040" t="s">
        <v>239</v>
      </c>
      <c r="F65" s="147" t="s">
        <v>265</v>
      </c>
      <c r="G65" s="1112"/>
      <c r="H65" s="130"/>
      <c r="I65" s="130"/>
      <c r="J65" s="130"/>
      <c r="K65" s="130"/>
      <c r="L65" s="130"/>
      <c r="M65" s="130"/>
      <c r="Q65" s="46"/>
      <c r="R65" s="46"/>
      <c r="S65" s="46"/>
      <c r="T65" s="46"/>
      <c r="U65" s="46"/>
    </row>
    <row r="66" spans="1:21" s="48" customFormat="1" ht="57.95" customHeight="1" thickBot="1" x14ac:dyDescent="0.3">
      <c r="A66" s="1024" t="s">
        <v>347</v>
      </c>
      <c r="B66" s="1035"/>
      <c r="C66" s="1036" t="e">
        <f>+SQRT(ABS(((C10/1000+C11/1000000)*(C13-H10)/(C13*H10)*C63)^2+((C10/1000+C11/1000000)*(I48-I50))^2*C64^2/H10^4+(C10/1000+C11/1000000)^2*(I48-I50)*((I48-I50)-2*(C15-I50))*C65^2/C13^4))*1000000</f>
        <v>#N/A</v>
      </c>
      <c r="D66" s="1051" t="s">
        <v>3</v>
      </c>
      <c r="E66" s="1037" t="s">
        <v>240</v>
      </c>
      <c r="F66" s="139">
        <v>200</v>
      </c>
      <c r="G66" s="1112" t="e">
        <f t="shared" si="0"/>
        <v>#N/A</v>
      </c>
      <c r="H66" s="130"/>
      <c r="I66" s="1093" t="s">
        <v>554</v>
      </c>
      <c r="J66" s="1095" t="s">
        <v>556</v>
      </c>
      <c r="K66" s="1094" t="s">
        <v>555</v>
      </c>
      <c r="L66" s="130"/>
      <c r="M66" s="130"/>
      <c r="Q66" s="47"/>
      <c r="R66" s="47"/>
      <c r="S66" s="47"/>
      <c r="T66" s="47"/>
      <c r="U66" s="47"/>
    </row>
    <row r="67" spans="1:21" s="48" customFormat="1" ht="57.95" customHeight="1" thickBot="1" x14ac:dyDescent="0.3">
      <c r="A67" s="1047" t="s">
        <v>52</v>
      </c>
      <c r="B67" s="1048"/>
      <c r="C67" s="1049" t="e">
        <f>+(G15/2/3^0.5)*2^0.5*1000</f>
        <v>#N/A</v>
      </c>
      <c r="D67" s="1044" t="s">
        <v>3</v>
      </c>
      <c r="E67" s="1045" t="s">
        <v>239</v>
      </c>
      <c r="F67" s="1050">
        <v>200</v>
      </c>
      <c r="G67" s="1112" t="e">
        <f t="shared" si="0"/>
        <v>#N/A</v>
      </c>
      <c r="H67" s="130"/>
      <c r="I67" s="1096" t="e">
        <f>G70^4/((C59^4/F59)+(C62^4/F62)+(C66^4/F66)+(C67^4/F67)+(C68^4/F68))</f>
        <v>#DIV/0!</v>
      </c>
      <c r="J67" s="1097" t="e">
        <f>TINV(0.05,I67)</f>
        <v>#DIV/0!</v>
      </c>
      <c r="K67" s="1098" t="e">
        <f>1-TDIST(J67,I67,2)</f>
        <v>#DIV/0!</v>
      </c>
      <c r="L67" s="130"/>
      <c r="M67" s="130"/>
    </row>
    <row r="68" spans="1:21" s="46" customFormat="1" ht="65.25" customHeight="1" thickBot="1" x14ac:dyDescent="0.3">
      <c r="A68" s="1041" t="s">
        <v>552</v>
      </c>
      <c r="B68" s="1042"/>
      <c r="C68" s="1043">
        <f>0.01/SQRT(45)</f>
        <v>1.4907119849998597E-3</v>
      </c>
      <c r="D68" s="1044" t="s">
        <v>3</v>
      </c>
      <c r="E68" s="1045" t="s">
        <v>240</v>
      </c>
      <c r="F68" s="1046">
        <v>50</v>
      </c>
      <c r="G68" s="1113" t="e">
        <f t="shared" si="0"/>
        <v>#DIV/0!</v>
      </c>
      <c r="H68" s="130"/>
      <c r="I68" s="130"/>
      <c r="J68" s="130"/>
      <c r="K68" s="130"/>
      <c r="L68" s="130"/>
      <c r="M68" s="130"/>
      <c r="S68" s="48"/>
      <c r="T68" s="48"/>
      <c r="U68" s="48"/>
    </row>
    <row r="69" spans="1:21" s="46" customFormat="1" ht="65.25" customHeight="1" thickBot="1" x14ac:dyDescent="0.25">
      <c r="A69" s="130"/>
      <c r="B69" s="130"/>
      <c r="C69" s="130"/>
      <c r="D69" s="130"/>
      <c r="E69" s="130"/>
      <c r="F69" s="130"/>
      <c r="G69" s="1114" t="e">
        <f>SUM(G59,G62,G66,G67,G68)</f>
        <v>#DIV/0!</v>
      </c>
      <c r="H69" s="130"/>
      <c r="I69" s="130"/>
      <c r="J69" s="130"/>
      <c r="K69" s="130"/>
      <c r="L69" s="130"/>
      <c r="M69" s="130"/>
      <c r="S69" s="48"/>
      <c r="T69" s="48"/>
      <c r="U69" s="48"/>
    </row>
    <row r="70" spans="1:21" s="106" customFormat="1" ht="51.75" customHeight="1" thickBot="1" x14ac:dyDescent="0.3">
      <c r="D70" s="1306" t="s">
        <v>51</v>
      </c>
      <c r="E70" s="1307"/>
      <c r="F70" s="134"/>
      <c r="G70" s="140" t="e">
        <f>+SQRT(SUMSQ(C59,C62,C66,C67,C68))</f>
        <v>#DIV/0!</v>
      </c>
      <c r="H70" s="136" t="s">
        <v>3</v>
      </c>
      <c r="K70" s="130"/>
      <c r="L70" s="130"/>
      <c r="M70" s="130"/>
      <c r="S70" s="48"/>
      <c r="T70" s="48"/>
      <c r="U70" s="48"/>
    </row>
    <row r="71" spans="1:21" s="106" customFormat="1" ht="35.1" customHeight="1" thickBot="1" x14ac:dyDescent="0.25">
      <c r="D71" s="1306" t="s">
        <v>53</v>
      </c>
      <c r="E71" s="1307"/>
      <c r="F71" s="135"/>
      <c r="G71" s="140" t="e">
        <f>+G70*2</f>
        <v>#DIV/0!</v>
      </c>
      <c r="H71" s="137" t="s">
        <v>3</v>
      </c>
      <c r="K71" s="110"/>
      <c r="L71" s="107"/>
      <c r="O71" s="48"/>
      <c r="P71" s="48"/>
      <c r="Q71" s="48"/>
      <c r="R71" s="48"/>
      <c r="S71" s="48"/>
      <c r="T71" s="48"/>
      <c r="U71" s="48"/>
    </row>
    <row r="72" spans="1:21" s="106" customFormat="1" ht="33.75" customHeight="1" thickBot="1" x14ac:dyDescent="4.45">
      <c r="B72" s="1313" t="s">
        <v>54</v>
      </c>
      <c r="C72" s="1314"/>
      <c r="D72" s="1314"/>
      <c r="E72" s="1314"/>
      <c r="F72" s="1314"/>
      <c r="G72" s="1314"/>
      <c r="H72" s="1314"/>
      <c r="I72" s="1314"/>
      <c r="J72" s="1314"/>
      <c r="K72" s="1315"/>
      <c r="L72" s="117"/>
      <c r="O72" s="48"/>
      <c r="P72" s="48"/>
      <c r="Q72" s="48"/>
      <c r="R72" s="48"/>
      <c r="S72" s="48"/>
      <c r="T72" s="48"/>
      <c r="U72" s="48"/>
    </row>
    <row r="73" spans="1:21" s="106" customFormat="1" ht="35.1" customHeight="1" thickBot="1" x14ac:dyDescent="0.25">
      <c r="B73" s="1368" t="s">
        <v>255</v>
      </c>
      <c r="C73" s="1369"/>
      <c r="D73" s="1369"/>
      <c r="E73" s="1370"/>
      <c r="F73" s="79"/>
      <c r="G73" s="80"/>
      <c r="H73" s="1371"/>
      <c r="I73" s="1372"/>
      <c r="J73" s="1372"/>
      <c r="K73" s="1373"/>
      <c r="O73" s="48"/>
      <c r="P73" s="48"/>
      <c r="Q73" s="48"/>
      <c r="R73" s="48"/>
      <c r="S73" s="48"/>
      <c r="T73" s="48"/>
      <c r="U73" s="48"/>
    </row>
    <row r="74" spans="1:21" s="106" customFormat="1" ht="40.5" customHeight="1" x14ac:dyDescent="0.2">
      <c r="B74" s="118"/>
      <c r="C74" s="362" t="s">
        <v>348</v>
      </c>
      <c r="D74" s="119" t="s">
        <v>253</v>
      </c>
      <c r="E74" s="120"/>
      <c r="F74" s="1358"/>
      <c r="G74" s="1358"/>
      <c r="H74" s="1359" t="s">
        <v>266</v>
      </c>
      <c r="I74" s="1381" t="s">
        <v>254</v>
      </c>
      <c r="J74" s="1381"/>
      <c r="K74" s="1382"/>
      <c r="O74" s="48"/>
      <c r="P74" s="48"/>
      <c r="Q74" s="48"/>
      <c r="R74" s="48"/>
      <c r="S74" s="48"/>
      <c r="T74" s="48"/>
      <c r="U74" s="48"/>
    </row>
    <row r="75" spans="1:21" s="106" customFormat="1" ht="35.1" customHeight="1" x14ac:dyDescent="0.2">
      <c r="B75" s="927" t="e">
        <f>C10</f>
        <v>#N/A</v>
      </c>
      <c r="C75" s="77" t="e">
        <f>C11</f>
        <v>#N/A</v>
      </c>
      <c r="D75" s="78" t="e">
        <f>H54</f>
        <v>#DIV/0!</v>
      </c>
      <c r="E75" s="940" t="e">
        <f>B75+(C75/1000)+(D75/1000)</f>
        <v>#N/A</v>
      </c>
      <c r="F75" s="264" t="e">
        <f>E75*1000-B75*1000</f>
        <v>#N/A</v>
      </c>
      <c r="G75" s="61"/>
      <c r="H75" s="1360"/>
      <c r="I75" s="285" t="e">
        <f>G71</f>
        <v>#DIV/0!</v>
      </c>
      <c r="J75" s="1364"/>
      <c r="K75" s="1365"/>
      <c r="O75" s="48"/>
      <c r="P75" s="48"/>
      <c r="Q75" s="48"/>
      <c r="R75" s="48"/>
      <c r="S75" s="48"/>
      <c r="T75" s="48"/>
      <c r="U75" s="48"/>
    </row>
    <row r="76" spans="1:21" s="106" customFormat="1" ht="35.1" customHeight="1" thickBot="1" x14ac:dyDescent="0.25">
      <c r="B76" s="928" t="e">
        <f>B75</f>
        <v>#N/A</v>
      </c>
      <c r="C76" s="88" t="e">
        <f>C75</f>
        <v>#N/A</v>
      </c>
      <c r="D76" s="88" t="e">
        <f>D75</f>
        <v>#DIV/0!</v>
      </c>
      <c r="E76" s="262" t="e">
        <f>B76+(C76/1000)+(D76/1000)</f>
        <v>#N/A</v>
      </c>
      <c r="F76" s="227" t="e">
        <f>F75/1000</f>
        <v>#N/A</v>
      </c>
      <c r="G76" s="89"/>
      <c r="H76" s="1361"/>
      <c r="I76" s="226" t="e">
        <f>I75/1000</f>
        <v>#DIV/0!</v>
      </c>
      <c r="J76" s="1366"/>
      <c r="K76" s="1367"/>
      <c r="O76" s="48"/>
      <c r="P76" s="48"/>
      <c r="Q76" s="48"/>
      <c r="R76" s="48"/>
      <c r="S76" s="48"/>
      <c r="T76" s="48"/>
      <c r="U76" s="48"/>
    </row>
    <row r="77" spans="1:21" s="106" customFormat="1" ht="35.1" customHeight="1" x14ac:dyDescent="0.2">
      <c r="G77" s="47"/>
      <c r="H77" s="47"/>
      <c r="I77" s="47"/>
      <c r="J77" s="47"/>
      <c r="O77" s="48"/>
      <c r="P77" s="48"/>
      <c r="Q77" s="48"/>
      <c r="R77" s="48"/>
      <c r="S77" s="48"/>
      <c r="T77" s="48"/>
      <c r="U77" s="48"/>
    </row>
    <row r="78" spans="1:21" s="106" customFormat="1" ht="35.1" customHeight="1" x14ac:dyDescent="0.2">
      <c r="G78" s="47"/>
      <c r="H78" s="47"/>
      <c r="I78" s="47"/>
      <c r="J78" s="47"/>
      <c r="O78" s="48"/>
      <c r="P78" s="48"/>
      <c r="Q78" s="48"/>
      <c r="R78" s="48"/>
      <c r="S78" s="48"/>
      <c r="T78" s="48"/>
      <c r="U78" s="48"/>
    </row>
    <row r="79" spans="1:21" s="106" customFormat="1" ht="35.1" customHeight="1" x14ac:dyDescent="0.2">
      <c r="G79" s="47"/>
      <c r="H79" s="47"/>
      <c r="I79" s="47"/>
      <c r="J79" s="47"/>
    </row>
    <row r="80" spans="1:21" s="107" customFormat="1" ht="9.9499999999999993" customHeight="1" x14ac:dyDescent="0.2">
      <c r="A80" s="109"/>
      <c r="B80" s="106"/>
      <c r="C80" s="106"/>
      <c r="D80" s="106"/>
      <c r="E80" s="106"/>
      <c r="F80" s="106"/>
      <c r="G80" s="47"/>
      <c r="H80" s="47"/>
    </row>
    <row r="81" spans="2:11" s="111" customFormat="1" ht="35.1" customHeight="1" x14ac:dyDescent="0.2">
      <c r="B81" s="106"/>
      <c r="C81" s="106"/>
      <c r="D81" s="106"/>
      <c r="E81" s="106"/>
      <c r="F81" s="106"/>
      <c r="G81" s="47"/>
      <c r="H81" s="47"/>
    </row>
    <row r="82" spans="2:11" s="106" customFormat="1" ht="61.5" customHeight="1" x14ac:dyDescent="0.2">
      <c r="H82" s="111"/>
      <c r="I82" s="111"/>
      <c r="J82" s="111"/>
      <c r="K82" s="108"/>
    </row>
    <row r="83" spans="2:11" s="106" customFormat="1" ht="35.1" customHeight="1" x14ac:dyDescent="0.2">
      <c r="G83" s="111"/>
      <c r="H83" s="111"/>
      <c r="I83" s="111"/>
      <c r="J83" s="111"/>
      <c r="K83" s="108"/>
    </row>
    <row r="84" spans="2:11" s="106" customFormat="1" ht="35.1" customHeight="1" x14ac:dyDescent="0.2">
      <c r="G84" s="111"/>
      <c r="H84" s="111"/>
      <c r="I84" s="111"/>
      <c r="J84" s="111"/>
      <c r="K84" s="108"/>
    </row>
    <row r="85" spans="2:11" s="106" customFormat="1" ht="35.1" customHeight="1" x14ac:dyDescent="0.2">
      <c r="F85" s="107"/>
      <c r="K85" s="108"/>
    </row>
    <row r="86" spans="2:11" s="106" customFormat="1" ht="50.1" customHeight="1" x14ac:dyDescent="0.2"/>
    <row r="87" spans="2:11" s="106" customFormat="1" ht="57.75" customHeight="1" x14ac:dyDescent="0.2">
      <c r="C87" s="112"/>
      <c r="D87" s="112"/>
      <c r="E87" s="112"/>
    </row>
    <row r="88" spans="2:11" s="106" customFormat="1" ht="35.1" customHeight="1" x14ac:dyDescent="0.2"/>
    <row r="89" spans="2:11" s="106" customFormat="1" ht="35.1" customHeight="1" x14ac:dyDescent="0.2">
      <c r="F89" s="108"/>
      <c r="G89" s="108"/>
      <c r="H89" s="108"/>
      <c r="I89" s="108"/>
      <c r="J89" s="108"/>
    </row>
    <row r="90" spans="2:11" s="106" customFormat="1" ht="35.1" customHeight="1" x14ac:dyDescent="0.2"/>
    <row r="91" spans="2:11" s="106" customFormat="1" ht="50.1" customHeight="1" x14ac:dyDescent="0.2">
      <c r="J91" s="47"/>
    </row>
    <row r="92" spans="2:11" s="106" customFormat="1" ht="55.5" customHeight="1" x14ac:dyDescent="0.2">
      <c r="J92" s="111"/>
    </row>
    <row r="93" spans="2:11" s="106" customFormat="1" ht="50.1" customHeight="1" x14ac:dyDescent="0.2">
      <c r="J93" s="111"/>
    </row>
    <row r="94" spans="2:11" s="107" customFormat="1" ht="31.5" customHeight="1" x14ac:dyDescent="0.2">
      <c r="J94" s="111"/>
    </row>
    <row r="95" spans="2:11" s="106" customFormat="1" ht="35.1" customHeight="1" x14ac:dyDescent="0.2">
      <c r="G95" s="111"/>
      <c r="H95" s="111"/>
      <c r="I95" s="111"/>
      <c r="J95" s="111"/>
    </row>
    <row r="96" spans="2:11" s="106" customFormat="1" ht="35.1" customHeight="1" x14ac:dyDescent="0.2">
      <c r="G96" s="111"/>
      <c r="H96" s="111"/>
      <c r="I96" s="111"/>
      <c r="J96" s="111"/>
    </row>
    <row r="97" spans="1:12" s="106" customFormat="1" ht="9.9499999999999993" customHeight="1" x14ac:dyDescent="0.2">
      <c r="G97" s="108"/>
      <c r="H97" s="108"/>
      <c r="I97" s="108"/>
      <c r="J97" s="108"/>
    </row>
    <row r="98" spans="1:12" s="106" customFormat="1" ht="35.1" customHeight="1" x14ac:dyDescent="0.2">
      <c r="J98" s="108"/>
      <c r="K98" s="108"/>
      <c r="L98" s="108"/>
    </row>
    <row r="99" spans="1:12" s="46" customFormat="1" ht="15" customHeight="1" x14ac:dyDescent="0.2">
      <c r="A99" s="47"/>
      <c r="G99" s="47"/>
      <c r="H99" s="47"/>
      <c r="I99" s="47"/>
      <c r="J99" s="47"/>
      <c r="K99" s="48"/>
    </row>
    <row r="100" spans="1:12" s="48" customFormat="1" ht="31.5" customHeight="1" x14ac:dyDescent="0.2">
      <c r="A100" s="47"/>
      <c r="B100" s="47"/>
      <c r="C100" s="47"/>
      <c r="D100" s="47"/>
      <c r="E100" s="47"/>
      <c r="F100" s="47"/>
      <c r="G100" s="47"/>
      <c r="H100" s="47"/>
      <c r="I100" s="47"/>
      <c r="J100" s="47"/>
    </row>
    <row r="101" spans="1:12" s="48" customFormat="1" ht="31.5" customHeight="1" x14ac:dyDescent="0.2"/>
    <row r="102" spans="1:12" s="48" customFormat="1" ht="31.5" customHeight="1" x14ac:dyDescent="0.2"/>
    <row r="103" spans="1:12" s="48" customFormat="1" ht="52.5" customHeight="1" x14ac:dyDescent="0.2"/>
    <row r="104" spans="1:12" s="48" customFormat="1" ht="31.5" customHeight="1" x14ac:dyDescent="0.2">
      <c r="K104" s="8"/>
    </row>
    <row r="105" spans="1:12" s="48" customFormat="1" ht="31.5" customHeight="1" x14ac:dyDescent="0.2">
      <c r="K105" s="8"/>
    </row>
    <row r="106" spans="1:12" ht="31.5" customHeight="1" x14ac:dyDescent="0.2">
      <c r="G106" s="76"/>
    </row>
    <row r="107" spans="1:12" ht="51" customHeight="1" x14ac:dyDescent="0.2"/>
    <row r="109" spans="1:12" ht="31.5" customHeight="1" x14ac:dyDescent="0.2">
      <c r="B109" s="29"/>
      <c r="C109" s="29"/>
      <c r="D109" s="29"/>
      <c r="E109" s="29"/>
      <c r="F109" s="29"/>
      <c r="G109" s="29"/>
      <c r="H109" s="29"/>
      <c r="I109" s="29"/>
      <c r="J109" s="29"/>
    </row>
    <row r="110" spans="1:12" ht="31.5" customHeight="1" x14ac:dyDescent="0.2">
      <c r="B110" s="29"/>
      <c r="C110" s="29"/>
      <c r="D110" s="29"/>
      <c r="E110" s="29"/>
      <c r="F110" s="29"/>
      <c r="G110" s="29"/>
      <c r="H110" s="29"/>
      <c r="I110" s="29"/>
      <c r="J110" s="29"/>
    </row>
    <row r="111" spans="1:12" ht="31.5" customHeight="1" x14ac:dyDescent="0.2">
      <c r="B111" s="29"/>
      <c r="C111" s="29"/>
      <c r="D111" s="29"/>
      <c r="E111" s="29"/>
      <c r="F111" s="29"/>
      <c r="G111" s="29"/>
      <c r="H111" s="29"/>
      <c r="I111" s="29"/>
      <c r="J111" s="29"/>
    </row>
    <row r="112" spans="1:12" ht="31.5" customHeight="1" x14ac:dyDescent="0.2">
      <c r="B112" s="29"/>
      <c r="C112" s="29"/>
      <c r="D112" s="29"/>
      <c r="E112" s="29"/>
      <c r="F112" s="29"/>
      <c r="G112" s="29"/>
      <c r="H112" s="29"/>
      <c r="I112" s="29"/>
      <c r="J112" s="29"/>
    </row>
    <row r="113" spans="2:10" ht="31.5" customHeight="1" x14ac:dyDescent="0.2">
      <c r="B113" s="29"/>
      <c r="C113" s="29"/>
      <c r="D113" s="29"/>
      <c r="E113" s="29"/>
      <c r="F113" s="29"/>
      <c r="G113" s="29"/>
      <c r="H113" s="29"/>
      <c r="I113" s="29"/>
      <c r="J113" s="29"/>
    </row>
    <row r="114" spans="2:10" ht="31.5" customHeight="1" x14ac:dyDescent="0.2">
      <c r="B114" s="29"/>
      <c r="C114" s="29"/>
      <c r="D114" s="29"/>
      <c r="E114" s="29"/>
      <c r="F114" s="29"/>
      <c r="G114" s="29"/>
      <c r="H114" s="29"/>
      <c r="I114" s="29"/>
      <c r="J114" s="29"/>
    </row>
    <row r="115" spans="2:10" ht="31.5" customHeight="1" x14ac:dyDescent="0.2">
      <c r="B115" s="29"/>
      <c r="C115" s="29"/>
      <c r="D115" s="29"/>
      <c r="E115" s="29"/>
      <c r="F115" s="29"/>
      <c r="G115" s="29"/>
      <c r="H115" s="29"/>
      <c r="I115" s="29"/>
      <c r="J115" s="29"/>
    </row>
  </sheetData>
  <sheetProtection password="CF5C" sheet="1" objects="1" scenarios="1"/>
  <mergeCells count="62">
    <mergeCell ref="D70:E70"/>
    <mergeCell ref="D71:E71"/>
    <mergeCell ref="B72:K72"/>
    <mergeCell ref="B73:E73"/>
    <mergeCell ref="H73:K73"/>
    <mergeCell ref="F74:G74"/>
    <mergeCell ref="H74:H76"/>
    <mergeCell ref="I74:K74"/>
    <mergeCell ref="J75:K75"/>
    <mergeCell ref="J76:K76"/>
    <mergeCell ref="A56:J56"/>
    <mergeCell ref="A58:B58"/>
    <mergeCell ref="C58:D58"/>
    <mergeCell ref="E58:F58"/>
    <mergeCell ref="H60:M60"/>
    <mergeCell ref="A50:B50"/>
    <mergeCell ref="G50:H50"/>
    <mergeCell ref="A52:J52"/>
    <mergeCell ref="D53:E53"/>
    <mergeCell ref="H53:I53"/>
    <mergeCell ref="A49:B49"/>
    <mergeCell ref="G49:H49"/>
    <mergeCell ref="A28:A31"/>
    <mergeCell ref="C33:D33"/>
    <mergeCell ref="F33:G33"/>
    <mergeCell ref="A36:J36"/>
    <mergeCell ref="B38:F38"/>
    <mergeCell ref="H38:J38"/>
    <mergeCell ref="H39:J42"/>
    <mergeCell ref="A46:J46"/>
    <mergeCell ref="A47:B48"/>
    <mergeCell ref="C47:E47"/>
    <mergeCell ref="G48:H48"/>
    <mergeCell ref="A27:B27"/>
    <mergeCell ref="G27:H27"/>
    <mergeCell ref="A14:B14"/>
    <mergeCell ref="A15:B15"/>
    <mergeCell ref="A16:B16"/>
    <mergeCell ref="C16:D16"/>
    <mergeCell ref="A18:J18"/>
    <mergeCell ref="F19:G19"/>
    <mergeCell ref="J19:J20"/>
    <mergeCell ref="A20:B20"/>
    <mergeCell ref="E20:F20"/>
    <mergeCell ref="A22:J22"/>
    <mergeCell ref="C24:D24"/>
    <mergeCell ref="F24:G24"/>
    <mergeCell ref="C26:F26"/>
    <mergeCell ref="G26:H26"/>
    <mergeCell ref="A13:B13"/>
    <mergeCell ref="F13:I13"/>
    <mergeCell ref="A1:B1"/>
    <mergeCell ref="C1:M1"/>
    <mergeCell ref="I3:J4"/>
    <mergeCell ref="A6:D6"/>
    <mergeCell ref="F6:I6"/>
    <mergeCell ref="F9:G9"/>
    <mergeCell ref="A10:B10"/>
    <mergeCell ref="F10:G10"/>
    <mergeCell ref="A11:B11"/>
    <mergeCell ref="F11:G11"/>
    <mergeCell ref="A12:B12"/>
  </mergeCells>
  <printOptions horizontalCentered="1"/>
  <pageMargins left="0.70866141732283472" right="0.70866141732283472" top="0.74803149606299213" bottom="0.74803149606299213" header="0.31496062992125984" footer="0.31496062992125984"/>
  <pageSetup scale="13" orientation="portrait" r:id="rId1"/>
  <headerFooter>
    <oddHeader xml:space="preserve">&amp;C
&amp;16   
</oddHeader>
    <oddFooter xml:space="preserve">&amp;RRT03-F13 Vr.14 (2021-05-21)
</oddFooter>
  </headerFooter>
  <rowBreaks count="1" manualBreakCount="1">
    <brk id="34" max="12" man="1"/>
  </rowBreaks>
  <drawing r:id="rId2"/>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0300-000000000000}">
          <x14:formula1>
            <xm:f>'DATOS %'!$B$7:$B$40</xm:f>
          </x14:formula1>
          <xm:sqref>I3:J4</xm:sqref>
        </x14:dataValidation>
        <x14:dataValidation type="list" allowBlank="1" showInputMessage="1" showErrorMessage="1" xr:uid="{00000000-0002-0000-0300-000001000000}">
          <x14:formula1>
            <xm:f>'DATOS %'!$J$174:$J$179</xm:f>
          </x14:formula1>
          <xm:sqref>J19:J20</xm:sqref>
        </x14:dataValidation>
        <x14:dataValidation type="list" allowBlank="1" showInputMessage="1" showErrorMessage="1" xr:uid="{00000000-0002-0000-0300-000002000000}">
          <x14:formula1>
            <xm:f>'DATOS %'!$N$121:$N$166</xm:f>
          </x14:formula1>
          <xm:sqref>F48</xm:sqref>
        </x14:dataValidation>
        <x14:dataValidation type="list" allowBlank="1" showInputMessage="1" showErrorMessage="1" xr:uid="{00000000-0002-0000-0300-000003000000}">
          <x14:formula1>
            <xm:f>'DATOS %'!$N$29:$N$113</xm:f>
          </x14:formula1>
          <xm:sqref>E6</xm:sqref>
        </x14:dataValidation>
        <x14:dataValidation type="list" allowBlank="1" showInputMessage="1" showErrorMessage="1" xr:uid="{00000000-0002-0000-0300-000004000000}">
          <x14:formula1>
            <xm:f>'DATOS %'!$V$120:$V$126</xm:f>
          </x14:formula1>
          <xm:sqref>J13</xm:sqref>
        </x14:dataValidation>
        <x14:dataValidation type="list" allowBlank="1" showInputMessage="1" showErrorMessage="1" xr:uid="{00000000-0002-0000-0300-000005000000}">
          <x14:formula1>
            <xm:f>'DATOS %'!$V$161:$V$165</xm:f>
          </x14:formula1>
          <xm:sqref>H25</xm:sqref>
        </x14:dataValidation>
      </x14:dataValidations>
    </ext>
  </extLs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theme="9" tint="-0.249977111117893"/>
  </sheetPr>
  <dimension ref="A1:XEZ93"/>
  <sheetViews>
    <sheetView showGridLines="0" view="pageBreakPreview" zoomScale="80" zoomScaleNormal="100" zoomScaleSheetLayoutView="80" workbookViewId="0">
      <selection activeCell="D14" sqref="D14:J14"/>
    </sheetView>
  </sheetViews>
  <sheetFormatPr baseColWidth="10" defaultColWidth="11.42578125" defaultRowHeight="15" x14ac:dyDescent="0.2"/>
  <cols>
    <col min="1" max="1" width="5.7109375" style="983" customWidth="1"/>
    <col min="2" max="2" width="15.42578125" style="983" customWidth="1"/>
    <col min="3" max="3" width="12.28515625" style="983" customWidth="1"/>
    <col min="4" max="4" width="10.140625" style="983" customWidth="1"/>
    <col min="5" max="5" width="16" style="983" customWidth="1"/>
    <col min="6" max="12" width="9.7109375" style="983" customWidth="1"/>
    <col min="13" max="16384" width="11.42578125" style="983"/>
  </cols>
  <sheetData>
    <row r="1" spans="1:13" ht="125.1" customHeight="1" x14ac:dyDescent="0.2">
      <c r="A1" s="1707"/>
      <c r="B1" s="1707"/>
      <c r="C1" s="1707"/>
      <c r="D1" s="1707"/>
      <c r="E1" s="1707"/>
      <c r="F1" s="1707"/>
      <c r="G1" s="1707"/>
      <c r="H1" s="1707"/>
      <c r="I1" s="1707"/>
      <c r="J1" s="1707"/>
    </row>
    <row r="2" spans="1:13" ht="35.1" customHeight="1" x14ac:dyDescent="0.2">
      <c r="A2" s="984"/>
      <c r="B2" s="984"/>
      <c r="C2" s="984"/>
      <c r="D2" s="984"/>
      <c r="E2" s="984"/>
      <c r="F2" s="984"/>
    </row>
    <row r="3" spans="1:13" ht="35.1" customHeight="1" x14ac:dyDescent="0.2">
      <c r="A3" s="984"/>
      <c r="B3" s="984"/>
      <c r="C3" s="984"/>
      <c r="D3" s="984"/>
      <c r="E3" s="984"/>
      <c r="F3" s="984"/>
      <c r="J3" s="1446" t="s">
        <v>24</v>
      </c>
      <c r="K3" s="1446"/>
      <c r="L3" s="1447">
        <f>'DATOS %'!J25</f>
        <v>0</v>
      </c>
      <c r="M3" s="1447"/>
    </row>
    <row r="4" spans="1:13" ht="23.1" customHeight="1" x14ac:dyDescent="0.25">
      <c r="A4" s="1463" t="s">
        <v>6</v>
      </c>
      <c r="B4" s="1463"/>
      <c r="C4" s="1463"/>
      <c r="D4" s="985"/>
      <c r="E4" s="985"/>
      <c r="G4" s="1464"/>
      <c r="H4" s="1464"/>
    </row>
    <row r="5" spans="1:13" ht="20.100000000000001" customHeight="1" x14ac:dyDescent="0.2">
      <c r="A5" s="986"/>
      <c r="B5" s="985"/>
      <c r="C5" s="985"/>
      <c r="D5" s="985"/>
      <c r="E5" s="985"/>
      <c r="F5" s="985"/>
    </row>
    <row r="6" spans="1:13" ht="23.1" customHeight="1" x14ac:dyDescent="0.2">
      <c r="A6" s="1708" t="s">
        <v>286</v>
      </c>
      <c r="B6" s="1708"/>
      <c r="D6" s="1709">
        <f>('DATOS %'!E25)</f>
        <v>0</v>
      </c>
      <c r="E6" s="1709"/>
      <c r="F6" s="1709"/>
      <c r="G6" s="1709"/>
      <c r="H6" s="1709"/>
      <c r="I6" s="1709"/>
      <c r="J6" s="1709"/>
    </row>
    <row r="7" spans="1:13" ht="23.1" customHeight="1" x14ac:dyDescent="0.2">
      <c r="A7" s="1708" t="s">
        <v>287</v>
      </c>
      <c r="B7" s="1708"/>
      <c r="C7" s="987"/>
      <c r="D7" s="1709">
        <f>'DATOS %'!F25</f>
        <v>0</v>
      </c>
      <c r="E7" s="1709"/>
      <c r="F7" s="1709"/>
      <c r="G7" s="1709"/>
      <c r="H7" s="1709"/>
      <c r="I7" s="1709"/>
      <c r="J7" s="1709"/>
    </row>
    <row r="8" spans="1:13" ht="23.1" customHeight="1" x14ac:dyDescent="0.2">
      <c r="A8" s="1708" t="s">
        <v>288</v>
      </c>
      <c r="B8" s="1708"/>
      <c r="D8" s="1709" t="str">
        <f>PROPER('DATOS %'!C25)</f>
        <v>0</v>
      </c>
      <c r="E8" s="1709"/>
      <c r="F8" s="1709"/>
      <c r="G8" s="1709"/>
    </row>
    <row r="9" spans="1:13" ht="20.100000000000001" customHeight="1" x14ac:dyDescent="0.2">
      <c r="A9" s="988"/>
      <c r="B9" s="988"/>
      <c r="D9" s="988"/>
      <c r="E9" s="988"/>
      <c r="F9" s="985"/>
    </row>
    <row r="10" spans="1:13" ht="23.1" customHeight="1" x14ac:dyDescent="0.2">
      <c r="A10" s="1708" t="s">
        <v>289</v>
      </c>
      <c r="B10" s="1708"/>
      <c r="C10" s="1708"/>
      <c r="D10" s="1711">
        <f>'DATOS %'!D25</f>
        <v>0</v>
      </c>
      <c r="E10" s="1711"/>
      <c r="F10" s="1712" t="s">
        <v>290</v>
      </c>
      <c r="G10" s="1712"/>
      <c r="H10" s="1712"/>
      <c r="I10" s="1711" t="e">
        <f>'5 kg % (C)'!E4</f>
        <v>#N/A</v>
      </c>
      <c r="J10" s="1711"/>
    </row>
    <row r="11" spans="1:13" ht="20.100000000000001" customHeight="1" x14ac:dyDescent="0.2">
      <c r="A11" s="985"/>
      <c r="B11" s="985"/>
      <c r="C11" s="985"/>
      <c r="D11" s="985"/>
      <c r="E11" s="985"/>
      <c r="F11" s="985"/>
    </row>
    <row r="12" spans="1:13" ht="23.1" customHeight="1" x14ac:dyDescent="0.2">
      <c r="A12" s="1467" t="s">
        <v>245</v>
      </c>
      <c r="B12" s="1467"/>
      <c r="C12" s="1467"/>
      <c r="D12" s="1467"/>
      <c r="E12" s="1467"/>
      <c r="F12" s="1467"/>
      <c r="G12" s="1467"/>
      <c r="H12" s="1467"/>
      <c r="I12" s="1467"/>
      <c r="J12" s="1467"/>
    </row>
    <row r="13" spans="1:13" ht="20.100000000000001" customHeight="1" x14ac:dyDescent="0.2">
      <c r="A13" s="965"/>
      <c r="B13" s="965"/>
      <c r="C13" s="965"/>
      <c r="D13" s="965"/>
      <c r="E13" s="965"/>
      <c r="F13" s="985"/>
    </row>
    <row r="14" spans="1:13" ht="23.1" customHeight="1" x14ac:dyDescent="0.2">
      <c r="A14" s="1708" t="s">
        <v>291</v>
      </c>
      <c r="B14" s="1708"/>
      <c r="C14" s="1708"/>
      <c r="D14" s="1710" t="s">
        <v>324</v>
      </c>
      <c r="E14" s="1710"/>
      <c r="F14" s="1710"/>
      <c r="G14" s="1710"/>
      <c r="H14" s="1710"/>
      <c r="I14" s="1710"/>
      <c r="J14" s="1710"/>
    </row>
    <row r="15" spans="1:13" ht="23.1" customHeight="1" x14ac:dyDescent="0.2">
      <c r="A15" s="1708" t="s">
        <v>292</v>
      </c>
      <c r="B15" s="1708"/>
      <c r="C15" s="1708"/>
      <c r="D15" s="1713" t="str">
        <f>PROPER('DATOS %'!D77)</f>
        <v>0</v>
      </c>
      <c r="E15" s="1714"/>
      <c r="F15" s="1714"/>
      <c r="G15" s="1714"/>
      <c r="H15" s="986"/>
      <c r="I15" s="986"/>
      <c r="J15" s="986"/>
    </row>
    <row r="16" spans="1:13" ht="23.1" customHeight="1" x14ac:dyDescent="0.2">
      <c r="A16" s="1708" t="s">
        <v>293</v>
      </c>
      <c r="B16" s="1708"/>
      <c r="C16" s="1708"/>
      <c r="D16" s="1717">
        <f>'DATOS %'!E77</f>
        <v>0</v>
      </c>
      <c r="E16" s="1717"/>
      <c r="F16" s="1717"/>
      <c r="G16" s="1717"/>
      <c r="H16" s="986"/>
      <c r="I16" s="986"/>
      <c r="J16" s="986"/>
    </row>
    <row r="17" spans="1:13" ht="23.1" customHeight="1" x14ac:dyDescent="0.2">
      <c r="A17" s="1708" t="s">
        <v>11</v>
      </c>
      <c r="B17" s="1708"/>
      <c r="C17" s="1708"/>
      <c r="D17" s="1715">
        <f>'DATOS %'!C77</f>
        <v>0</v>
      </c>
      <c r="E17" s="1715"/>
      <c r="F17" s="1711"/>
      <c r="G17" s="1711"/>
    </row>
    <row r="18" spans="1:13" ht="20.100000000000001" customHeight="1" x14ac:dyDescent="0.2">
      <c r="A18" s="988"/>
      <c r="B18" s="988"/>
      <c r="C18" s="988"/>
      <c r="D18" s="989"/>
      <c r="E18" s="986"/>
      <c r="F18" s="986"/>
      <c r="G18" s="986"/>
    </row>
    <row r="19" spans="1:13" ht="23.1" customHeight="1" x14ac:dyDescent="0.2">
      <c r="A19" s="1708" t="s">
        <v>12</v>
      </c>
      <c r="B19" s="1708"/>
      <c r="C19" s="1708"/>
      <c r="D19" s="1708"/>
      <c r="E19" s="1708"/>
      <c r="F19" s="1708">
        <f>'DATOS %'!C80</f>
        <v>0</v>
      </c>
      <c r="G19" s="1708"/>
      <c r="H19" s="1708"/>
      <c r="I19" s="1708"/>
      <c r="J19" s="1708"/>
    </row>
    <row r="20" spans="1:13" ht="20.100000000000001" customHeight="1" x14ac:dyDescent="0.2">
      <c r="A20" s="988"/>
      <c r="B20" s="988"/>
      <c r="C20" s="988"/>
      <c r="D20" s="988"/>
      <c r="E20" s="988"/>
      <c r="F20" s="988"/>
      <c r="G20" s="985"/>
    </row>
    <row r="21" spans="1:13" ht="23.1" customHeight="1" x14ac:dyDescent="0.2">
      <c r="A21" s="1463" t="s">
        <v>205</v>
      </c>
      <c r="B21" s="1463"/>
      <c r="C21" s="1463"/>
      <c r="D21" s="1463"/>
      <c r="E21" s="1463"/>
      <c r="F21" s="1463"/>
    </row>
    <row r="22" spans="1:13" ht="23.1" customHeight="1" x14ac:dyDescent="0.2">
      <c r="A22" s="1459" t="str">
        <f>'DATOS %'!G8</f>
        <v>Laboratorio de calibración de masa y volumen, avenida carrera  50 # 26-55 Int 2,  piso 5.</v>
      </c>
      <c r="B22" s="1459"/>
      <c r="C22" s="1459"/>
      <c r="D22" s="1459"/>
      <c r="E22" s="1459"/>
      <c r="F22" s="1459"/>
      <c r="G22" s="1459"/>
      <c r="H22" s="1459"/>
      <c r="I22" s="1459"/>
      <c r="J22" s="1459"/>
      <c r="K22" s="1459"/>
      <c r="L22" s="1459"/>
      <c r="M22" s="1459"/>
    </row>
    <row r="23" spans="1:13" ht="20.100000000000001" customHeight="1" x14ac:dyDescent="0.2">
      <c r="B23" s="1463"/>
      <c r="C23" s="1463"/>
      <c r="D23" s="1463"/>
      <c r="E23" s="1463"/>
      <c r="F23" s="965"/>
      <c r="G23" s="986"/>
    </row>
    <row r="24" spans="1:13" ht="23.1" customHeight="1" x14ac:dyDescent="0.2">
      <c r="A24" s="1463" t="s">
        <v>206</v>
      </c>
      <c r="B24" s="1463"/>
      <c r="C24" s="1463"/>
      <c r="D24" s="1463"/>
      <c r="E24" s="1718">
        <f>'DATOS %'!I25</f>
        <v>0</v>
      </c>
      <c r="F24" s="1718"/>
      <c r="G24" s="990"/>
      <c r="H24" s="990"/>
    </row>
    <row r="25" spans="1:13" ht="20.100000000000001" customHeight="1" x14ac:dyDescent="0.25">
      <c r="A25" s="986"/>
      <c r="B25" s="986"/>
      <c r="C25" s="986"/>
      <c r="D25" s="986"/>
      <c r="E25" s="986"/>
      <c r="F25" s="986"/>
      <c r="G25" s="966"/>
      <c r="H25" s="966"/>
      <c r="I25" s="985"/>
      <c r="J25" s="985"/>
    </row>
    <row r="26" spans="1:13" ht="23.1" customHeight="1" x14ac:dyDescent="0.2">
      <c r="A26" s="1413" t="s">
        <v>248</v>
      </c>
      <c r="B26" s="1413"/>
      <c r="C26" s="1413"/>
      <c r="D26" s="1413"/>
      <c r="E26" s="1413"/>
      <c r="F26" s="1413"/>
      <c r="G26" s="1413"/>
      <c r="H26" s="1413"/>
      <c r="I26" s="1413"/>
      <c r="J26" s="1413"/>
    </row>
    <row r="27" spans="1:13" ht="20.100000000000001" customHeight="1" x14ac:dyDescent="0.2">
      <c r="A27" s="960"/>
      <c r="B27" s="960"/>
      <c r="C27" s="960"/>
      <c r="D27" s="960"/>
      <c r="G27" s="985"/>
    </row>
    <row r="28" spans="1:13" ht="33" customHeight="1" x14ac:dyDescent="0.2">
      <c r="A28" s="1716" t="s">
        <v>455</v>
      </c>
      <c r="B28" s="1716"/>
      <c r="C28" s="1716"/>
      <c r="D28" s="1716"/>
      <c r="E28" s="1716"/>
      <c r="F28" s="1716"/>
      <c r="G28" s="1716"/>
      <c r="H28" s="1716"/>
      <c r="I28" s="1716"/>
      <c r="J28" s="1716"/>
      <c r="K28" s="1716"/>
      <c r="L28" s="1716"/>
      <c r="M28" s="1716"/>
    </row>
    <row r="29" spans="1:13" ht="20.100000000000001" customHeight="1" x14ac:dyDescent="0.25">
      <c r="G29" s="966"/>
      <c r="H29" s="966"/>
      <c r="I29" s="991"/>
      <c r="J29" s="991"/>
    </row>
    <row r="30" spans="1:13" ht="23.1" customHeight="1" x14ac:dyDescent="0.2">
      <c r="A30" s="1413" t="s">
        <v>268</v>
      </c>
      <c r="B30" s="1413"/>
      <c r="C30" s="1413"/>
      <c r="D30" s="1413"/>
      <c r="E30" s="1413"/>
      <c r="F30" s="1413"/>
      <c r="G30" s="1413"/>
      <c r="H30" s="1413"/>
      <c r="I30" s="1413"/>
      <c r="J30" s="1413"/>
    </row>
    <row r="31" spans="1:13" ht="12" customHeight="1" x14ac:dyDescent="0.2">
      <c r="A31" s="1719"/>
      <c r="B31" s="1719"/>
      <c r="C31" s="1719"/>
      <c r="D31" s="1719"/>
      <c r="E31" s="1719"/>
      <c r="F31" s="1719"/>
      <c r="G31" s="1719"/>
      <c r="H31" s="1719"/>
      <c r="I31" s="1719"/>
      <c r="J31" s="1719"/>
    </row>
    <row r="32" spans="1:13" ht="12" customHeight="1" thickBot="1" x14ac:dyDescent="0.25">
      <c r="A32" s="992"/>
      <c r="B32" s="992"/>
      <c r="C32" s="992"/>
      <c r="D32" s="992"/>
      <c r="E32" s="992"/>
      <c r="F32" s="992"/>
      <c r="G32" s="992"/>
      <c r="K32" s="388"/>
    </row>
    <row r="33" spans="1:13" ht="21.75" customHeight="1" thickBot="1" x14ac:dyDescent="0.25">
      <c r="B33" s="1419" t="s">
        <v>256</v>
      </c>
      <c r="C33" s="1420"/>
      <c r="D33" s="1419" t="s">
        <v>218</v>
      </c>
      <c r="E33" s="1420"/>
      <c r="F33" s="1419" t="s">
        <v>219</v>
      </c>
      <c r="G33" s="1420"/>
      <c r="H33" s="1423" t="s">
        <v>220</v>
      </c>
      <c r="I33" s="1424"/>
      <c r="J33" s="1424"/>
      <c r="K33" s="1425"/>
    </row>
    <row r="34" spans="1:13" ht="39.950000000000003" customHeight="1" thickBot="1" x14ac:dyDescent="0.25">
      <c r="B34" s="1421"/>
      <c r="C34" s="1422"/>
      <c r="D34" s="1421"/>
      <c r="E34" s="1422"/>
      <c r="F34" s="1421"/>
      <c r="G34" s="1422"/>
      <c r="H34" s="1426" t="s">
        <v>221</v>
      </c>
      <c r="I34" s="1427"/>
      <c r="J34" s="1428" t="s">
        <v>325</v>
      </c>
      <c r="K34" s="1429"/>
    </row>
    <row r="35" spans="1:13" ht="39.950000000000003" customHeight="1" thickBot="1" x14ac:dyDescent="0.25">
      <c r="B35" s="1430" t="str">
        <f>D14</f>
        <v>Pesa de 5 kg</v>
      </c>
      <c r="C35" s="1431"/>
      <c r="D35" s="1432" t="s">
        <v>5</v>
      </c>
      <c r="E35" s="1433"/>
      <c r="F35" s="1720" t="e">
        <f>VLOOKUP($K$32,'DATOS %'!B175:G185,1,FALSE)</f>
        <v>#N/A</v>
      </c>
      <c r="G35" s="1721"/>
      <c r="H35" s="993" t="e">
        <f>VLOOKUP($K$32,'DATOS %'!B175:G186,3,FALSE)</f>
        <v>#N/A</v>
      </c>
      <c r="I35" s="994" t="s">
        <v>213</v>
      </c>
      <c r="J35" s="995" t="e">
        <f>VLOOKUP($K$32,'DATOS %'!B175:G185,5,FALSE)</f>
        <v>#N/A</v>
      </c>
      <c r="K35" s="996" t="s">
        <v>128</v>
      </c>
    </row>
    <row r="36" spans="1:13" ht="39.950000000000003" hidden="1" customHeight="1" thickBot="1" x14ac:dyDescent="0.25">
      <c r="A36" s="1722"/>
      <c r="B36" s="1723"/>
      <c r="C36" s="1722"/>
      <c r="D36" s="1724"/>
      <c r="E36" s="1725"/>
      <c r="F36" s="1723"/>
      <c r="G36" s="997"/>
      <c r="H36" s="998"/>
      <c r="I36" s="997"/>
      <c r="J36" s="999"/>
    </row>
    <row r="37" spans="1:13" ht="20.100000000000001" customHeight="1" x14ac:dyDescent="0.2"/>
    <row r="38" spans="1:13" ht="125.1" customHeight="1" x14ac:dyDescent="0.2"/>
    <row r="39" spans="1:13" ht="35.1" customHeight="1" x14ac:dyDescent="0.2"/>
    <row r="40" spans="1:13" ht="35.1" customHeight="1" x14ac:dyDescent="0.2">
      <c r="J40" s="1446" t="s">
        <v>24</v>
      </c>
      <c r="K40" s="1446"/>
      <c r="L40" s="1447">
        <f>L3</f>
        <v>0</v>
      </c>
      <c r="M40" s="1447"/>
    </row>
    <row r="41" spans="1:13" ht="23.1" customHeight="1" x14ac:dyDescent="0.2">
      <c r="A41" s="1413" t="s">
        <v>257</v>
      </c>
      <c r="B41" s="1413"/>
      <c r="C41" s="1413"/>
      <c r="D41" s="1413"/>
      <c r="E41" s="1413"/>
      <c r="F41" s="1413"/>
      <c r="G41" s="1413"/>
      <c r="H41" s="1413"/>
      <c r="I41" s="1413"/>
      <c r="J41" s="1413"/>
    </row>
    <row r="42" spans="1:13" ht="19.5" customHeight="1" x14ac:dyDescent="0.2">
      <c r="A42" s="389"/>
    </row>
    <row r="43" spans="1:13" ht="35.1" customHeight="1" x14ac:dyDescent="0.2">
      <c r="A43" s="1452" t="s">
        <v>246</v>
      </c>
      <c r="B43" s="1452"/>
      <c r="C43" s="1452"/>
      <c r="D43" s="1452"/>
      <c r="E43" s="1452"/>
      <c r="F43" s="1452"/>
      <c r="G43" s="1452"/>
      <c r="H43" s="1452"/>
      <c r="I43" s="1452"/>
      <c r="J43" s="1452"/>
      <c r="K43" s="1452"/>
      <c r="L43" s="1452"/>
      <c r="M43" s="1452"/>
    </row>
    <row r="44" spans="1:13" ht="7.5" customHeight="1" x14ac:dyDescent="0.2">
      <c r="A44" s="1251"/>
      <c r="B44" s="1251"/>
      <c r="C44" s="1251"/>
      <c r="D44" s="1251"/>
      <c r="E44" s="1251"/>
      <c r="F44" s="1251"/>
      <c r="G44" s="1251"/>
      <c r="H44" s="1251"/>
      <c r="I44" s="1251"/>
      <c r="J44" s="1251"/>
      <c r="K44" s="1251"/>
      <c r="L44" s="1251"/>
      <c r="M44" s="1251"/>
    </row>
    <row r="45" spans="1:13" ht="7.5" customHeight="1" thickBot="1" x14ac:dyDescent="0.25">
      <c r="A45" s="1000"/>
      <c r="B45" s="1000"/>
      <c r="C45" s="1000"/>
      <c r="D45" s="1000"/>
      <c r="E45" s="1000"/>
      <c r="F45" s="1000"/>
      <c r="G45" s="1000"/>
      <c r="H45" s="1000"/>
      <c r="I45" s="1000"/>
      <c r="J45" s="1000"/>
    </row>
    <row r="46" spans="1:13" ht="45" customHeight="1" thickBot="1" x14ac:dyDescent="0.25">
      <c r="B46" s="1448" t="s">
        <v>13</v>
      </c>
      <c r="C46" s="1448"/>
      <c r="D46" s="1448"/>
      <c r="E46" s="963" t="s">
        <v>21</v>
      </c>
      <c r="F46" s="963" t="s">
        <v>10</v>
      </c>
      <c r="G46" s="390" t="s">
        <v>209</v>
      </c>
      <c r="H46" s="1448" t="s">
        <v>14</v>
      </c>
      <c r="I46" s="1448"/>
      <c r="J46" s="1448" t="s">
        <v>8</v>
      </c>
      <c r="K46" s="1448"/>
    </row>
    <row r="47" spans="1:13" ht="45" customHeight="1" thickBot="1" x14ac:dyDescent="0.25">
      <c r="B47" s="1449" t="s">
        <v>440</v>
      </c>
      <c r="C47" s="1449"/>
      <c r="D47" s="1449"/>
      <c r="E47" s="391" t="e">
        <f>'5 kg % (C)'!B7</f>
        <v>#N/A</v>
      </c>
      <c r="F47" s="971" t="e">
        <f>'5 kg % (C)'!D7</f>
        <v>#N/A</v>
      </c>
      <c r="G47" s="392" t="e">
        <f>'5 kg % (C)'!C16</f>
        <v>#N/A</v>
      </c>
      <c r="H47" s="1450" t="e">
        <f>'5 kg % (C)'!B9</f>
        <v>#N/A</v>
      </c>
      <c r="I47" s="1450"/>
      <c r="J47" s="1451" t="e">
        <f>'5 kg % (C)'!D9</f>
        <v>#N/A</v>
      </c>
      <c r="K47" s="1451"/>
    </row>
    <row r="48" spans="1:13" ht="33" hidden="1" customHeight="1" thickBot="1" x14ac:dyDescent="0.25">
      <c r="A48" s="1729"/>
      <c r="B48" s="1729"/>
      <c r="C48" s="1729"/>
      <c r="D48" s="391"/>
      <c r="E48" s="971"/>
      <c r="F48" s="392"/>
      <c r="G48" s="1693"/>
      <c r="H48" s="1694"/>
      <c r="I48" s="1451"/>
      <c r="J48" s="1451"/>
    </row>
    <row r="49" spans="1:1020 1029:2040 2049:3070 3079:4090 4099:5120 5129:6140 6149:7160 7169:8190 8199:9210 9219:10240 10249:11260 11269:12280 12289:13310 13319:14330 14339:15360 15369:16380" ht="26.1" customHeight="1" x14ac:dyDescent="0.2">
      <c r="A49" s="961"/>
      <c r="B49" s="961"/>
      <c r="C49" s="961"/>
      <c r="D49" s="393"/>
      <c r="E49" s="961"/>
      <c r="F49" s="961"/>
      <c r="G49" s="961"/>
      <c r="H49" s="961"/>
      <c r="I49" s="394"/>
      <c r="J49" s="394"/>
    </row>
    <row r="50" spans="1:1020 1029:2040 2049:3070 3079:4090 4099:5120 5129:6140 6149:7160 7169:8190 8199:9210 9219:10240 10249:11260 11269:12280 12289:13310 13319:14330 14339:15360 15369:16380" ht="23.1" customHeight="1" x14ac:dyDescent="0.2">
      <c r="A50" s="1418" t="s">
        <v>249</v>
      </c>
      <c r="B50" s="1418"/>
      <c r="C50" s="1418"/>
      <c r="D50" s="1418"/>
      <c r="E50" s="1418"/>
      <c r="F50" s="1418"/>
      <c r="G50" s="1418"/>
      <c r="H50" s="1418"/>
      <c r="I50" s="1418"/>
      <c r="J50" s="1418"/>
    </row>
    <row r="51" spans="1:1020 1029:2040 2049:3070 3079:4090 4099:5120 5129:6140 6149:7160 7169:8190 8199:9210 9219:10240 10249:11260 11269:12280 12289:13310 13319:14330 14339:15360 15369:16380" ht="7.5" customHeight="1" x14ac:dyDescent="0.2">
      <c r="A51" s="389"/>
      <c r="B51" s="389"/>
    </row>
    <row r="52" spans="1:1020 1029:2040 2049:3070 3079:4090 4099:5120 5129:6140 6149:7160 7169:8190 8199:9210 9219:10240 10249:11260 11269:12280 12289:13310 13319:14330 14339:15360 15369:16380" ht="26.25" customHeight="1" x14ac:dyDescent="0.2">
      <c r="A52" s="1453" t="s">
        <v>269</v>
      </c>
      <c r="B52" s="1453"/>
      <c r="C52" s="1453"/>
      <c r="D52" s="1453"/>
      <c r="E52" s="1453"/>
      <c r="F52" s="1453"/>
      <c r="G52" s="1453"/>
      <c r="H52" s="1453"/>
      <c r="I52" s="1453"/>
      <c r="J52" s="1453"/>
      <c r="K52" s="1453"/>
      <c r="L52" s="1453"/>
      <c r="M52" s="1453"/>
    </row>
    <row r="53" spans="1:1020 1029:2040 2049:3070 3079:4090 4099:5120 5129:6140 6149:7160 7169:8190 8199:9210 9219:10240 10249:11260 11269:12280 12289:13310 13319:14330 14339:15360 15369:16380" ht="25.5" customHeight="1" x14ac:dyDescent="0.2">
      <c r="A53" s="1453"/>
      <c r="B53" s="1453"/>
      <c r="C53" s="1453"/>
      <c r="D53" s="1453"/>
      <c r="E53" s="1453"/>
      <c r="F53" s="1453"/>
      <c r="G53" s="1453"/>
      <c r="H53" s="1453"/>
      <c r="I53" s="1453"/>
      <c r="J53" s="1453"/>
      <c r="K53" s="1453"/>
      <c r="L53" s="1453"/>
      <c r="M53" s="1453"/>
    </row>
    <row r="54" spans="1:1020 1029:2040 2049:3070 3079:4090 4099:5120 5129:6140 6149:7160 7169:8190 8199:9210 9219:10240 10249:11260 11269:12280 12289:13310 13319:14330 14339:15360 15369:16380" ht="26.1" customHeight="1" x14ac:dyDescent="0.2">
      <c r="A54" s="1001"/>
      <c r="B54" s="1001"/>
      <c r="C54" s="1001"/>
      <c r="D54" s="1001"/>
      <c r="E54" s="1001"/>
      <c r="F54" s="1001"/>
      <c r="G54" s="1001"/>
      <c r="H54" s="1001"/>
      <c r="I54" s="1001"/>
      <c r="J54" s="1001"/>
    </row>
    <row r="55" spans="1:1020 1029:2040 2049:3070 3079:4090 4099:5120 5129:6140 6149:7160 7169:8190 8199:9210 9219:10240 10249:11260 11269:12280 12289:13310 13319:14330 14339:15360 15369:16380" ht="23.1" customHeight="1" x14ac:dyDescent="0.2">
      <c r="A55" s="1418" t="s">
        <v>250</v>
      </c>
      <c r="B55" s="1418"/>
      <c r="C55" s="1418"/>
      <c r="D55" s="1418"/>
      <c r="E55" s="1418"/>
      <c r="F55" s="1418"/>
      <c r="G55" s="1418"/>
      <c r="H55" s="1418"/>
      <c r="I55" s="1418"/>
      <c r="J55" s="1418"/>
    </row>
    <row r="56" spans="1:1020 1029:2040 2049:3070 3079:4090 4099:5120 5129:6140 6149:7160 7169:8190 8199:9210 9219:10240 10249:11260 11269:12280 12289:13310 13319:14330 14339:15360 15369:16380" ht="20.100000000000001" customHeight="1" thickBot="1" x14ac:dyDescent="0.25">
      <c r="A56" s="389"/>
      <c r="B56" s="389"/>
      <c r="S56" s="389"/>
      <c r="T56" s="389"/>
      <c r="AC56" s="389"/>
      <c r="AD56" s="389"/>
      <c r="AM56" s="389"/>
      <c r="AN56" s="389"/>
      <c r="AW56" s="389"/>
      <c r="AX56" s="389"/>
      <c r="BG56" s="389"/>
      <c r="BH56" s="389"/>
      <c r="BQ56" s="389"/>
      <c r="BR56" s="389"/>
      <c r="CA56" s="389"/>
      <c r="CB56" s="389"/>
      <c r="CK56" s="389"/>
      <c r="CL56" s="389"/>
      <c r="CU56" s="389"/>
      <c r="CV56" s="389"/>
      <c r="DE56" s="389"/>
      <c r="DF56" s="389"/>
      <c r="DO56" s="389"/>
      <c r="DP56" s="389"/>
      <c r="DY56" s="389"/>
      <c r="DZ56" s="389"/>
      <c r="EI56" s="389"/>
      <c r="EJ56" s="389"/>
      <c r="ES56" s="389"/>
      <c r="ET56" s="389"/>
      <c r="FC56" s="389"/>
      <c r="FD56" s="389"/>
      <c r="FM56" s="389"/>
      <c r="FN56" s="389"/>
      <c r="FW56" s="389"/>
      <c r="FX56" s="389"/>
      <c r="GG56" s="389"/>
      <c r="GH56" s="389"/>
      <c r="GQ56" s="389"/>
      <c r="GR56" s="389"/>
      <c r="HA56" s="389"/>
      <c r="HB56" s="389"/>
      <c r="HK56" s="389"/>
      <c r="HL56" s="389"/>
      <c r="HU56" s="389"/>
      <c r="HV56" s="389"/>
      <c r="IE56" s="389"/>
      <c r="IF56" s="389"/>
      <c r="IO56" s="389"/>
      <c r="IP56" s="389"/>
      <c r="IY56" s="389"/>
      <c r="IZ56" s="389"/>
      <c r="JI56" s="389"/>
      <c r="JJ56" s="389"/>
      <c r="JS56" s="389"/>
      <c r="JT56" s="389"/>
      <c r="KC56" s="389"/>
      <c r="KD56" s="389"/>
      <c r="KM56" s="389"/>
      <c r="KN56" s="389"/>
      <c r="KW56" s="389"/>
      <c r="KX56" s="389"/>
      <c r="LG56" s="389"/>
      <c r="LH56" s="389"/>
      <c r="LQ56" s="389"/>
      <c r="LR56" s="389"/>
      <c r="MA56" s="389"/>
      <c r="MB56" s="389"/>
      <c r="MK56" s="389"/>
      <c r="ML56" s="389"/>
      <c r="MU56" s="389"/>
      <c r="MV56" s="389"/>
      <c r="NE56" s="389"/>
      <c r="NF56" s="389"/>
      <c r="NO56" s="389"/>
      <c r="NP56" s="389"/>
      <c r="NY56" s="389"/>
      <c r="NZ56" s="389"/>
      <c r="OI56" s="389"/>
      <c r="OJ56" s="389"/>
      <c r="OS56" s="389"/>
      <c r="OT56" s="389"/>
      <c r="PC56" s="389"/>
      <c r="PD56" s="389"/>
      <c r="PM56" s="389"/>
      <c r="PN56" s="389"/>
      <c r="PW56" s="389"/>
      <c r="PX56" s="389"/>
      <c r="QG56" s="389"/>
      <c r="QH56" s="389"/>
      <c r="QQ56" s="389"/>
      <c r="QR56" s="389"/>
      <c r="RA56" s="389"/>
      <c r="RB56" s="389"/>
      <c r="RK56" s="389"/>
      <c r="RL56" s="389"/>
      <c r="RU56" s="389"/>
      <c r="RV56" s="389"/>
      <c r="SE56" s="389"/>
      <c r="SF56" s="389"/>
      <c r="SO56" s="389"/>
      <c r="SP56" s="389"/>
      <c r="SY56" s="389"/>
      <c r="SZ56" s="389"/>
      <c r="TI56" s="389"/>
      <c r="TJ56" s="389"/>
      <c r="TS56" s="389"/>
      <c r="TT56" s="389"/>
      <c r="UC56" s="389"/>
      <c r="UD56" s="389"/>
      <c r="UM56" s="389"/>
      <c r="UN56" s="389"/>
      <c r="UW56" s="389"/>
      <c r="UX56" s="389"/>
      <c r="VG56" s="389"/>
      <c r="VH56" s="389"/>
      <c r="VQ56" s="389"/>
      <c r="VR56" s="389"/>
      <c r="WA56" s="389"/>
      <c r="WB56" s="389"/>
      <c r="WK56" s="389"/>
      <c r="WL56" s="389"/>
      <c r="WU56" s="389"/>
      <c r="WV56" s="389"/>
      <c r="XE56" s="389"/>
      <c r="XF56" s="389"/>
      <c r="XO56" s="389"/>
      <c r="XP56" s="389"/>
      <c r="XY56" s="389"/>
      <c r="XZ56" s="389"/>
      <c r="YI56" s="389"/>
      <c r="YJ56" s="389"/>
      <c r="YS56" s="389"/>
      <c r="YT56" s="389"/>
      <c r="ZC56" s="389"/>
      <c r="ZD56" s="389"/>
      <c r="ZM56" s="389"/>
      <c r="ZN56" s="389"/>
      <c r="ZW56" s="389"/>
      <c r="ZX56" s="389"/>
      <c r="AAG56" s="389"/>
      <c r="AAH56" s="389"/>
      <c r="AAQ56" s="389"/>
      <c r="AAR56" s="389"/>
      <c r="ABA56" s="389"/>
      <c r="ABB56" s="389"/>
      <c r="ABK56" s="389"/>
      <c r="ABL56" s="389"/>
      <c r="ABU56" s="389"/>
      <c r="ABV56" s="389"/>
      <c r="ACE56" s="389"/>
      <c r="ACF56" s="389"/>
      <c r="ACO56" s="389"/>
      <c r="ACP56" s="389"/>
      <c r="ACY56" s="389"/>
      <c r="ACZ56" s="389"/>
      <c r="ADI56" s="389"/>
      <c r="ADJ56" s="389"/>
      <c r="ADS56" s="389"/>
      <c r="ADT56" s="389"/>
      <c r="AEC56" s="389"/>
      <c r="AED56" s="389"/>
      <c r="AEM56" s="389"/>
      <c r="AEN56" s="389"/>
      <c r="AEW56" s="389"/>
      <c r="AEX56" s="389"/>
      <c r="AFG56" s="389"/>
      <c r="AFH56" s="389"/>
      <c r="AFQ56" s="389"/>
      <c r="AFR56" s="389"/>
      <c r="AGA56" s="389"/>
      <c r="AGB56" s="389"/>
      <c r="AGK56" s="389"/>
      <c r="AGL56" s="389"/>
      <c r="AGU56" s="389"/>
      <c r="AGV56" s="389"/>
      <c r="AHE56" s="389"/>
      <c r="AHF56" s="389"/>
      <c r="AHO56" s="389"/>
      <c r="AHP56" s="389"/>
      <c r="AHY56" s="389"/>
      <c r="AHZ56" s="389"/>
      <c r="AII56" s="389"/>
      <c r="AIJ56" s="389"/>
      <c r="AIS56" s="389"/>
      <c r="AIT56" s="389"/>
      <c r="AJC56" s="389"/>
      <c r="AJD56" s="389"/>
      <c r="AJM56" s="389"/>
      <c r="AJN56" s="389"/>
      <c r="AJW56" s="389"/>
      <c r="AJX56" s="389"/>
      <c r="AKG56" s="389"/>
      <c r="AKH56" s="389"/>
      <c r="AKQ56" s="389"/>
      <c r="AKR56" s="389"/>
      <c r="ALA56" s="389"/>
      <c r="ALB56" s="389"/>
      <c r="ALK56" s="389"/>
      <c r="ALL56" s="389"/>
      <c r="ALU56" s="389"/>
      <c r="ALV56" s="389"/>
      <c r="AME56" s="389"/>
      <c r="AMF56" s="389"/>
      <c r="AMO56" s="389"/>
      <c r="AMP56" s="389"/>
      <c r="AMY56" s="389"/>
      <c r="AMZ56" s="389"/>
      <c r="ANI56" s="389"/>
      <c r="ANJ56" s="389"/>
      <c r="ANS56" s="389"/>
      <c r="ANT56" s="389"/>
      <c r="AOC56" s="389"/>
      <c r="AOD56" s="389"/>
      <c r="AOM56" s="389"/>
      <c r="AON56" s="389"/>
      <c r="AOW56" s="389"/>
      <c r="AOX56" s="389"/>
      <c r="APG56" s="389"/>
      <c r="APH56" s="389"/>
      <c r="APQ56" s="389"/>
      <c r="APR56" s="389"/>
      <c r="AQA56" s="389"/>
      <c r="AQB56" s="389"/>
      <c r="AQK56" s="389"/>
      <c r="AQL56" s="389"/>
      <c r="AQU56" s="389"/>
      <c r="AQV56" s="389"/>
      <c r="ARE56" s="389"/>
      <c r="ARF56" s="389"/>
      <c r="ARO56" s="389"/>
      <c r="ARP56" s="389"/>
      <c r="ARY56" s="389"/>
      <c r="ARZ56" s="389"/>
      <c r="ASI56" s="389"/>
      <c r="ASJ56" s="389"/>
      <c r="ASS56" s="389"/>
      <c r="AST56" s="389"/>
      <c r="ATC56" s="389"/>
      <c r="ATD56" s="389"/>
      <c r="ATM56" s="389"/>
      <c r="ATN56" s="389"/>
      <c r="ATW56" s="389"/>
      <c r="ATX56" s="389"/>
      <c r="AUG56" s="389"/>
      <c r="AUH56" s="389"/>
      <c r="AUQ56" s="389"/>
      <c r="AUR56" s="389"/>
      <c r="AVA56" s="389"/>
      <c r="AVB56" s="389"/>
      <c r="AVK56" s="389"/>
      <c r="AVL56" s="389"/>
      <c r="AVU56" s="389"/>
      <c r="AVV56" s="389"/>
      <c r="AWE56" s="389"/>
      <c r="AWF56" s="389"/>
      <c r="AWO56" s="389"/>
      <c r="AWP56" s="389"/>
      <c r="AWY56" s="389"/>
      <c r="AWZ56" s="389"/>
      <c r="AXI56" s="389"/>
      <c r="AXJ56" s="389"/>
      <c r="AXS56" s="389"/>
      <c r="AXT56" s="389"/>
      <c r="AYC56" s="389"/>
      <c r="AYD56" s="389"/>
      <c r="AYM56" s="389"/>
      <c r="AYN56" s="389"/>
      <c r="AYW56" s="389"/>
      <c r="AYX56" s="389"/>
      <c r="AZG56" s="389"/>
      <c r="AZH56" s="389"/>
      <c r="AZQ56" s="389"/>
      <c r="AZR56" s="389"/>
      <c r="BAA56" s="389"/>
      <c r="BAB56" s="389"/>
      <c r="BAK56" s="389"/>
      <c r="BAL56" s="389"/>
      <c r="BAU56" s="389"/>
      <c r="BAV56" s="389"/>
      <c r="BBE56" s="389"/>
      <c r="BBF56" s="389"/>
      <c r="BBO56" s="389"/>
      <c r="BBP56" s="389"/>
      <c r="BBY56" s="389"/>
      <c r="BBZ56" s="389"/>
      <c r="BCI56" s="389"/>
      <c r="BCJ56" s="389"/>
      <c r="BCS56" s="389"/>
      <c r="BCT56" s="389"/>
      <c r="BDC56" s="389"/>
      <c r="BDD56" s="389"/>
      <c r="BDM56" s="389"/>
      <c r="BDN56" s="389"/>
      <c r="BDW56" s="389"/>
      <c r="BDX56" s="389"/>
      <c r="BEG56" s="389"/>
      <c r="BEH56" s="389"/>
      <c r="BEQ56" s="389"/>
      <c r="BER56" s="389"/>
      <c r="BFA56" s="389"/>
      <c r="BFB56" s="389"/>
      <c r="BFK56" s="389"/>
      <c r="BFL56" s="389"/>
      <c r="BFU56" s="389"/>
      <c r="BFV56" s="389"/>
      <c r="BGE56" s="389"/>
      <c r="BGF56" s="389"/>
      <c r="BGO56" s="389"/>
      <c r="BGP56" s="389"/>
      <c r="BGY56" s="389"/>
      <c r="BGZ56" s="389"/>
      <c r="BHI56" s="389"/>
      <c r="BHJ56" s="389"/>
      <c r="BHS56" s="389"/>
      <c r="BHT56" s="389"/>
      <c r="BIC56" s="389"/>
      <c r="BID56" s="389"/>
      <c r="BIM56" s="389"/>
      <c r="BIN56" s="389"/>
      <c r="BIW56" s="389"/>
      <c r="BIX56" s="389"/>
      <c r="BJG56" s="389"/>
      <c r="BJH56" s="389"/>
      <c r="BJQ56" s="389"/>
      <c r="BJR56" s="389"/>
      <c r="BKA56" s="389"/>
      <c r="BKB56" s="389"/>
      <c r="BKK56" s="389"/>
      <c r="BKL56" s="389"/>
      <c r="BKU56" s="389"/>
      <c r="BKV56" s="389"/>
      <c r="BLE56" s="389"/>
      <c r="BLF56" s="389"/>
      <c r="BLO56" s="389"/>
      <c r="BLP56" s="389"/>
      <c r="BLY56" s="389"/>
      <c r="BLZ56" s="389"/>
      <c r="BMI56" s="389"/>
      <c r="BMJ56" s="389"/>
      <c r="BMS56" s="389"/>
      <c r="BMT56" s="389"/>
      <c r="BNC56" s="389"/>
      <c r="BND56" s="389"/>
      <c r="BNM56" s="389"/>
      <c r="BNN56" s="389"/>
      <c r="BNW56" s="389"/>
      <c r="BNX56" s="389"/>
      <c r="BOG56" s="389"/>
      <c r="BOH56" s="389"/>
      <c r="BOQ56" s="389"/>
      <c r="BOR56" s="389"/>
      <c r="BPA56" s="389"/>
      <c r="BPB56" s="389"/>
      <c r="BPK56" s="389"/>
      <c r="BPL56" s="389"/>
      <c r="BPU56" s="389"/>
      <c r="BPV56" s="389"/>
      <c r="BQE56" s="389"/>
      <c r="BQF56" s="389"/>
      <c r="BQO56" s="389"/>
      <c r="BQP56" s="389"/>
      <c r="BQY56" s="389"/>
      <c r="BQZ56" s="389"/>
      <c r="BRI56" s="389"/>
      <c r="BRJ56" s="389"/>
      <c r="BRS56" s="389"/>
      <c r="BRT56" s="389"/>
      <c r="BSC56" s="389"/>
      <c r="BSD56" s="389"/>
      <c r="BSM56" s="389"/>
      <c r="BSN56" s="389"/>
      <c r="BSW56" s="389"/>
      <c r="BSX56" s="389"/>
      <c r="BTG56" s="389"/>
      <c r="BTH56" s="389"/>
      <c r="BTQ56" s="389"/>
      <c r="BTR56" s="389"/>
      <c r="BUA56" s="389"/>
      <c r="BUB56" s="389"/>
      <c r="BUK56" s="389"/>
      <c r="BUL56" s="389"/>
      <c r="BUU56" s="389"/>
      <c r="BUV56" s="389"/>
      <c r="BVE56" s="389"/>
      <c r="BVF56" s="389"/>
      <c r="BVO56" s="389"/>
      <c r="BVP56" s="389"/>
      <c r="BVY56" s="389"/>
      <c r="BVZ56" s="389"/>
      <c r="BWI56" s="389"/>
      <c r="BWJ56" s="389"/>
      <c r="BWS56" s="389"/>
      <c r="BWT56" s="389"/>
      <c r="BXC56" s="389"/>
      <c r="BXD56" s="389"/>
      <c r="BXM56" s="389"/>
      <c r="BXN56" s="389"/>
      <c r="BXW56" s="389"/>
      <c r="BXX56" s="389"/>
      <c r="BYG56" s="389"/>
      <c r="BYH56" s="389"/>
      <c r="BYQ56" s="389"/>
      <c r="BYR56" s="389"/>
      <c r="BZA56" s="389"/>
      <c r="BZB56" s="389"/>
      <c r="BZK56" s="389"/>
      <c r="BZL56" s="389"/>
      <c r="BZU56" s="389"/>
      <c r="BZV56" s="389"/>
      <c r="CAE56" s="389"/>
      <c r="CAF56" s="389"/>
      <c r="CAO56" s="389"/>
      <c r="CAP56" s="389"/>
      <c r="CAY56" s="389"/>
      <c r="CAZ56" s="389"/>
      <c r="CBI56" s="389"/>
      <c r="CBJ56" s="389"/>
      <c r="CBS56" s="389"/>
      <c r="CBT56" s="389"/>
      <c r="CCC56" s="389"/>
      <c r="CCD56" s="389"/>
      <c r="CCM56" s="389"/>
      <c r="CCN56" s="389"/>
      <c r="CCW56" s="389"/>
      <c r="CCX56" s="389"/>
      <c r="CDG56" s="389"/>
      <c r="CDH56" s="389"/>
      <c r="CDQ56" s="389"/>
      <c r="CDR56" s="389"/>
      <c r="CEA56" s="389"/>
      <c r="CEB56" s="389"/>
      <c r="CEK56" s="389"/>
      <c r="CEL56" s="389"/>
      <c r="CEU56" s="389"/>
      <c r="CEV56" s="389"/>
      <c r="CFE56" s="389"/>
      <c r="CFF56" s="389"/>
      <c r="CFO56" s="389"/>
      <c r="CFP56" s="389"/>
      <c r="CFY56" s="389"/>
      <c r="CFZ56" s="389"/>
      <c r="CGI56" s="389"/>
      <c r="CGJ56" s="389"/>
      <c r="CGS56" s="389"/>
      <c r="CGT56" s="389"/>
      <c r="CHC56" s="389"/>
      <c r="CHD56" s="389"/>
      <c r="CHM56" s="389"/>
      <c r="CHN56" s="389"/>
      <c r="CHW56" s="389"/>
      <c r="CHX56" s="389"/>
      <c r="CIG56" s="389"/>
      <c r="CIH56" s="389"/>
      <c r="CIQ56" s="389"/>
      <c r="CIR56" s="389"/>
      <c r="CJA56" s="389"/>
      <c r="CJB56" s="389"/>
      <c r="CJK56" s="389"/>
      <c r="CJL56" s="389"/>
      <c r="CJU56" s="389"/>
      <c r="CJV56" s="389"/>
      <c r="CKE56" s="389"/>
      <c r="CKF56" s="389"/>
      <c r="CKO56" s="389"/>
      <c r="CKP56" s="389"/>
      <c r="CKY56" s="389"/>
      <c r="CKZ56" s="389"/>
      <c r="CLI56" s="389"/>
      <c r="CLJ56" s="389"/>
      <c r="CLS56" s="389"/>
      <c r="CLT56" s="389"/>
      <c r="CMC56" s="389"/>
      <c r="CMD56" s="389"/>
      <c r="CMM56" s="389"/>
      <c r="CMN56" s="389"/>
      <c r="CMW56" s="389"/>
      <c r="CMX56" s="389"/>
      <c r="CNG56" s="389"/>
      <c r="CNH56" s="389"/>
      <c r="CNQ56" s="389"/>
      <c r="CNR56" s="389"/>
      <c r="COA56" s="389"/>
      <c r="COB56" s="389"/>
      <c r="COK56" s="389"/>
      <c r="COL56" s="389"/>
      <c r="COU56" s="389"/>
      <c r="COV56" s="389"/>
      <c r="CPE56" s="389"/>
      <c r="CPF56" s="389"/>
      <c r="CPO56" s="389"/>
      <c r="CPP56" s="389"/>
      <c r="CPY56" s="389"/>
      <c r="CPZ56" s="389"/>
      <c r="CQI56" s="389"/>
      <c r="CQJ56" s="389"/>
      <c r="CQS56" s="389"/>
      <c r="CQT56" s="389"/>
      <c r="CRC56" s="389"/>
      <c r="CRD56" s="389"/>
      <c r="CRM56" s="389"/>
      <c r="CRN56" s="389"/>
      <c r="CRW56" s="389"/>
      <c r="CRX56" s="389"/>
      <c r="CSG56" s="389"/>
      <c r="CSH56" s="389"/>
      <c r="CSQ56" s="389"/>
      <c r="CSR56" s="389"/>
      <c r="CTA56" s="389"/>
      <c r="CTB56" s="389"/>
      <c r="CTK56" s="389"/>
      <c r="CTL56" s="389"/>
      <c r="CTU56" s="389"/>
      <c r="CTV56" s="389"/>
      <c r="CUE56" s="389"/>
      <c r="CUF56" s="389"/>
      <c r="CUO56" s="389"/>
      <c r="CUP56" s="389"/>
      <c r="CUY56" s="389"/>
      <c r="CUZ56" s="389"/>
      <c r="CVI56" s="389"/>
      <c r="CVJ56" s="389"/>
      <c r="CVS56" s="389"/>
      <c r="CVT56" s="389"/>
      <c r="CWC56" s="389"/>
      <c r="CWD56" s="389"/>
      <c r="CWM56" s="389"/>
      <c r="CWN56" s="389"/>
      <c r="CWW56" s="389"/>
      <c r="CWX56" s="389"/>
      <c r="CXG56" s="389"/>
      <c r="CXH56" s="389"/>
      <c r="CXQ56" s="389"/>
      <c r="CXR56" s="389"/>
      <c r="CYA56" s="389"/>
      <c r="CYB56" s="389"/>
      <c r="CYK56" s="389"/>
      <c r="CYL56" s="389"/>
      <c r="CYU56" s="389"/>
      <c r="CYV56" s="389"/>
      <c r="CZE56" s="389"/>
      <c r="CZF56" s="389"/>
      <c r="CZO56" s="389"/>
      <c r="CZP56" s="389"/>
      <c r="CZY56" s="389"/>
      <c r="CZZ56" s="389"/>
      <c r="DAI56" s="389"/>
      <c r="DAJ56" s="389"/>
      <c r="DAS56" s="389"/>
      <c r="DAT56" s="389"/>
      <c r="DBC56" s="389"/>
      <c r="DBD56" s="389"/>
      <c r="DBM56" s="389"/>
      <c r="DBN56" s="389"/>
      <c r="DBW56" s="389"/>
      <c r="DBX56" s="389"/>
      <c r="DCG56" s="389"/>
      <c r="DCH56" s="389"/>
      <c r="DCQ56" s="389"/>
      <c r="DCR56" s="389"/>
      <c r="DDA56" s="389"/>
      <c r="DDB56" s="389"/>
      <c r="DDK56" s="389"/>
      <c r="DDL56" s="389"/>
      <c r="DDU56" s="389"/>
      <c r="DDV56" s="389"/>
      <c r="DEE56" s="389"/>
      <c r="DEF56" s="389"/>
      <c r="DEO56" s="389"/>
      <c r="DEP56" s="389"/>
      <c r="DEY56" s="389"/>
      <c r="DEZ56" s="389"/>
      <c r="DFI56" s="389"/>
      <c r="DFJ56" s="389"/>
      <c r="DFS56" s="389"/>
      <c r="DFT56" s="389"/>
      <c r="DGC56" s="389"/>
      <c r="DGD56" s="389"/>
      <c r="DGM56" s="389"/>
      <c r="DGN56" s="389"/>
      <c r="DGW56" s="389"/>
      <c r="DGX56" s="389"/>
      <c r="DHG56" s="389"/>
      <c r="DHH56" s="389"/>
      <c r="DHQ56" s="389"/>
      <c r="DHR56" s="389"/>
      <c r="DIA56" s="389"/>
      <c r="DIB56" s="389"/>
      <c r="DIK56" s="389"/>
      <c r="DIL56" s="389"/>
      <c r="DIU56" s="389"/>
      <c r="DIV56" s="389"/>
      <c r="DJE56" s="389"/>
      <c r="DJF56" s="389"/>
      <c r="DJO56" s="389"/>
      <c r="DJP56" s="389"/>
      <c r="DJY56" s="389"/>
      <c r="DJZ56" s="389"/>
      <c r="DKI56" s="389"/>
      <c r="DKJ56" s="389"/>
      <c r="DKS56" s="389"/>
      <c r="DKT56" s="389"/>
      <c r="DLC56" s="389"/>
      <c r="DLD56" s="389"/>
      <c r="DLM56" s="389"/>
      <c r="DLN56" s="389"/>
      <c r="DLW56" s="389"/>
      <c r="DLX56" s="389"/>
      <c r="DMG56" s="389"/>
      <c r="DMH56" s="389"/>
      <c r="DMQ56" s="389"/>
      <c r="DMR56" s="389"/>
      <c r="DNA56" s="389"/>
      <c r="DNB56" s="389"/>
      <c r="DNK56" s="389"/>
      <c r="DNL56" s="389"/>
      <c r="DNU56" s="389"/>
      <c r="DNV56" s="389"/>
      <c r="DOE56" s="389"/>
      <c r="DOF56" s="389"/>
      <c r="DOO56" s="389"/>
      <c r="DOP56" s="389"/>
      <c r="DOY56" s="389"/>
      <c r="DOZ56" s="389"/>
      <c r="DPI56" s="389"/>
      <c r="DPJ56" s="389"/>
      <c r="DPS56" s="389"/>
      <c r="DPT56" s="389"/>
      <c r="DQC56" s="389"/>
      <c r="DQD56" s="389"/>
      <c r="DQM56" s="389"/>
      <c r="DQN56" s="389"/>
      <c r="DQW56" s="389"/>
      <c r="DQX56" s="389"/>
      <c r="DRG56" s="389"/>
      <c r="DRH56" s="389"/>
      <c r="DRQ56" s="389"/>
      <c r="DRR56" s="389"/>
      <c r="DSA56" s="389"/>
      <c r="DSB56" s="389"/>
      <c r="DSK56" s="389"/>
      <c r="DSL56" s="389"/>
      <c r="DSU56" s="389"/>
      <c r="DSV56" s="389"/>
      <c r="DTE56" s="389"/>
      <c r="DTF56" s="389"/>
      <c r="DTO56" s="389"/>
      <c r="DTP56" s="389"/>
      <c r="DTY56" s="389"/>
      <c r="DTZ56" s="389"/>
      <c r="DUI56" s="389"/>
      <c r="DUJ56" s="389"/>
      <c r="DUS56" s="389"/>
      <c r="DUT56" s="389"/>
      <c r="DVC56" s="389"/>
      <c r="DVD56" s="389"/>
      <c r="DVM56" s="389"/>
      <c r="DVN56" s="389"/>
      <c r="DVW56" s="389"/>
      <c r="DVX56" s="389"/>
      <c r="DWG56" s="389"/>
      <c r="DWH56" s="389"/>
      <c r="DWQ56" s="389"/>
      <c r="DWR56" s="389"/>
      <c r="DXA56" s="389"/>
      <c r="DXB56" s="389"/>
      <c r="DXK56" s="389"/>
      <c r="DXL56" s="389"/>
      <c r="DXU56" s="389"/>
      <c r="DXV56" s="389"/>
      <c r="DYE56" s="389"/>
      <c r="DYF56" s="389"/>
      <c r="DYO56" s="389"/>
      <c r="DYP56" s="389"/>
      <c r="DYY56" s="389"/>
      <c r="DYZ56" s="389"/>
      <c r="DZI56" s="389"/>
      <c r="DZJ56" s="389"/>
      <c r="DZS56" s="389"/>
      <c r="DZT56" s="389"/>
      <c r="EAC56" s="389"/>
      <c r="EAD56" s="389"/>
      <c r="EAM56" s="389"/>
      <c r="EAN56" s="389"/>
      <c r="EAW56" s="389"/>
      <c r="EAX56" s="389"/>
      <c r="EBG56" s="389"/>
      <c r="EBH56" s="389"/>
      <c r="EBQ56" s="389"/>
      <c r="EBR56" s="389"/>
      <c r="ECA56" s="389"/>
      <c r="ECB56" s="389"/>
      <c r="ECK56" s="389"/>
      <c r="ECL56" s="389"/>
      <c r="ECU56" s="389"/>
      <c r="ECV56" s="389"/>
      <c r="EDE56" s="389"/>
      <c r="EDF56" s="389"/>
      <c r="EDO56" s="389"/>
      <c r="EDP56" s="389"/>
      <c r="EDY56" s="389"/>
      <c r="EDZ56" s="389"/>
      <c r="EEI56" s="389"/>
      <c r="EEJ56" s="389"/>
      <c r="EES56" s="389"/>
      <c r="EET56" s="389"/>
      <c r="EFC56" s="389"/>
      <c r="EFD56" s="389"/>
      <c r="EFM56" s="389"/>
      <c r="EFN56" s="389"/>
      <c r="EFW56" s="389"/>
      <c r="EFX56" s="389"/>
      <c r="EGG56" s="389"/>
      <c r="EGH56" s="389"/>
      <c r="EGQ56" s="389"/>
      <c r="EGR56" s="389"/>
      <c r="EHA56" s="389"/>
      <c r="EHB56" s="389"/>
      <c r="EHK56" s="389"/>
      <c r="EHL56" s="389"/>
      <c r="EHU56" s="389"/>
      <c r="EHV56" s="389"/>
      <c r="EIE56" s="389"/>
      <c r="EIF56" s="389"/>
      <c r="EIO56" s="389"/>
      <c r="EIP56" s="389"/>
      <c r="EIY56" s="389"/>
      <c r="EIZ56" s="389"/>
      <c r="EJI56" s="389"/>
      <c r="EJJ56" s="389"/>
      <c r="EJS56" s="389"/>
      <c r="EJT56" s="389"/>
      <c r="EKC56" s="389"/>
      <c r="EKD56" s="389"/>
      <c r="EKM56" s="389"/>
      <c r="EKN56" s="389"/>
      <c r="EKW56" s="389"/>
      <c r="EKX56" s="389"/>
      <c r="ELG56" s="389"/>
      <c r="ELH56" s="389"/>
      <c r="ELQ56" s="389"/>
      <c r="ELR56" s="389"/>
      <c r="EMA56" s="389"/>
      <c r="EMB56" s="389"/>
      <c r="EMK56" s="389"/>
      <c r="EML56" s="389"/>
      <c r="EMU56" s="389"/>
      <c r="EMV56" s="389"/>
      <c r="ENE56" s="389"/>
      <c r="ENF56" s="389"/>
      <c r="ENO56" s="389"/>
      <c r="ENP56" s="389"/>
      <c r="ENY56" s="389"/>
      <c r="ENZ56" s="389"/>
      <c r="EOI56" s="389"/>
      <c r="EOJ56" s="389"/>
      <c r="EOS56" s="389"/>
      <c r="EOT56" s="389"/>
      <c r="EPC56" s="389"/>
      <c r="EPD56" s="389"/>
      <c r="EPM56" s="389"/>
      <c r="EPN56" s="389"/>
      <c r="EPW56" s="389"/>
      <c r="EPX56" s="389"/>
      <c r="EQG56" s="389"/>
      <c r="EQH56" s="389"/>
      <c r="EQQ56" s="389"/>
      <c r="EQR56" s="389"/>
      <c r="ERA56" s="389"/>
      <c r="ERB56" s="389"/>
      <c r="ERK56" s="389"/>
      <c r="ERL56" s="389"/>
      <c r="ERU56" s="389"/>
      <c r="ERV56" s="389"/>
      <c r="ESE56" s="389"/>
      <c r="ESF56" s="389"/>
      <c r="ESO56" s="389"/>
      <c r="ESP56" s="389"/>
      <c r="ESY56" s="389"/>
      <c r="ESZ56" s="389"/>
      <c r="ETI56" s="389"/>
      <c r="ETJ56" s="389"/>
      <c r="ETS56" s="389"/>
      <c r="ETT56" s="389"/>
      <c r="EUC56" s="389"/>
      <c r="EUD56" s="389"/>
      <c r="EUM56" s="389"/>
      <c r="EUN56" s="389"/>
      <c r="EUW56" s="389"/>
      <c r="EUX56" s="389"/>
      <c r="EVG56" s="389"/>
      <c r="EVH56" s="389"/>
      <c r="EVQ56" s="389"/>
      <c r="EVR56" s="389"/>
      <c r="EWA56" s="389"/>
      <c r="EWB56" s="389"/>
      <c r="EWK56" s="389"/>
      <c r="EWL56" s="389"/>
      <c r="EWU56" s="389"/>
      <c r="EWV56" s="389"/>
      <c r="EXE56" s="389"/>
      <c r="EXF56" s="389"/>
      <c r="EXO56" s="389"/>
      <c r="EXP56" s="389"/>
      <c r="EXY56" s="389"/>
      <c r="EXZ56" s="389"/>
      <c r="EYI56" s="389"/>
      <c r="EYJ56" s="389"/>
      <c r="EYS56" s="389"/>
      <c r="EYT56" s="389"/>
      <c r="EZC56" s="389"/>
      <c r="EZD56" s="389"/>
      <c r="EZM56" s="389"/>
      <c r="EZN56" s="389"/>
      <c r="EZW56" s="389"/>
      <c r="EZX56" s="389"/>
      <c r="FAG56" s="389"/>
      <c r="FAH56" s="389"/>
      <c r="FAQ56" s="389"/>
      <c r="FAR56" s="389"/>
      <c r="FBA56" s="389"/>
      <c r="FBB56" s="389"/>
      <c r="FBK56" s="389"/>
      <c r="FBL56" s="389"/>
      <c r="FBU56" s="389"/>
      <c r="FBV56" s="389"/>
      <c r="FCE56" s="389"/>
      <c r="FCF56" s="389"/>
      <c r="FCO56" s="389"/>
      <c r="FCP56" s="389"/>
      <c r="FCY56" s="389"/>
      <c r="FCZ56" s="389"/>
      <c r="FDI56" s="389"/>
      <c r="FDJ56" s="389"/>
      <c r="FDS56" s="389"/>
      <c r="FDT56" s="389"/>
      <c r="FEC56" s="389"/>
      <c r="FED56" s="389"/>
      <c r="FEM56" s="389"/>
      <c r="FEN56" s="389"/>
      <c r="FEW56" s="389"/>
      <c r="FEX56" s="389"/>
      <c r="FFG56" s="389"/>
      <c r="FFH56" s="389"/>
      <c r="FFQ56" s="389"/>
      <c r="FFR56" s="389"/>
      <c r="FGA56" s="389"/>
      <c r="FGB56" s="389"/>
      <c r="FGK56" s="389"/>
      <c r="FGL56" s="389"/>
      <c r="FGU56" s="389"/>
      <c r="FGV56" s="389"/>
      <c r="FHE56" s="389"/>
      <c r="FHF56" s="389"/>
      <c r="FHO56" s="389"/>
      <c r="FHP56" s="389"/>
      <c r="FHY56" s="389"/>
      <c r="FHZ56" s="389"/>
      <c r="FII56" s="389"/>
      <c r="FIJ56" s="389"/>
      <c r="FIS56" s="389"/>
      <c r="FIT56" s="389"/>
      <c r="FJC56" s="389"/>
      <c r="FJD56" s="389"/>
      <c r="FJM56" s="389"/>
      <c r="FJN56" s="389"/>
      <c r="FJW56" s="389"/>
      <c r="FJX56" s="389"/>
      <c r="FKG56" s="389"/>
      <c r="FKH56" s="389"/>
      <c r="FKQ56" s="389"/>
      <c r="FKR56" s="389"/>
      <c r="FLA56" s="389"/>
      <c r="FLB56" s="389"/>
      <c r="FLK56" s="389"/>
      <c r="FLL56" s="389"/>
      <c r="FLU56" s="389"/>
      <c r="FLV56" s="389"/>
      <c r="FME56" s="389"/>
      <c r="FMF56" s="389"/>
      <c r="FMO56" s="389"/>
      <c r="FMP56" s="389"/>
      <c r="FMY56" s="389"/>
      <c r="FMZ56" s="389"/>
      <c r="FNI56" s="389"/>
      <c r="FNJ56" s="389"/>
      <c r="FNS56" s="389"/>
      <c r="FNT56" s="389"/>
      <c r="FOC56" s="389"/>
      <c r="FOD56" s="389"/>
      <c r="FOM56" s="389"/>
      <c r="FON56" s="389"/>
      <c r="FOW56" s="389"/>
      <c r="FOX56" s="389"/>
      <c r="FPG56" s="389"/>
      <c r="FPH56" s="389"/>
      <c r="FPQ56" s="389"/>
      <c r="FPR56" s="389"/>
      <c r="FQA56" s="389"/>
      <c r="FQB56" s="389"/>
      <c r="FQK56" s="389"/>
      <c r="FQL56" s="389"/>
      <c r="FQU56" s="389"/>
      <c r="FQV56" s="389"/>
      <c r="FRE56" s="389"/>
      <c r="FRF56" s="389"/>
      <c r="FRO56" s="389"/>
      <c r="FRP56" s="389"/>
      <c r="FRY56" s="389"/>
      <c r="FRZ56" s="389"/>
      <c r="FSI56" s="389"/>
      <c r="FSJ56" s="389"/>
      <c r="FSS56" s="389"/>
      <c r="FST56" s="389"/>
      <c r="FTC56" s="389"/>
      <c r="FTD56" s="389"/>
      <c r="FTM56" s="389"/>
      <c r="FTN56" s="389"/>
      <c r="FTW56" s="389"/>
      <c r="FTX56" s="389"/>
      <c r="FUG56" s="389"/>
      <c r="FUH56" s="389"/>
      <c r="FUQ56" s="389"/>
      <c r="FUR56" s="389"/>
      <c r="FVA56" s="389"/>
      <c r="FVB56" s="389"/>
      <c r="FVK56" s="389"/>
      <c r="FVL56" s="389"/>
      <c r="FVU56" s="389"/>
      <c r="FVV56" s="389"/>
      <c r="FWE56" s="389"/>
      <c r="FWF56" s="389"/>
      <c r="FWO56" s="389"/>
      <c r="FWP56" s="389"/>
      <c r="FWY56" s="389"/>
      <c r="FWZ56" s="389"/>
      <c r="FXI56" s="389"/>
      <c r="FXJ56" s="389"/>
      <c r="FXS56" s="389"/>
      <c r="FXT56" s="389"/>
      <c r="FYC56" s="389"/>
      <c r="FYD56" s="389"/>
      <c r="FYM56" s="389"/>
      <c r="FYN56" s="389"/>
      <c r="FYW56" s="389"/>
      <c r="FYX56" s="389"/>
      <c r="FZG56" s="389"/>
      <c r="FZH56" s="389"/>
      <c r="FZQ56" s="389"/>
      <c r="FZR56" s="389"/>
      <c r="GAA56" s="389"/>
      <c r="GAB56" s="389"/>
      <c r="GAK56" s="389"/>
      <c r="GAL56" s="389"/>
      <c r="GAU56" s="389"/>
      <c r="GAV56" s="389"/>
      <c r="GBE56" s="389"/>
      <c r="GBF56" s="389"/>
      <c r="GBO56" s="389"/>
      <c r="GBP56" s="389"/>
      <c r="GBY56" s="389"/>
      <c r="GBZ56" s="389"/>
      <c r="GCI56" s="389"/>
      <c r="GCJ56" s="389"/>
      <c r="GCS56" s="389"/>
      <c r="GCT56" s="389"/>
      <c r="GDC56" s="389"/>
      <c r="GDD56" s="389"/>
      <c r="GDM56" s="389"/>
      <c r="GDN56" s="389"/>
      <c r="GDW56" s="389"/>
      <c r="GDX56" s="389"/>
      <c r="GEG56" s="389"/>
      <c r="GEH56" s="389"/>
      <c r="GEQ56" s="389"/>
      <c r="GER56" s="389"/>
      <c r="GFA56" s="389"/>
      <c r="GFB56" s="389"/>
      <c r="GFK56" s="389"/>
      <c r="GFL56" s="389"/>
      <c r="GFU56" s="389"/>
      <c r="GFV56" s="389"/>
      <c r="GGE56" s="389"/>
      <c r="GGF56" s="389"/>
      <c r="GGO56" s="389"/>
      <c r="GGP56" s="389"/>
      <c r="GGY56" s="389"/>
      <c r="GGZ56" s="389"/>
      <c r="GHI56" s="389"/>
      <c r="GHJ56" s="389"/>
      <c r="GHS56" s="389"/>
      <c r="GHT56" s="389"/>
      <c r="GIC56" s="389"/>
      <c r="GID56" s="389"/>
      <c r="GIM56" s="389"/>
      <c r="GIN56" s="389"/>
      <c r="GIW56" s="389"/>
      <c r="GIX56" s="389"/>
      <c r="GJG56" s="389"/>
      <c r="GJH56" s="389"/>
      <c r="GJQ56" s="389"/>
      <c r="GJR56" s="389"/>
      <c r="GKA56" s="389"/>
      <c r="GKB56" s="389"/>
      <c r="GKK56" s="389"/>
      <c r="GKL56" s="389"/>
      <c r="GKU56" s="389"/>
      <c r="GKV56" s="389"/>
      <c r="GLE56" s="389"/>
      <c r="GLF56" s="389"/>
      <c r="GLO56" s="389"/>
      <c r="GLP56" s="389"/>
      <c r="GLY56" s="389"/>
      <c r="GLZ56" s="389"/>
      <c r="GMI56" s="389"/>
      <c r="GMJ56" s="389"/>
      <c r="GMS56" s="389"/>
      <c r="GMT56" s="389"/>
      <c r="GNC56" s="389"/>
      <c r="GND56" s="389"/>
      <c r="GNM56" s="389"/>
      <c r="GNN56" s="389"/>
      <c r="GNW56" s="389"/>
      <c r="GNX56" s="389"/>
      <c r="GOG56" s="389"/>
      <c r="GOH56" s="389"/>
      <c r="GOQ56" s="389"/>
      <c r="GOR56" s="389"/>
      <c r="GPA56" s="389"/>
      <c r="GPB56" s="389"/>
      <c r="GPK56" s="389"/>
      <c r="GPL56" s="389"/>
      <c r="GPU56" s="389"/>
      <c r="GPV56" s="389"/>
      <c r="GQE56" s="389"/>
      <c r="GQF56" s="389"/>
      <c r="GQO56" s="389"/>
      <c r="GQP56" s="389"/>
      <c r="GQY56" s="389"/>
      <c r="GQZ56" s="389"/>
      <c r="GRI56" s="389"/>
      <c r="GRJ56" s="389"/>
      <c r="GRS56" s="389"/>
      <c r="GRT56" s="389"/>
      <c r="GSC56" s="389"/>
      <c r="GSD56" s="389"/>
      <c r="GSM56" s="389"/>
      <c r="GSN56" s="389"/>
      <c r="GSW56" s="389"/>
      <c r="GSX56" s="389"/>
      <c r="GTG56" s="389"/>
      <c r="GTH56" s="389"/>
      <c r="GTQ56" s="389"/>
      <c r="GTR56" s="389"/>
      <c r="GUA56" s="389"/>
      <c r="GUB56" s="389"/>
      <c r="GUK56" s="389"/>
      <c r="GUL56" s="389"/>
      <c r="GUU56" s="389"/>
      <c r="GUV56" s="389"/>
      <c r="GVE56" s="389"/>
      <c r="GVF56" s="389"/>
      <c r="GVO56" s="389"/>
      <c r="GVP56" s="389"/>
      <c r="GVY56" s="389"/>
      <c r="GVZ56" s="389"/>
      <c r="GWI56" s="389"/>
      <c r="GWJ56" s="389"/>
      <c r="GWS56" s="389"/>
      <c r="GWT56" s="389"/>
      <c r="GXC56" s="389"/>
      <c r="GXD56" s="389"/>
      <c r="GXM56" s="389"/>
      <c r="GXN56" s="389"/>
      <c r="GXW56" s="389"/>
      <c r="GXX56" s="389"/>
      <c r="GYG56" s="389"/>
      <c r="GYH56" s="389"/>
      <c r="GYQ56" s="389"/>
      <c r="GYR56" s="389"/>
      <c r="GZA56" s="389"/>
      <c r="GZB56" s="389"/>
      <c r="GZK56" s="389"/>
      <c r="GZL56" s="389"/>
      <c r="GZU56" s="389"/>
      <c r="GZV56" s="389"/>
      <c r="HAE56" s="389"/>
      <c r="HAF56" s="389"/>
      <c r="HAO56" s="389"/>
      <c r="HAP56" s="389"/>
      <c r="HAY56" s="389"/>
      <c r="HAZ56" s="389"/>
      <c r="HBI56" s="389"/>
      <c r="HBJ56" s="389"/>
      <c r="HBS56" s="389"/>
      <c r="HBT56" s="389"/>
      <c r="HCC56" s="389"/>
      <c r="HCD56" s="389"/>
      <c r="HCM56" s="389"/>
      <c r="HCN56" s="389"/>
      <c r="HCW56" s="389"/>
      <c r="HCX56" s="389"/>
      <c r="HDG56" s="389"/>
      <c r="HDH56" s="389"/>
      <c r="HDQ56" s="389"/>
      <c r="HDR56" s="389"/>
      <c r="HEA56" s="389"/>
      <c r="HEB56" s="389"/>
      <c r="HEK56" s="389"/>
      <c r="HEL56" s="389"/>
      <c r="HEU56" s="389"/>
      <c r="HEV56" s="389"/>
      <c r="HFE56" s="389"/>
      <c r="HFF56" s="389"/>
      <c r="HFO56" s="389"/>
      <c r="HFP56" s="389"/>
      <c r="HFY56" s="389"/>
      <c r="HFZ56" s="389"/>
      <c r="HGI56" s="389"/>
      <c r="HGJ56" s="389"/>
      <c r="HGS56" s="389"/>
      <c r="HGT56" s="389"/>
      <c r="HHC56" s="389"/>
      <c r="HHD56" s="389"/>
      <c r="HHM56" s="389"/>
      <c r="HHN56" s="389"/>
      <c r="HHW56" s="389"/>
      <c r="HHX56" s="389"/>
      <c r="HIG56" s="389"/>
      <c r="HIH56" s="389"/>
      <c r="HIQ56" s="389"/>
      <c r="HIR56" s="389"/>
      <c r="HJA56" s="389"/>
      <c r="HJB56" s="389"/>
      <c r="HJK56" s="389"/>
      <c r="HJL56" s="389"/>
      <c r="HJU56" s="389"/>
      <c r="HJV56" s="389"/>
      <c r="HKE56" s="389"/>
      <c r="HKF56" s="389"/>
      <c r="HKO56" s="389"/>
      <c r="HKP56" s="389"/>
      <c r="HKY56" s="389"/>
      <c r="HKZ56" s="389"/>
      <c r="HLI56" s="389"/>
      <c r="HLJ56" s="389"/>
      <c r="HLS56" s="389"/>
      <c r="HLT56" s="389"/>
      <c r="HMC56" s="389"/>
      <c r="HMD56" s="389"/>
      <c r="HMM56" s="389"/>
      <c r="HMN56" s="389"/>
      <c r="HMW56" s="389"/>
      <c r="HMX56" s="389"/>
      <c r="HNG56" s="389"/>
      <c r="HNH56" s="389"/>
      <c r="HNQ56" s="389"/>
      <c r="HNR56" s="389"/>
      <c r="HOA56" s="389"/>
      <c r="HOB56" s="389"/>
      <c r="HOK56" s="389"/>
      <c r="HOL56" s="389"/>
      <c r="HOU56" s="389"/>
      <c r="HOV56" s="389"/>
      <c r="HPE56" s="389"/>
      <c r="HPF56" s="389"/>
      <c r="HPO56" s="389"/>
      <c r="HPP56" s="389"/>
      <c r="HPY56" s="389"/>
      <c r="HPZ56" s="389"/>
      <c r="HQI56" s="389"/>
      <c r="HQJ56" s="389"/>
      <c r="HQS56" s="389"/>
      <c r="HQT56" s="389"/>
      <c r="HRC56" s="389"/>
      <c r="HRD56" s="389"/>
      <c r="HRM56" s="389"/>
      <c r="HRN56" s="389"/>
      <c r="HRW56" s="389"/>
      <c r="HRX56" s="389"/>
      <c r="HSG56" s="389"/>
      <c r="HSH56" s="389"/>
      <c r="HSQ56" s="389"/>
      <c r="HSR56" s="389"/>
      <c r="HTA56" s="389"/>
      <c r="HTB56" s="389"/>
      <c r="HTK56" s="389"/>
      <c r="HTL56" s="389"/>
      <c r="HTU56" s="389"/>
      <c r="HTV56" s="389"/>
      <c r="HUE56" s="389"/>
      <c r="HUF56" s="389"/>
      <c r="HUO56" s="389"/>
      <c r="HUP56" s="389"/>
      <c r="HUY56" s="389"/>
      <c r="HUZ56" s="389"/>
      <c r="HVI56" s="389"/>
      <c r="HVJ56" s="389"/>
      <c r="HVS56" s="389"/>
      <c r="HVT56" s="389"/>
      <c r="HWC56" s="389"/>
      <c r="HWD56" s="389"/>
      <c r="HWM56" s="389"/>
      <c r="HWN56" s="389"/>
      <c r="HWW56" s="389"/>
      <c r="HWX56" s="389"/>
      <c r="HXG56" s="389"/>
      <c r="HXH56" s="389"/>
      <c r="HXQ56" s="389"/>
      <c r="HXR56" s="389"/>
      <c r="HYA56" s="389"/>
      <c r="HYB56" s="389"/>
      <c r="HYK56" s="389"/>
      <c r="HYL56" s="389"/>
      <c r="HYU56" s="389"/>
      <c r="HYV56" s="389"/>
      <c r="HZE56" s="389"/>
      <c r="HZF56" s="389"/>
      <c r="HZO56" s="389"/>
      <c r="HZP56" s="389"/>
      <c r="HZY56" s="389"/>
      <c r="HZZ56" s="389"/>
      <c r="IAI56" s="389"/>
      <c r="IAJ56" s="389"/>
      <c r="IAS56" s="389"/>
      <c r="IAT56" s="389"/>
      <c r="IBC56" s="389"/>
      <c r="IBD56" s="389"/>
      <c r="IBM56" s="389"/>
      <c r="IBN56" s="389"/>
      <c r="IBW56" s="389"/>
      <c r="IBX56" s="389"/>
      <c r="ICG56" s="389"/>
      <c r="ICH56" s="389"/>
      <c r="ICQ56" s="389"/>
      <c r="ICR56" s="389"/>
      <c r="IDA56" s="389"/>
      <c r="IDB56" s="389"/>
      <c r="IDK56" s="389"/>
      <c r="IDL56" s="389"/>
      <c r="IDU56" s="389"/>
      <c r="IDV56" s="389"/>
      <c r="IEE56" s="389"/>
      <c r="IEF56" s="389"/>
      <c r="IEO56" s="389"/>
      <c r="IEP56" s="389"/>
      <c r="IEY56" s="389"/>
      <c r="IEZ56" s="389"/>
      <c r="IFI56" s="389"/>
      <c r="IFJ56" s="389"/>
      <c r="IFS56" s="389"/>
      <c r="IFT56" s="389"/>
      <c r="IGC56" s="389"/>
      <c r="IGD56" s="389"/>
      <c r="IGM56" s="389"/>
      <c r="IGN56" s="389"/>
      <c r="IGW56" s="389"/>
      <c r="IGX56" s="389"/>
      <c r="IHG56" s="389"/>
      <c r="IHH56" s="389"/>
      <c r="IHQ56" s="389"/>
      <c r="IHR56" s="389"/>
      <c r="IIA56" s="389"/>
      <c r="IIB56" s="389"/>
      <c r="IIK56" s="389"/>
      <c r="IIL56" s="389"/>
      <c r="IIU56" s="389"/>
      <c r="IIV56" s="389"/>
      <c r="IJE56" s="389"/>
      <c r="IJF56" s="389"/>
      <c r="IJO56" s="389"/>
      <c r="IJP56" s="389"/>
      <c r="IJY56" s="389"/>
      <c r="IJZ56" s="389"/>
      <c r="IKI56" s="389"/>
      <c r="IKJ56" s="389"/>
      <c r="IKS56" s="389"/>
      <c r="IKT56" s="389"/>
      <c r="ILC56" s="389"/>
      <c r="ILD56" s="389"/>
      <c r="ILM56" s="389"/>
      <c r="ILN56" s="389"/>
      <c r="ILW56" s="389"/>
      <c r="ILX56" s="389"/>
      <c r="IMG56" s="389"/>
      <c r="IMH56" s="389"/>
      <c r="IMQ56" s="389"/>
      <c r="IMR56" s="389"/>
      <c r="INA56" s="389"/>
      <c r="INB56" s="389"/>
      <c r="INK56" s="389"/>
      <c r="INL56" s="389"/>
      <c r="INU56" s="389"/>
      <c r="INV56" s="389"/>
      <c r="IOE56" s="389"/>
      <c r="IOF56" s="389"/>
      <c r="IOO56" s="389"/>
      <c r="IOP56" s="389"/>
      <c r="IOY56" s="389"/>
      <c r="IOZ56" s="389"/>
      <c r="IPI56" s="389"/>
      <c r="IPJ56" s="389"/>
      <c r="IPS56" s="389"/>
      <c r="IPT56" s="389"/>
      <c r="IQC56" s="389"/>
      <c r="IQD56" s="389"/>
      <c r="IQM56" s="389"/>
      <c r="IQN56" s="389"/>
      <c r="IQW56" s="389"/>
      <c r="IQX56" s="389"/>
      <c r="IRG56" s="389"/>
      <c r="IRH56" s="389"/>
      <c r="IRQ56" s="389"/>
      <c r="IRR56" s="389"/>
      <c r="ISA56" s="389"/>
      <c r="ISB56" s="389"/>
      <c r="ISK56" s="389"/>
      <c r="ISL56" s="389"/>
      <c r="ISU56" s="389"/>
      <c r="ISV56" s="389"/>
      <c r="ITE56" s="389"/>
      <c r="ITF56" s="389"/>
      <c r="ITO56" s="389"/>
      <c r="ITP56" s="389"/>
      <c r="ITY56" s="389"/>
      <c r="ITZ56" s="389"/>
      <c r="IUI56" s="389"/>
      <c r="IUJ56" s="389"/>
      <c r="IUS56" s="389"/>
      <c r="IUT56" s="389"/>
      <c r="IVC56" s="389"/>
      <c r="IVD56" s="389"/>
      <c r="IVM56" s="389"/>
      <c r="IVN56" s="389"/>
      <c r="IVW56" s="389"/>
      <c r="IVX56" s="389"/>
      <c r="IWG56" s="389"/>
      <c r="IWH56" s="389"/>
      <c r="IWQ56" s="389"/>
      <c r="IWR56" s="389"/>
      <c r="IXA56" s="389"/>
      <c r="IXB56" s="389"/>
      <c r="IXK56" s="389"/>
      <c r="IXL56" s="389"/>
      <c r="IXU56" s="389"/>
      <c r="IXV56" s="389"/>
      <c r="IYE56" s="389"/>
      <c r="IYF56" s="389"/>
      <c r="IYO56" s="389"/>
      <c r="IYP56" s="389"/>
      <c r="IYY56" s="389"/>
      <c r="IYZ56" s="389"/>
      <c r="IZI56" s="389"/>
      <c r="IZJ56" s="389"/>
      <c r="IZS56" s="389"/>
      <c r="IZT56" s="389"/>
      <c r="JAC56" s="389"/>
      <c r="JAD56" s="389"/>
      <c r="JAM56" s="389"/>
      <c r="JAN56" s="389"/>
      <c r="JAW56" s="389"/>
      <c r="JAX56" s="389"/>
      <c r="JBG56" s="389"/>
      <c r="JBH56" s="389"/>
      <c r="JBQ56" s="389"/>
      <c r="JBR56" s="389"/>
      <c r="JCA56" s="389"/>
      <c r="JCB56" s="389"/>
      <c r="JCK56" s="389"/>
      <c r="JCL56" s="389"/>
      <c r="JCU56" s="389"/>
      <c r="JCV56" s="389"/>
      <c r="JDE56" s="389"/>
      <c r="JDF56" s="389"/>
      <c r="JDO56" s="389"/>
      <c r="JDP56" s="389"/>
      <c r="JDY56" s="389"/>
      <c r="JDZ56" s="389"/>
      <c r="JEI56" s="389"/>
      <c r="JEJ56" s="389"/>
      <c r="JES56" s="389"/>
      <c r="JET56" s="389"/>
      <c r="JFC56" s="389"/>
      <c r="JFD56" s="389"/>
      <c r="JFM56" s="389"/>
      <c r="JFN56" s="389"/>
      <c r="JFW56" s="389"/>
      <c r="JFX56" s="389"/>
      <c r="JGG56" s="389"/>
      <c r="JGH56" s="389"/>
      <c r="JGQ56" s="389"/>
      <c r="JGR56" s="389"/>
      <c r="JHA56" s="389"/>
      <c r="JHB56" s="389"/>
      <c r="JHK56" s="389"/>
      <c r="JHL56" s="389"/>
      <c r="JHU56" s="389"/>
      <c r="JHV56" s="389"/>
      <c r="JIE56" s="389"/>
      <c r="JIF56" s="389"/>
      <c r="JIO56" s="389"/>
      <c r="JIP56" s="389"/>
      <c r="JIY56" s="389"/>
      <c r="JIZ56" s="389"/>
      <c r="JJI56" s="389"/>
      <c r="JJJ56" s="389"/>
      <c r="JJS56" s="389"/>
      <c r="JJT56" s="389"/>
      <c r="JKC56" s="389"/>
      <c r="JKD56" s="389"/>
      <c r="JKM56" s="389"/>
      <c r="JKN56" s="389"/>
      <c r="JKW56" s="389"/>
      <c r="JKX56" s="389"/>
      <c r="JLG56" s="389"/>
      <c r="JLH56" s="389"/>
      <c r="JLQ56" s="389"/>
      <c r="JLR56" s="389"/>
      <c r="JMA56" s="389"/>
      <c r="JMB56" s="389"/>
      <c r="JMK56" s="389"/>
      <c r="JML56" s="389"/>
      <c r="JMU56" s="389"/>
      <c r="JMV56" s="389"/>
      <c r="JNE56" s="389"/>
      <c r="JNF56" s="389"/>
      <c r="JNO56" s="389"/>
      <c r="JNP56" s="389"/>
      <c r="JNY56" s="389"/>
      <c r="JNZ56" s="389"/>
      <c r="JOI56" s="389"/>
      <c r="JOJ56" s="389"/>
      <c r="JOS56" s="389"/>
      <c r="JOT56" s="389"/>
      <c r="JPC56" s="389"/>
      <c r="JPD56" s="389"/>
      <c r="JPM56" s="389"/>
      <c r="JPN56" s="389"/>
      <c r="JPW56" s="389"/>
      <c r="JPX56" s="389"/>
      <c r="JQG56" s="389"/>
      <c r="JQH56" s="389"/>
      <c r="JQQ56" s="389"/>
      <c r="JQR56" s="389"/>
      <c r="JRA56" s="389"/>
      <c r="JRB56" s="389"/>
      <c r="JRK56" s="389"/>
      <c r="JRL56" s="389"/>
      <c r="JRU56" s="389"/>
      <c r="JRV56" s="389"/>
      <c r="JSE56" s="389"/>
      <c r="JSF56" s="389"/>
      <c r="JSO56" s="389"/>
      <c r="JSP56" s="389"/>
      <c r="JSY56" s="389"/>
      <c r="JSZ56" s="389"/>
      <c r="JTI56" s="389"/>
      <c r="JTJ56" s="389"/>
      <c r="JTS56" s="389"/>
      <c r="JTT56" s="389"/>
      <c r="JUC56" s="389"/>
      <c r="JUD56" s="389"/>
      <c r="JUM56" s="389"/>
      <c r="JUN56" s="389"/>
      <c r="JUW56" s="389"/>
      <c r="JUX56" s="389"/>
      <c r="JVG56" s="389"/>
      <c r="JVH56" s="389"/>
      <c r="JVQ56" s="389"/>
      <c r="JVR56" s="389"/>
      <c r="JWA56" s="389"/>
      <c r="JWB56" s="389"/>
      <c r="JWK56" s="389"/>
      <c r="JWL56" s="389"/>
      <c r="JWU56" s="389"/>
      <c r="JWV56" s="389"/>
      <c r="JXE56" s="389"/>
      <c r="JXF56" s="389"/>
      <c r="JXO56" s="389"/>
      <c r="JXP56" s="389"/>
      <c r="JXY56" s="389"/>
      <c r="JXZ56" s="389"/>
      <c r="JYI56" s="389"/>
      <c r="JYJ56" s="389"/>
      <c r="JYS56" s="389"/>
      <c r="JYT56" s="389"/>
      <c r="JZC56" s="389"/>
      <c r="JZD56" s="389"/>
      <c r="JZM56" s="389"/>
      <c r="JZN56" s="389"/>
      <c r="JZW56" s="389"/>
      <c r="JZX56" s="389"/>
      <c r="KAG56" s="389"/>
      <c r="KAH56" s="389"/>
      <c r="KAQ56" s="389"/>
      <c r="KAR56" s="389"/>
      <c r="KBA56" s="389"/>
      <c r="KBB56" s="389"/>
      <c r="KBK56" s="389"/>
      <c r="KBL56" s="389"/>
      <c r="KBU56" s="389"/>
      <c r="KBV56" s="389"/>
      <c r="KCE56" s="389"/>
      <c r="KCF56" s="389"/>
      <c r="KCO56" s="389"/>
      <c r="KCP56" s="389"/>
      <c r="KCY56" s="389"/>
      <c r="KCZ56" s="389"/>
      <c r="KDI56" s="389"/>
      <c r="KDJ56" s="389"/>
      <c r="KDS56" s="389"/>
      <c r="KDT56" s="389"/>
      <c r="KEC56" s="389"/>
      <c r="KED56" s="389"/>
      <c r="KEM56" s="389"/>
      <c r="KEN56" s="389"/>
      <c r="KEW56" s="389"/>
      <c r="KEX56" s="389"/>
      <c r="KFG56" s="389"/>
      <c r="KFH56" s="389"/>
      <c r="KFQ56" s="389"/>
      <c r="KFR56" s="389"/>
      <c r="KGA56" s="389"/>
      <c r="KGB56" s="389"/>
      <c r="KGK56" s="389"/>
      <c r="KGL56" s="389"/>
      <c r="KGU56" s="389"/>
      <c r="KGV56" s="389"/>
      <c r="KHE56" s="389"/>
      <c r="KHF56" s="389"/>
      <c r="KHO56" s="389"/>
      <c r="KHP56" s="389"/>
      <c r="KHY56" s="389"/>
      <c r="KHZ56" s="389"/>
      <c r="KII56" s="389"/>
      <c r="KIJ56" s="389"/>
      <c r="KIS56" s="389"/>
      <c r="KIT56" s="389"/>
      <c r="KJC56" s="389"/>
      <c r="KJD56" s="389"/>
      <c r="KJM56" s="389"/>
      <c r="KJN56" s="389"/>
      <c r="KJW56" s="389"/>
      <c r="KJX56" s="389"/>
      <c r="KKG56" s="389"/>
      <c r="KKH56" s="389"/>
      <c r="KKQ56" s="389"/>
      <c r="KKR56" s="389"/>
      <c r="KLA56" s="389"/>
      <c r="KLB56" s="389"/>
      <c r="KLK56" s="389"/>
      <c r="KLL56" s="389"/>
      <c r="KLU56" s="389"/>
      <c r="KLV56" s="389"/>
      <c r="KME56" s="389"/>
      <c r="KMF56" s="389"/>
      <c r="KMO56" s="389"/>
      <c r="KMP56" s="389"/>
      <c r="KMY56" s="389"/>
      <c r="KMZ56" s="389"/>
      <c r="KNI56" s="389"/>
      <c r="KNJ56" s="389"/>
      <c r="KNS56" s="389"/>
      <c r="KNT56" s="389"/>
      <c r="KOC56" s="389"/>
      <c r="KOD56" s="389"/>
      <c r="KOM56" s="389"/>
      <c r="KON56" s="389"/>
      <c r="KOW56" s="389"/>
      <c r="KOX56" s="389"/>
      <c r="KPG56" s="389"/>
      <c r="KPH56" s="389"/>
      <c r="KPQ56" s="389"/>
      <c r="KPR56" s="389"/>
      <c r="KQA56" s="389"/>
      <c r="KQB56" s="389"/>
      <c r="KQK56" s="389"/>
      <c r="KQL56" s="389"/>
      <c r="KQU56" s="389"/>
      <c r="KQV56" s="389"/>
      <c r="KRE56" s="389"/>
      <c r="KRF56" s="389"/>
      <c r="KRO56" s="389"/>
      <c r="KRP56" s="389"/>
      <c r="KRY56" s="389"/>
      <c r="KRZ56" s="389"/>
      <c r="KSI56" s="389"/>
      <c r="KSJ56" s="389"/>
      <c r="KSS56" s="389"/>
      <c r="KST56" s="389"/>
      <c r="KTC56" s="389"/>
      <c r="KTD56" s="389"/>
      <c r="KTM56" s="389"/>
      <c r="KTN56" s="389"/>
      <c r="KTW56" s="389"/>
      <c r="KTX56" s="389"/>
      <c r="KUG56" s="389"/>
      <c r="KUH56" s="389"/>
      <c r="KUQ56" s="389"/>
      <c r="KUR56" s="389"/>
      <c r="KVA56" s="389"/>
      <c r="KVB56" s="389"/>
      <c r="KVK56" s="389"/>
      <c r="KVL56" s="389"/>
      <c r="KVU56" s="389"/>
      <c r="KVV56" s="389"/>
      <c r="KWE56" s="389"/>
      <c r="KWF56" s="389"/>
      <c r="KWO56" s="389"/>
      <c r="KWP56" s="389"/>
      <c r="KWY56" s="389"/>
      <c r="KWZ56" s="389"/>
      <c r="KXI56" s="389"/>
      <c r="KXJ56" s="389"/>
      <c r="KXS56" s="389"/>
      <c r="KXT56" s="389"/>
      <c r="KYC56" s="389"/>
      <c r="KYD56" s="389"/>
      <c r="KYM56" s="389"/>
      <c r="KYN56" s="389"/>
      <c r="KYW56" s="389"/>
      <c r="KYX56" s="389"/>
      <c r="KZG56" s="389"/>
      <c r="KZH56" s="389"/>
      <c r="KZQ56" s="389"/>
      <c r="KZR56" s="389"/>
      <c r="LAA56" s="389"/>
      <c r="LAB56" s="389"/>
      <c r="LAK56" s="389"/>
      <c r="LAL56" s="389"/>
      <c r="LAU56" s="389"/>
      <c r="LAV56" s="389"/>
      <c r="LBE56" s="389"/>
      <c r="LBF56" s="389"/>
      <c r="LBO56" s="389"/>
      <c r="LBP56" s="389"/>
      <c r="LBY56" s="389"/>
      <c r="LBZ56" s="389"/>
      <c r="LCI56" s="389"/>
      <c r="LCJ56" s="389"/>
      <c r="LCS56" s="389"/>
      <c r="LCT56" s="389"/>
      <c r="LDC56" s="389"/>
      <c r="LDD56" s="389"/>
      <c r="LDM56" s="389"/>
      <c r="LDN56" s="389"/>
      <c r="LDW56" s="389"/>
      <c r="LDX56" s="389"/>
      <c r="LEG56" s="389"/>
      <c r="LEH56" s="389"/>
      <c r="LEQ56" s="389"/>
      <c r="LER56" s="389"/>
      <c r="LFA56" s="389"/>
      <c r="LFB56" s="389"/>
      <c r="LFK56" s="389"/>
      <c r="LFL56" s="389"/>
      <c r="LFU56" s="389"/>
      <c r="LFV56" s="389"/>
      <c r="LGE56" s="389"/>
      <c r="LGF56" s="389"/>
      <c r="LGO56" s="389"/>
      <c r="LGP56" s="389"/>
      <c r="LGY56" s="389"/>
      <c r="LGZ56" s="389"/>
      <c r="LHI56" s="389"/>
      <c r="LHJ56" s="389"/>
      <c r="LHS56" s="389"/>
      <c r="LHT56" s="389"/>
      <c r="LIC56" s="389"/>
      <c r="LID56" s="389"/>
      <c r="LIM56" s="389"/>
      <c r="LIN56" s="389"/>
      <c r="LIW56" s="389"/>
      <c r="LIX56" s="389"/>
      <c r="LJG56" s="389"/>
      <c r="LJH56" s="389"/>
      <c r="LJQ56" s="389"/>
      <c r="LJR56" s="389"/>
      <c r="LKA56" s="389"/>
      <c r="LKB56" s="389"/>
      <c r="LKK56" s="389"/>
      <c r="LKL56" s="389"/>
      <c r="LKU56" s="389"/>
      <c r="LKV56" s="389"/>
      <c r="LLE56" s="389"/>
      <c r="LLF56" s="389"/>
      <c r="LLO56" s="389"/>
      <c r="LLP56" s="389"/>
      <c r="LLY56" s="389"/>
      <c r="LLZ56" s="389"/>
      <c r="LMI56" s="389"/>
      <c r="LMJ56" s="389"/>
      <c r="LMS56" s="389"/>
      <c r="LMT56" s="389"/>
      <c r="LNC56" s="389"/>
      <c r="LND56" s="389"/>
      <c r="LNM56" s="389"/>
      <c r="LNN56" s="389"/>
      <c r="LNW56" s="389"/>
      <c r="LNX56" s="389"/>
      <c r="LOG56" s="389"/>
      <c r="LOH56" s="389"/>
      <c r="LOQ56" s="389"/>
      <c r="LOR56" s="389"/>
      <c r="LPA56" s="389"/>
      <c r="LPB56" s="389"/>
      <c r="LPK56" s="389"/>
      <c r="LPL56" s="389"/>
      <c r="LPU56" s="389"/>
      <c r="LPV56" s="389"/>
      <c r="LQE56" s="389"/>
      <c r="LQF56" s="389"/>
      <c r="LQO56" s="389"/>
      <c r="LQP56" s="389"/>
      <c r="LQY56" s="389"/>
      <c r="LQZ56" s="389"/>
      <c r="LRI56" s="389"/>
      <c r="LRJ56" s="389"/>
      <c r="LRS56" s="389"/>
      <c r="LRT56" s="389"/>
      <c r="LSC56" s="389"/>
      <c r="LSD56" s="389"/>
      <c r="LSM56" s="389"/>
      <c r="LSN56" s="389"/>
      <c r="LSW56" s="389"/>
      <c r="LSX56" s="389"/>
      <c r="LTG56" s="389"/>
      <c r="LTH56" s="389"/>
      <c r="LTQ56" s="389"/>
      <c r="LTR56" s="389"/>
      <c r="LUA56" s="389"/>
      <c r="LUB56" s="389"/>
      <c r="LUK56" s="389"/>
      <c r="LUL56" s="389"/>
      <c r="LUU56" s="389"/>
      <c r="LUV56" s="389"/>
      <c r="LVE56" s="389"/>
      <c r="LVF56" s="389"/>
      <c r="LVO56" s="389"/>
      <c r="LVP56" s="389"/>
      <c r="LVY56" s="389"/>
      <c r="LVZ56" s="389"/>
      <c r="LWI56" s="389"/>
      <c r="LWJ56" s="389"/>
      <c r="LWS56" s="389"/>
      <c r="LWT56" s="389"/>
      <c r="LXC56" s="389"/>
      <c r="LXD56" s="389"/>
      <c r="LXM56" s="389"/>
      <c r="LXN56" s="389"/>
      <c r="LXW56" s="389"/>
      <c r="LXX56" s="389"/>
      <c r="LYG56" s="389"/>
      <c r="LYH56" s="389"/>
      <c r="LYQ56" s="389"/>
      <c r="LYR56" s="389"/>
      <c r="LZA56" s="389"/>
      <c r="LZB56" s="389"/>
      <c r="LZK56" s="389"/>
      <c r="LZL56" s="389"/>
      <c r="LZU56" s="389"/>
      <c r="LZV56" s="389"/>
      <c r="MAE56" s="389"/>
      <c r="MAF56" s="389"/>
      <c r="MAO56" s="389"/>
      <c r="MAP56" s="389"/>
      <c r="MAY56" s="389"/>
      <c r="MAZ56" s="389"/>
      <c r="MBI56" s="389"/>
      <c r="MBJ56" s="389"/>
      <c r="MBS56" s="389"/>
      <c r="MBT56" s="389"/>
      <c r="MCC56" s="389"/>
      <c r="MCD56" s="389"/>
      <c r="MCM56" s="389"/>
      <c r="MCN56" s="389"/>
      <c r="MCW56" s="389"/>
      <c r="MCX56" s="389"/>
      <c r="MDG56" s="389"/>
      <c r="MDH56" s="389"/>
      <c r="MDQ56" s="389"/>
      <c r="MDR56" s="389"/>
      <c r="MEA56" s="389"/>
      <c r="MEB56" s="389"/>
      <c r="MEK56" s="389"/>
      <c r="MEL56" s="389"/>
      <c r="MEU56" s="389"/>
      <c r="MEV56" s="389"/>
      <c r="MFE56" s="389"/>
      <c r="MFF56" s="389"/>
      <c r="MFO56" s="389"/>
      <c r="MFP56" s="389"/>
      <c r="MFY56" s="389"/>
      <c r="MFZ56" s="389"/>
      <c r="MGI56" s="389"/>
      <c r="MGJ56" s="389"/>
      <c r="MGS56" s="389"/>
      <c r="MGT56" s="389"/>
      <c r="MHC56" s="389"/>
      <c r="MHD56" s="389"/>
      <c r="MHM56" s="389"/>
      <c r="MHN56" s="389"/>
      <c r="MHW56" s="389"/>
      <c r="MHX56" s="389"/>
      <c r="MIG56" s="389"/>
      <c r="MIH56" s="389"/>
      <c r="MIQ56" s="389"/>
      <c r="MIR56" s="389"/>
      <c r="MJA56" s="389"/>
      <c r="MJB56" s="389"/>
      <c r="MJK56" s="389"/>
      <c r="MJL56" s="389"/>
      <c r="MJU56" s="389"/>
      <c r="MJV56" s="389"/>
      <c r="MKE56" s="389"/>
      <c r="MKF56" s="389"/>
      <c r="MKO56" s="389"/>
      <c r="MKP56" s="389"/>
      <c r="MKY56" s="389"/>
      <c r="MKZ56" s="389"/>
      <c r="MLI56" s="389"/>
      <c r="MLJ56" s="389"/>
      <c r="MLS56" s="389"/>
      <c r="MLT56" s="389"/>
      <c r="MMC56" s="389"/>
      <c r="MMD56" s="389"/>
      <c r="MMM56" s="389"/>
      <c r="MMN56" s="389"/>
      <c r="MMW56" s="389"/>
      <c r="MMX56" s="389"/>
      <c r="MNG56" s="389"/>
      <c r="MNH56" s="389"/>
      <c r="MNQ56" s="389"/>
      <c r="MNR56" s="389"/>
      <c r="MOA56" s="389"/>
      <c r="MOB56" s="389"/>
      <c r="MOK56" s="389"/>
      <c r="MOL56" s="389"/>
      <c r="MOU56" s="389"/>
      <c r="MOV56" s="389"/>
      <c r="MPE56" s="389"/>
      <c r="MPF56" s="389"/>
      <c r="MPO56" s="389"/>
      <c r="MPP56" s="389"/>
      <c r="MPY56" s="389"/>
      <c r="MPZ56" s="389"/>
      <c r="MQI56" s="389"/>
      <c r="MQJ56" s="389"/>
      <c r="MQS56" s="389"/>
      <c r="MQT56" s="389"/>
      <c r="MRC56" s="389"/>
      <c r="MRD56" s="389"/>
      <c r="MRM56" s="389"/>
      <c r="MRN56" s="389"/>
      <c r="MRW56" s="389"/>
      <c r="MRX56" s="389"/>
      <c r="MSG56" s="389"/>
      <c r="MSH56" s="389"/>
      <c r="MSQ56" s="389"/>
      <c r="MSR56" s="389"/>
      <c r="MTA56" s="389"/>
      <c r="MTB56" s="389"/>
      <c r="MTK56" s="389"/>
      <c r="MTL56" s="389"/>
      <c r="MTU56" s="389"/>
      <c r="MTV56" s="389"/>
      <c r="MUE56" s="389"/>
      <c r="MUF56" s="389"/>
      <c r="MUO56" s="389"/>
      <c r="MUP56" s="389"/>
      <c r="MUY56" s="389"/>
      <c r="MUZ56" s="389"/>
      <c r="MVI56" s="389"/>
      <c r="MVJ56" s="389"/>
      <c r="MVS56" s="389"/>
      <c r="MVT56" s="389"/>
      <c r="MWC56" s="389"/>
      <c r="MWD56" s="389"/>
      <c r="MWM56" s="389"/>
      <c r="MWN56" s="389"/>
      <c r="MWW56" s="389"/>
      <c r="MWX56" s="389"/>
      <c r="MXG56" s="389"/>
      <c r="MXH56" s="389"/>
      <c r="MXQ56" s="389"/>
      <c r="MXR56" s="389"/>
      <c r="MYA56" s="389"/>
      <c r="MYB56" s="389"/>
      <c r="MYK56" s="389"/>
      <c r="MYL56" s="389"/>
      <c r="MYU56" s="389"/>
      <c r="MYV56" s="389"/>
      <c r="MZE56" s="389"/>
      <c r="MZF56" s="389"/>
      <c r="MZO56" s="389"/>
      <c r="MZP56" s="389"/>
      <c r="MZY56" s="389"/>
      <c r="MZZ56" s="389"/>
      <c r="NAI56" s="389"/>
      <c r="NAJ56" s="389"/>
      <c r="NAS56" s="389"/>
      <c r="NAT56" s="389"/>
      <c r="NBC56" s="389"/>
      <c r="NBD56" s="389"/>
      <c r="NBM56" s="389"/>
      <c r="NBN56" s="389"/>
      <c r="NBW56" s="389"/>
      <c r="NBX56" s="389"/>
      <c r="NCG56" s="389"/>
      <c r="NCH56" s="389"/>
      <c r="NCQ56" s="389"/>
      <c r="NCR56" s="389"/>
      <c r="NDA56" s="389"/>
      <c r="NDB56" s="389"/>
      <c r="NDK56" s="389"/>
      <c r="NDL56" s="389"/>
      <c r="NDU56" s="389"/>
      <c r="NDV56" s="389"/>
      <c r="NEE56" s="389"/>
      <c r="NEF56" s="389"/>
      <c r="NEO56" s="389"/>
      <c r="NEP56" s="389"/>
      <c r="NEY56" s="389"/>
      <c r="NEZ56" s="389"/>
      <c r="NFI56" s="389"/>
      <c r="NFJ56" s="389"/>
      <c r="NFS56" s="389"/>
      <c r="NFT56" s="389"/>
      <c r="NGC56" s="389"/>
      <c r="NGD56" s="389"/>
      <c r="NGM56" s="389"/>
      <c r="NGN56" s="389"/>
      <c r="NGW56" s="389"/>
      <c r="NGX56" s="389"/>
      <c r="NHG56" s="389"/>
      <c r="NHH56" s="389"/>
      <c r="NHQ56" s="389"/>
      <c r="NHR56" s="389"/>
      <c r="NIA56" s="389"/>
      <c r="NIB56" s="389"/>
      <c r="NIK56" s="389"/>
      <c r="NIL56" s="389"/>
      <c r="NIU56" s="389"/>
      <c r="NIV56" s="389"/>
      <c r="NJE56" s="389"/>
      <c r="NJF56" s="389"/>
      <c r="NJO56" s="389"/>
      <c r="NJP56" s="389"/>
      <c r="NJY56" s="389"/>
      <c r="NJZ56" s="389"/>
      <c r="NKI56" s="389"/>
      <c r="NKJ56" s="389"/>
      <c r="NKS56" s="389"/>
      <c r="NKT56" s="389"/>
      <c r="NLC56" s="389"/>
      <c r="NLD56" s="389"/>
      <c r="NLM56" s="389"/>
      <c r="NLN56" s="389"/>
      <c r="NLW56" s="389"/>
      <c r="NLX56" s="389"/>
      <c r="NMG56" s="389"/>
      <c r="NMH56" s="389"/>
      <c r="NMQ56" s="389"/>
      <c r="NMR56" s="389"/>
      <c r="NNA56" s="389"/>
      <c r="NNB56" s="389"/>
      <c r="NNK56" s="389"/>
      <c r="NNL56" s="389"/>
      <c r="NNU56" s="389"/>
      <c r="NNV56" s="389"/>
      <c r="NOE56" s="389"/>
      <c r="NOF56" s="389"/>
      <c r="NOO56" s="389"/>
      <c r="NOP56" s="389"/>
      <c r="NOY56" s="389"/>
      <c r="NOZ56" s="389"/>
      <c r="NPI56" s="389"/>
      <c r="NPJ56" s="389"/>
      <c r="NPS56" s="389"/>
      <c r="NPT56" s="389"/>
      <c r="NQC56" s="389"/>
      <c r="NQD56" s="389"/>
      <c r="NQM56" s="389"/>
      <c r="NQN56" s="389"/>
      <c r="NQW56" s="389"/>
      <c r="NQX56" s="389"/>
      <c r="NRG56" s="389"/>
      <c r="NRH56" s="389"/>
      <c r="NRQ56" s="389"/>
      <c r="NRR56" s="389"/>
      <c r="NSA56" s="389"/>
      <c r="NSB56" s="389"/>
      <c r="NSK56" s="389"/>
      <c r="NSL56" s="389"/>
      <c r="NSU56" s="389"/>
      <c r="NSV56" s="389"/>
      <c r="NTE56" s="389"/>
      <c r="NTF56" s="389"/>
      <c r="NTO56" s="389"/>
      <c r="NTP56" s="389"/>
      <c r="NTY56" s="389"/>
      <c r="NTZ56" s="389"/>
      <c r="NUI56" s="389"/>
      <c r="NUJ56" s="389"/>
      <c r="NUS56" s="389"/>
      <c r="NUT56" s="389"/>
      <c r="NVC56" s="389"/>
      <c r="NVD56" s="389"/>
      <c r="NVM56" s="389"/>
      <c r="NVN56" s="389"/>
      <c r="NVW56" s="389"/>
      <c r="NVX56" s="389"/>
      <c r="NWG56" s="389"/>
      <c r="NWH56" s="389"/>
      <c r="NWQ56" s="389"/>
      <c r="NWR56" s="389"/>
      <c r="NXA56" s="389"/>
      <c r="NXB56" s="389"/>
      <c r="NXK56" s="389"/>
      <c r="NXL56" s="389"/>
      <c r="NXU56" s="389"/>
      <c r="NXV56" s="389"/>
      <c r="NYE56" s="389"/>
      <c r="NYF56" s="389"/>
      <c r="NYO56" s="389"/>
      <c r="NYP56" s="389"/>
      <c r="NYY56" s="389"/>
      <c r="NYZ56" s="389"/>
      <c r="NZI56" s="389"/>
      <c r="NZJ56" s="389"/>
      <c r="NZS56" s="389"/>
      <c r="NZT56" s="389"/>
      <c r="OAC56" s="389"/>
      <c r="OAD56" s="389"/>
      <c r="OAM56" s="389"/>
      <c r="OAN56" s="389"/>
      <c r="OAW56" s="389"/>
      <c r="OAX56" s="389"/>
      <c r="OBG56" s="389"/>
      <c r="OBH56" s="389"/>
      <c r="OBQ56" s="389"/>
      <c r="OBR56" s="389"/>
      <c r="OCA56" s="389"/>
      <c r="OCB56" s="389"/>
      <c r="OCK56" s="389"/>
      <c r="OCL56" s="389"/>
      <c r="OCU56" s="389"/>
      <c r="OCV56" s="389"/>
      <c r="ODE56" s="389"/>
      <c r="ODF56" s="389"/>
      <c r="ODO56" s="389"/>
      <c r="ODP56" s="389"/>
      <c r="ODY56" s="389"/>
      <c r="ODZ56" s="389"/>
      <c r="OEI56" s="389"/>
      <c r="OEJ56" s="389"/>
      <c r="OES56" s="389"/>
      <c r="OET56" s="389"/>
      <c r="OFC56" s="389"/>
      <c r="OFD56" s="389"/>
      <c r="OFM56" s="389"/>
      <c r="OFN56" s="389"/>
      <c r="OFW56" s="389"/>
      <c r="OFX56" s="389"/>
      <c r="OGG56" s="389"/>
      <c r="OGH56" s="389"/>
      <c r="OGQ56" s="389"/>
      <c r="OGR56" s="389"/>
      <c r="OHA56" s="389"/>
      <c r="OHB56" s="389"/>
      <c r="OHK56" s="389"/>
      <c r="OHL56" s="389"/>
      <c r="OHU56" s="389"/>
      <c r="OHV56" s="389"/>
      <c r="OIE56" s="389"/>
      <c r="OIF56" s="389"/>
      <c r="OIO56" s="389"/>
      <c r="OIP56" s="389"/>
      <c r="OIY56" s="389"/>
      <c r="OIZ56" s="389"/>
      <c r="OJI56" s="389"/>
      <c r="OJJ56" s="389"/>
      <c r="OJS56" s="389"/>
      <c r="OJT56" s="389"/>
      <c r="OKC56" s="389"/>
      <c r="OKD56" s="389"/>
      <c r="OKM56" s="389"/>
      <c r="OKN56" s="389"/>
      <c r="OKW56" s="389"/>
      <c r="OKX56" s="389"/>
      <c r="OLG56" s="389"/>
      <c r="OLH56" s="389"/>
      <c r="OLQ56" s="389"/>
      <c r="OLR56" s="389"/>
      <c r="OMA56" s="389"/>
      <c r="OMB56" s="389"/>
      <c r="OMK56" s="389"/>
      <c r="OML56" s="389"/>
      <c r="OMU56" s="389"/>
      <c r="OMV56" s="389"/>
      <c r="ONE56" s="389"/>
      <c r="ONF56" s="389"/>
      <c r="ONO56" s="389"/>
      <c r="ONP56" s="389"/>
      <c r="ONY56" s="389"/>
      <c r="ONZ56" s="389"/>
      <c r="OOI56" s="389"/>
      <c r="OOJ56" s="389"/>
      <c r="OOS56" s="389"/>
      <c r="OOT56" s="389"/>
      <c r="OPC56" s="389"/>
      <c r="OPD56" s="389"/>
      <c r="OPM56" s="389"/>
      <c r="OPN56" s="389"/>
      <c r="OPW56" s="389"/>
      <c r="OPX56" s="389"/>
      <c r="OQG56" s="389"/>
      <c r="OQH56" s="389"/>
      <c r="OQQ56" s="389"/>
      <c r="OQR56" s="389"/>
      <c r="ORA56" s="389"/>
      <c r="ORB56" s="389"/>
      <c r="ORK56" s="389"/>
      <c r="ORL56" s="389"/>
      <c r="ORU56" s="389"/>
      <c r="ORV56" s="389"/>
      <c r="OSE56" s="389"/>
      <c r="OSF56" s="389"/>
      <c r="OSO56" s="389"/>
      <c r="OSP56" s="389"/>
      <c r="OSY56" s="389"/>
      <c r="OSZ56" s="389"/>
      <c r="OTI56" s="389"/>
      <c r="OTJ56" s="389"/>
      <c r="OTS56" s="389"/>
      <c r="OTT56" s="389"/>
      <c r="OUC56" s="389"/>
      <c r="OUD56" s="389"/>
      <c r="OUM56" s="389"/>
      <c r="OUN56" s="389"/>
      <c r="OUW56" s="389"/>
      <c r="OUX56" s="389"/>
      <c r="OVG56" s="389"/>
      <c r="OVH56" s="389"/>
      <c r="OVQ56" s="389"/>
      <c r="OVR56" s="389"/>
      <c r="OWA56" s="389"/>
      <c r="OWB56" s="389"/>
      <c r="OWK56" s="389"/>
      <c r="OWL56" s="389"/>
      <c r="OWU56" s="389"/>
      <c r="OWV56" s="389"/>
      <c r="OXE56" s="389"/>
      <c r="OXF56" s="389"/>
      <c r="OXO56" s="389"/>
      <c r="OXP56" s="389"/>
      <c r="OXY56" s="389"/>
      <c r="OXZ56" s="389"/>
      <c r="OYI56" s="389"/>
      <c r="OYJ56" s="389"/>
      <c r="OYS56" s="389"/>
      <c r="OYT56" s="389"/>
      <c r="OZC56" s="389"/>
      <c r="OZD56" s="389"/>
      <c r="OZM56" s="389"/>
      <c r="OZN56" s="389"/>
      <c r="OZW56" s="389"/>
      <c r="OZX56" s="389"/>
      <c r="PAG56" s="389"/>
      <c r="PAH56" s="389"/>
      <c r="PAQ56" s="389"/>
      <c r="PAR56" s="389"/>
      <c r="PBA56" s="389"/>
      <c r="PBB56" s="389"/>
      <c r="PBK56" s="389"/>
      <c r="PBL56" s="389"/>
      <c r="PBU56" s="389"/>
      <c r="PBV56" s="389"/>
      <c r="PCE56" s="389"/>
      <c r="PCF56" s="389"/>
      <c r="PCO56" s="389"/>
      <c r="PCP56" s="389"/>
      <c r="PCY56" s="389"/>
      <c r="PCZ56" s="389"/>
      <c r="PDI56" s="389"/>
      <c r="PDJ56" s="389"/>
      <c r="PDS56" s="389"/>
      <c r="PDT56" s="389"/>
      <c r="PEC56" s="389"/>
      <c r="PED56" s="389"/>
      <c r="PEM56" s="389"/>
      <c r="PEN56" s="389"/>
      <c r="PEW56" s="389"/>
      <c r="PEX56" s="389"/>
      <c r="PFG56" s="389"/>
      <c r="PFH56" s="389"/>
      <c r="PFQ56" s="389"/>
      <c r="PFR56" s="389"/>
      <c r="PGA56" s="389"/>
      <c r="PGB56" s="389"/>
      <c r="PGK56" s="389"/>
      <c r="PGL56" s="389"/>
      <c r="PGU56" s="389"/>
      <c r="PGV56" s="389"/>
      <c r="PHE56" s="389"/>
      <c r="PHF56" s="389"/>
      <c r="PHO56" s="389"/>
      <c r="PHP56" s="389"/>
      <c r="PHY56" s="389"/>
      <c r="PHZ56" s="389"/>
      <c r="PII56" s="389"/>
      <c r="PIJ56" s="389"/>
      <c r="PIS56" s="389"/>
      <c r="PIT56" s="389"/>
      <c r="PJC56" s="389"/>
      <c r="PJD56" s="389"/>
      <c r="PJM56" s="389"/>
      <c r="PJN56" s="389"/>
      <c r="PJW56" s="389"/>
      <c r="PJX56" s="389"/>
      <c r="PKG56" s="389"/>
      <c r="PKH56" s="389"/>
      <c r="PKQ56" s="389"/>
      <c r="PKR56" s="389"/>
      <c r="PLA56" s="389"/>
      <c r="PLB56" s="389"/>
      <c r="PLK56" s="389"/>
      <c r="PLL56" s="389"/>
      <c r="PLU56" s="389"/>
      <c r="PLV56" s="389"/>
      <c r="PME56" s="389"/>
      <c r="PMF56" s="389"/>
      <c r="PMO56" s="389"/>
      <c r="PMP56" s="389"/>
      <c r="PMY56" s="389"/>
      <c r="PMZ56" s="389"/>
      <c r="PNI56" s="389"/>
      <c r="PNJ56" s="389"/>
      <c r="PNS56" s="389"/>
      <c r="PNT56" s="389"/>
      <c r="POC56" s="389"/>
      <c r="POD56" s="389"/>
      <c r="POM56" s="389"/>
      <c r="PON56" s="389"/>
      <c r="POW56" s="389"/>
      <c r="POX56" s="389"/>
      <c r="PPG56" s="389"/>
      <c r="PPH56" s="389"/>
      <c r="PPQ56" s="389"/>
      <c r="PPR56" s="389"/>
      <c r="PQA56" s="389"/>
      <c r="PQB56" s="389"/>
      <c r="PQK56" s="389"/>
      <c r="PQL56" s="389"/>
      <c r="PQU56" s="389"/>
      <c r="PQV56" s="389"/>
      <c r="PRE56" s="389"/>
      <c r="PRF56" s="389"/>
      <c r="PRO56" s="389"/>
      <c r="PRP56" s="389"/>
      <c r="PRY56" s="389"/>
      <c r="PRZ56" s="389"/>
      <c r="PSI56" s="389"/>
      <c r="PSJ56" s="389"/>
      <c r="PSS56" s="389"/>
      <c r="PST56" s="389"/>
      <c r="PTC56" s="389"/>
      <c r="PTD56" s="389"/>
      <c r="PTM56" s="389"/>
      <c r="PTN56" s="389"/>
      <c r="PTW56" s="389"/>
      <c r="PTX56" s="389"/>
      <c r="PUG56" s="389"/>
      <c r="PUH56" s="389"/>
      <c r="PUQ56" s="389"/>
      <c r="PUR56" s="389"/>
      <c r="PVA56" s="389"/>
      <c r="PVB56" s="389"/>
      <c r="PVK56" s="389"/>
      <c r="PVL56" s="389"/>
      <c r="PVU56" s="389"/>
      <c r="PVV56" s="389"/>
      <c r="PWE56" s="389"/>
      <c r="PWF56" s="389"/>
      <c r="PWO56" s="389"/>
      <c r="PWP56" s="389"/>
      <c r="PWY56" s="389"/>
      <c r="PWZ56" s="389"/>
      <c r="PXI56" s="389"/>
      <c r="PXJ56" s="389"/>
      <c r="PXS56" s="389"/>
      <c r="PXT56" s="389"/>
      <c r="PYC56" s="389"/>
      <c r="PYD56" s="389"/>
      <c r="PYM56" s="389"/>
      <c r="PYN56" s="389"/>
      <c r="PYW56" s="389"/>
      <c r="PYX56" s="389"/>
      <c r="PZG56" s="389"/>
      <c r="PZH56" s="389"/>
      <c r="PZQ56" s="389"/>
      <c r="PZR56" s="389"/>
      <c r="QAA56" s="389"/>
      <c r="QAB56" s="389"/>
      <c r="QAK56" s="389"/>
      <c r="QAL56" s="389"/>
      <c r="QAU56" s="389"/>
      <c r="QAV56" s="389"/>
      <c r="QBE56" s="389"/>
      <c r="QBF56" s="389"/>
      <c r="QBO56" s="389"/>
      <c r="QBP56" s="389"/>
      <c r="QBY56" s="389"/>
      <c r="QBZ56" s="389"/>
      <c r="QCI56" s="389"/>
      <c r="QCJ56" s="389"/>
      <c r="QCS56" s="389"/>
      <c r="QCT56" s="389"/>
      <c r="QDC56" s="389"/>
      <c r="QDD56" s="389"/>
      <c r="QDM56" s="389"/>
      <c r="QDN56" s="389"/>
      <c r="QDW56" s="389"/>
      <c r="QDX56" s="389"/>
      <c r="QEG56" s="389"/>
      <c r="QEH56" s="389"/>
      <c r="QEQ56" s="389"/>
      <c r="QER56" s="389"/>
      <c r="QFA56" s="389"/>
      <c r="QFB56" s="389"/>
      <c r="QFK56" s="389"/>
      <c r="QFL56" s="389"/>
      <c r="QFU56" s="389"/>
      <c r="QFV56" s="389"/>
      <c r="QGE56" s="389"/>
      <c r="QGF56" s="389"/>
      <c r="QGO56" s="389"/>
      <c r="QGP56" s="389"/>
      <c r="QGY56" s="389"/>
      <c r="QGZ56" s="389"/>
      <c r="QHI56" s="389"/>
      <c r="QHJ56" s="389"/>
      <c r="QHS56" s="389"/>
      <c r="QHT56" s="389"/>
      <c r="QIC56" s="389"/>
      <c r="QID56" s="389"/>
      <c r="QIM56" s="389"/>
      <c r="QIN56" s="389"/>
      <c r="QIW56" s="389"/>
      <c r="QIX56" s="389"/>
      <c r="QJG56" s="389"/>
      <c r="QJH56" s="389"/>
      <c r="QJQ56" s="389"/>
      <c r="QJR56" s="389"/>
      <c r="QKA56" s="389"/>
      <c r="QKB56" s="389"/>
      <c r="QKK56" s="389"/>
      <c r="QKL56" s="389"/>
      <c r="QKU56" s="389"/>
      <c r="QKV56" s="389"/>
      <c r="QLE56" s="389"/>
      <c r="QLF56" s="389"/>
      <c r="QLO56" s="389"/>
      <c r="QLP56" s="389"/>
      <c r="QLY56" s="389"/>
      <c r="QLZ56" s="389"/>
      <c r="QMI56" s="389"/>
      <c r="QMJ56" s="389"/>
      <c r="QMS56" s="389"/>
      <c r="QMT56" s="389"/>
      <c r="QNC56" s="389"/>
      <c r="QND56" s="389"/>
      <c r="QNM56" s="389"/>
      <c r="QNN56" s="389"/>
      <c r="QNW56" s="389"/>
      <c r="QNX56" s="389"/>
      <c r="QOG56" s="389"/>
      <c r="QOH56" s="389"/>
      <c r="QOQ56" s="389"/>
      <c r="QOR56" s="389"/>
      <c r="QPA56" s="389"/>
      <c r="QPB56" s="389"/>
      <c r="QPK56" s="389"/>
      <c r="QPL56" s="389"/>
      <c r="QPU56" s="389"/>
      <c r="QPV56" s="389"/>
      <c r="QQE56" s="389"/>
      <c r="QQF56" s="389"/>
      <c r="QQO56" s="389"/>
      <c r="QQP56" s="389"/>
      <c r="QQY56" s="389"/>
      <c r="QQZ56" s="389"/>
      <c r="QRI56" s="389"/>
      <c r="QRJ56" s="389"/>
      <c r="QRS56" s="389"/>
      <c r="QRT56" s="389"/>
      <c r="QSC56" s="389"/>
      <c r="QSD56" s="389"/>
      <c r="QSM56" s="389"/>
      <c r="QSN56" s="389"/>
      <c r="QSW56" s="389"/>
      <c r="QSX56" s="389"/>
      <c r="QTG56" s="389"/>
      <c r="QTH56" s="389"/>
      <c r="QTQ56" s="389"/>
      <c r="QTR56" s="389"/>
      <c r="QUA56" s="389"/>
      <c r="QUB56" s="389"/>
      <c r="QUK56" s="389"/>
      <c r="QUL56" s="389"/>
      <c r="QUU56" s="389"/>
      <c r="QUV56" s="389"/>
      <c r="QVE56" s="389"/>
      <c r="QVF56" s="389"/>
      <c r="QVO56" s="389"/>
      <c r="QVP56" s="389"/>
      <c r="QVY56" s="389"/>
      <c r="QVZ56" s="389"/>
      <c r="QWI56" s="389"/>
      <c r="QWJ56" s="389"/>
      <c r="QWS56" s="389"/>
      <c r="QWT56" s="389"/>
      <c r="QXC56" s="389"/>
      <c r="QXD56" s="389"/>
      <c r="QXM56" s="389"/>
      <c r="QXN56" s="389"/>
      <c r="QXW56" s="389"/>
      <c r="QXX56" s="389"/>
      <c r="QYG56" s="389"/>
      <c r="QYH56" s="389"/>
      <c r="QYQ56" s="389"/>
      <c r="QYR56" s="389"/>
      <c r="QZA56" s="389"/>
      <c r="QZB56" s="389"/>
      <c r="QZK56" s="389"/>
      <c r="QZL56" s="389"/>
      <c r="QZU56" s="389"/>
      <c r="QZV56" s="389"/>
      <c r="RAE56" s="389"/>
      <c r="RAF56" s="389"/>
      <c r="RAO56" s="389"/>
      <c r="RAP56" s="389"/>
      <c r="RAY56" s="389"/>
      <c r="RAZ56" s="389"/>
      <c r="RBI56" s="389"/>
      <c r="RBJ56" s="389"/>
      <c r="RBS56" s="389"/>
      <c r="RBT56" s="389"/>
      <c r="RCC56" s="389"/>
      <c r="RCD56" s="389"/>
      <c r="RCM56" s="389"/>
      <c r="RCN56" s="389"/>
      <c r="RCW56" s="389"/>
      <c r="RCX56" s="389"/>
      <c r="RDG56" s="389"/>
      <c r="RDH56" s="389"/>
      <c r="RDQ56" s="389"/>
      <c r="RDR56" s="389"/>
      <c r="REA56" s="389"/>
      <c r="REB56" s="389"/>
      <c r="REK56" s="389"/>
      <c r="REL56" s="389"/>
      <c r="REU56" s="389"/>
      <c r="REV56" s="389"/>
      <c r="RFE56" s="389"/>
      <c r="RFF56" s="389"/>
      <c r="RFO56" s="389"/>
      <c r="RFP56" s="389"/>
      <c r="RFY56" s="389"/>
      <c r="RFZ56" s="389"/>
      <c r="RGI56" s="389"/>
      <c r="RGJ56" s="389"/>
      <c r="RGS56" s="389"/>
      <c r="RGT56" s="389"/>
      <c r="RHC56" s="389"/>
      <c r="RHD56" s="389"/>
      <c r="RHM56" s="389"/>
      <c r="RHN56" s="389"/>
      <c r="RHW56" s="389"/>
      <c r="RHX56" s="389"/>
      <c r="RIG56" s="389"/>
      <c r="RIH56" s="389"/>
      <c r="RIQ56" s="389"/>
      <c r="RIR56" s="389"/>
      <c r="RJA56" s="389"/>
      <c r="RJB56" s="389"/>
      <c r="RJK56" s="389"/>
      <c r="RJL56" s="389"/>
      <c r="RJU56" s="389"/>
      <c r="RJV56" s="389"/>
      <c r="RKE56" s="389"/>
      <c r="RKF56" s="389"/>
      <c r="RKO56" s="389"/>
      <c r="RKP56" s="389"/>
      <c r="RKY56" s="389"/>
      <c r="RKZ56" s="389"/>
      <c r="RLI56" s="389"/>
      <c r="RLJ56" s="389"/>
      <c r="RLS56" s="389"/>
      <c r="RLT56" s="389"/>
      <c r="RMC56" s="389"/>
      <c r="RMD56" s="389"/>
      <c r="RMM56" s="389"/>
      <c r="RMN56" s="389"/>
      <c r="RMW56" s="389"/>
      <c r="RMX56" s="389"/>
      <c r="RNG56" s="389"/>
      <c r="RNH56" s="389"/>
      <c r="RNQ56" s="389"/>
      <c r="RNR56" s="389"/>
      <c r="ROA56" s="389"/>
      <c r="ROB56" s="389"/>
      <c r="ROK56" s="389"/>
      <c r="ROL56" s="389"/>
      <c r="ROU56" s="389"/>
      <c r="ROV56" s="389"/>
      <c r="RPE56" s="389"/>
      <c r="RPF56" s="389"/>
      <c r="RPO56" s="389"/>
      <c r="RPP56" s="389"/>
      <c r="RPY56" s="389"/>
      <c r="RPZ56" s="389"/>
      <c r="RQI56" s="389"/>
      <c r="RQJ56" s="389"/>
      <c r="RQS56" s="389"/>
      <c r="RQT56" s="389"/>
      <c r="RRC56" s="389"/>
      <c r="RRD56" s="389"/>
      <c r="RRM56" s="389"/>
      <c r="RRN56" s="389"/>
      <c r="RRW56" s="389"/>
      <c r="RRX56" s="389"/>
      <c r="RSG56" s="389"/>
      <c r="RSH56" s="389"/>
      <c r="RSQ56" s="389"/>
      <c r="RSR56" s="389"/>
      <c r="RTA56" s="389"/>
      <c r="RTB56" s="389"/>
      <c r="RTK56" s="389"/>
      <c r="RTL56" s="389"/>
      <c r="RTU56" s="389"/>
      <c r="RTV56" s="389"/>
      <c r="RUE56" s="389"/>
      <c r="RUF56" s="389"/>
      <c r="RUO56" s="389"/>
      <c r="RUP56" s="389"/>
      <c r="RUY56" s="389"/>
      <c r="RUZ56" s="389"/>
      <c r="RVI56" s="389"/>
      <c r="RVJ56" s="389"/>
      <c r="RVS56" s="389"/>
      <c r="RVT56" s="389"/>
      <c r="RWC56" s="389"/>
      <c r="RWD56" s="389"/>
      <c r="RWM56" s="389"/>
      <c r="RWN56" s="389"/>
      <c r="RWW56" s="389"/>
      <c r="RWX56" s="389"/>
      <c r="RXG56" s="389"/>
      <c r="RXH56" s="389"/>
      <c r="RXQ56" s="389"/>
      <c r="RXR56" s="389"/>
      <c r="RYA56" s="389"/>
      <c r="RYB56" s="389"/>
      <c r="RYK56" s="389"/>
      <c r="RYL56" s="389"/>
      <c r="RYU56" s="389"/>
      <c r="RYV56" s="389"/>
      <c r="RZE56" s="389"/>
      <c r="RZF56" s="389"/>
      <c r="RZO56" s="389"/>
      <c r="RZP56" s="389"/>
      <c r="RZY56" s="389"/>
      <c r="RZZ56" s="389"/>
      <c r="SAI56" s="389"/>
      <c r="SAJ56" s="389"/>
      <c r="SAS56" s="389"/>
      <c r="SAT56" s="389"/>
      <c r="SBC56" s="389"/>
      <c r="SBD56" s="389"/>
      <c r="SBM56" s="389"/>
      <c r="SBN56" s="389"/>
      <c r="SBW56" s="389"/>
      <c r="SBX56" s="389"/>
      <c r="SCG56" s="389"/>
      <c r="SCH56" s="389"/>
      <c r="SCQ56" s="389"/>
      <c r="SCR56" s="389"/>
      <c r="SDA56" s="389"/>
      <c r="SDB56" s="389"/>
      <c r="SDK56" s="389"/>
      <c r="SDL56" s="389"/>
      <c r="SDU56" s="389"/>
      <c r="SDV56" s="389"/>
      <c r="SEE56" s="389"/>
      <c r="SEF56" s="389"/>
      <c r="SEO56" s="389"/>
      <c r="SEP56" s="389"/>
      <c r="SEY56" s="389"/>
      <c r="SEZ56" s="389"/>
      <c r="SFI56" s="389"/>
      <c r="SFJ56" s="389"/>
      <c r="SFS56" s="389"/>
      <c r="SFT56" s="389"/>
      <c r="SGC56" s="389"/>
      <c r="SGD56" s="389"/>
      <c r="SGM56" s="389"/>
      <c r="SGN56" s="389"/>
      <c r="SGW56" s="389"/>
      <c r="SGX56" s="389"/>
      <c r="SHG56" s="389"/>
      <c r="SHH56" s="389"/>
      <c r="SHQ56" s="389"/>
      <c r="SHR56" s="389"/>
      <c r="SIA56" s="389"/>
      <c r="SIB56" s="389"/>
      <c r="SIK56" s="389"/>
      <c r="SIL56" s="389"/>
      <c r="SIU56" s="389"/>
      <c r="SIV56" s="389"/>
      <c r="SJE56" s="389"/>
      <c r="SJF56" s="389"/>
      <c r="SJO56" s="389"/>
      <c r="SJP56" s="389"/>
      <c r="SJY56" s="389"/>
      <c r="SJZ56" s="389"/>
      <c r="SKI56" s="389"/>
      <c r="SKJ56" s="389"/>
      <c r="SKS56" s="389"/>
      <c r="SKT56" s="389"/>
      <c r="SLC56" s="389"/>
      <c r="SLD56" s="389"/>
      <c r="SLM56" s="389"/>
      <c r="SLN56" s="389"/>
      <c r="SLW56" s="389"/>
      <c r="SLX56" s="389"/>
      <c r="SMG56" s="389"/>
      <c r="SMH56" s="389"/>
      <c r="SMQ56" s="389"/>
      <c r="SMR56" s="389"/>
      <c r="SNA56" s="389"/>
      <c r="SNB56" s="389"/>
      <c r="SNK56" s="389"/>
      <c r="SNL56" s="389"/>
      <c r="SNU56" s="389"/>
      <c r="SNV56" s="389"/>
      <c r="SOE56" s="389"/>
      <c r="SOF56" s="389"/>
      <c r="SOO56" s="389"/>
      <c r="SOP56" s="389"/>
      <c r="SOY56" s="389"/>
      <c r="SOZ56" s="389"/>
      <c r="SPI56" s="389"/>
      <c r="SPJ56" s="389"/>
      <c r="SPS56" s="389"/>
      <c r="SPT56" s="389"/>
      <c r="SQC56" s="389"/>
      <c r="SQD56" s="389"/>
      <c r="SQM56" s="389"/>
      <c r="SQN56" s="389"/>
      <c r="SQW56" s="389"/>
      <c r="SQX56" s="389"/>
      <c r="SRG56" s="389"/>
      <c r="SRH56" s="389"/>
      <c r="SRQ56" s="389"/>
      <c r="SRR56" s="389"/>
      <c r="SSA56" s="389"/>
      <c r="SSB56" s="389"/>
      <c r="SSK56" s="389"/>
      <c r="SSL56" s="389"/>
      <c r="SSU56" s="389"/>
      <c r="SSV56" s="389"/>
      <c r="STE56" s="389"/>
      <c r="STF56" s="389"/>
      <c r="STO56" s="389"/>
      <c r="STP56" s="389"/>
      <c r="STY56" s="389"/>
      <c r="STZ56" s="389"/>
      <c r="SUI56" s="389"/>
      <c r="SUJ56" s="389"/>
      <c r="SUS56" s="389"/>
      <c r="SUT56" s="389"/>
      <c r="SVC56" s="389"/>
      <c r="SVD56" s="389"/>
      <c r="SVM56" s="389"/>
      <c r="SVN56" s="389"/>
      <c r="SVW56" s="389"/>
      <c r="SVX56" s="389"/>
      <c r="SWG56" s="389"/>
      <c r="SWH56" s="389"/>
      <c r="SWQ56" s="389"/>
      <c r="SWR56" s="389"/>
      <c r="SXA56" s="389"/>
      <c r="SXB56" s="389"/>
      <c r="SXK56" s="389"/>
      <c r="SXL56" s="389"/>
      <c r="SXU56" s="389"/>
      <c r="SXV56" s="389"/>
      <c r="SYE56" s="389"/>
      <c r="SYF56" s="389"/>
      <c r="SYO56" s="389"/>
      <c r="SYP56" s="389"/>
      <c r="SYY56" s="389"/>
      <c r="SYZ56" s="389"/>
      <c r="SZI56" s="389"/>
      <c r="SZJ56" s="389"/>
      <c r="SZS56" s="389"/>
      <c r="SZT56" s="389"/>
      <c r="TAC56" s="389"/>
      <c r="TAD56" s="389"/>
      <c r="TAM56" s="389"/>
      <c r="TAN56" s="389"/>
      <c r="TAW56" s="389"/>
      <c r="TAX56" s="389"/>
      <c r="TBG56" s="389"/>
      <c r="TBH56" s="389"/>
      <c r="TBQ56" s="389"/>
      <c r="TBR56" s="389"/>
      <c r="TCA56" s="389"/>
      <c r="TCB56" s="389"/>
      <c r="TCK56" s="389"/>
      <c r="TCL56" s="389"/>
      <c r="TCU56" s="389"/>
      <c r="TCV56" s="389"/>
      <c r="TDE56" s="389"/>
      <c r="TDF56" s="389"/>
      <c r="TDO56" s="389"/>
      <c r="TDP56" s="389"/>
      <c r="TDY56" s="389"/>
      <c r="TDZ56" s="389"/>
      <c r="TEI56" s="389"/>
      <c r="TEJ56" s="389"/>
      <c r="TES56" s="389"/>
      <c r="TET56" s="389"/>
      <c r="TFC56" s="389"/>
      <c r="TFD56" s="389"/>
      <c r="TFM56" s="389"/>
      <c r="TFN56" s="389"/>
      <c r="TFW56" s="389"/>
      <c r="TFX56" s="389"/>
      <c r="TGG56" s="389"/>
      <c r="TGH56" s="389"/>
      <c r="TGQ56" s="389"/>
      <c r="TGR56" s="389"/>
      <c r="THA56" s="389"/>
      <c r="THB56" s="389"/>
      <c r="THK56" s="389"/>
      <c r="THL56" s="389"/>
      <c r="THU56" s="389"/>
      <c r="THV56" s="389"/>
      <c r="TIE56" s="389"/>
      <c r="TIF56" s="389"/>
      <c r="TIO56" s="389"/>
      <c r="TIP56" s="389"/>
      <c r="TIY56" s="389"/>
      <c r="TIZ56" s="389"/>
      <c r="TJI56" s="389"/>
      <c r="TJJ56" s="389"/>
      <c r="TJS56" s="389"/>
      <c r="TJT56" s="389"/>
      <c r="TKC56" s="389"/>
      <c r="TKD56" s="389"/>
      <c r="TKM56" s="389"/>
      <c r="TKN56" s="389"/>
      <c r="TKW56" s="389"/>
      <c r="TKX56" s="389"/>
      <c r="TLG56" s="389"/>
      <c r="TLH56" s="389"/>
      <c r="TLQ56" s="389"/>
      <c r="TLR56" s="389"/>
      <c r="TMA56" s="389"/>
      <c r="TMB56" s="389"/>
      <c r="TMK56" s="389"/>
      <c r="TML56" s="389"/>
      <c r="TMU56" s="389"/>
      <c r="TMV56" s="389"/>
      <c r="TNE56" s="389"/>
      <c r="TNF56" s="389"/>
      <c r="TNO56" s="389"/>
      <c r="TNP56" s="389"/>
      <c r="TNY56" s="389"/>
      <c r="TNZ56" s="389"/>
      <c r="TOI56" s="389"/>
      <c r="TOJ56" s="389"/>
      <c r="TOS56" s="389"/>
      <c r="TOT56" s="389"/>
      <c r="TPC56" s="389"/>
      <c r="TPD56" s="389"/>
      <c r="TPM56" s="389"/>
      <c r="TPN56" s="389"/>
      <c r="TPW56" s="389"/>
      <c r="TPX56" s="389"/>
      <c r="TQG56" s="389"/>
      <c r="TQH56" s="389"/>
      <c r="TQQ56" s="389"/>
      <c r="TQR56" s="389"/>
      <c r="TRA56" s="389"/>
      <c r="TRB56" s="389"/>
      <c r="TRK56" s="389"/>
      <c r="TRL56" s="389"/>
      <c r="TRU56" s="389"/>
      <c r="TRV56" s="389"/>
      <c r="TSE56" s="389"/>
      <c r="TSF56" s="389"/>
      <c r="TSO56" s="389"/>
      <c r="TSP56" s="389"/>
      <c r="TSY56" s="389"/>
      <c r="TSZ56" s="389"/>
      <c r="TTI56" s="389"/>
      <c r="TTJ56" s="389"/>
      <c r="TTS56" s="389"/>
      <c r="TTT56" s="389"/>
      <c r="TUC56" s="389"/>
      <c r="TUD56" s="389"/>
      <c r="TUM56" s="389"/>
      <c r="TUN56" s="389"/>
      <c r="TUW56" s="389"/>
      <c r="TUX56" s="389"/>
      <c r="TVG56" s="389"/>
      <c r="TVH56" s="389"/>
      <c r="TVQ56" s="389"/>
      <c r="TVR56" s="389"/>
      <c r="TWA56" s="389"/>
      <c r="TWB56" s="389"/>
      <c r="TWK56" s="389"/>
      <c r="TWL56" s="389"/>
      <c r="TWU56" s="389"/>
      <c r="TWV56" s="389"/>
      <c r="TXE56" s="389"/>
      <c r="TXF56" s="389"/>
      <c r="TXO56" s="389"/>
      <c r="TXP56" s="389"/>
      <c r="TXY56" s="389"/>
      <c r="TXZ56" s="389"/>
      <c r="TYI56" s="389"/>
      <c r="TYJ56" s="389"/>
      <c r="TYS56" s="389"/>
      <c r="TYT56" s="389"/>
      <c r="TZC56" s="389"/>
      <c r="TZD56" s="389"/>
      <c r="TZM56" s="389"/>
      <c r="TZN56" s="389"/>
      <c r="TZW56" s="389"/>
      <c r="TZX56" s="389"/>
      <c r="UAG56" s="389"/>
      <c r="UAH56" s="389"/>
      <c r="UAQ56" s="389"/>
      <c r="UAR56" s="389"/>
      <c r="UBA56" s="389"/>
      <c r="UBB56" s="389"/>
      <c r="UBK56" s="389"/>
      <c r="UBL56" s="389"/>
      <c r="UBU56" s="389"/>
      <c r="UBV56" s="389"/>
      <c r="UCE56" s="389"/>
      <c r="UCF56" s="389"/>
      <c r="UCO56" s="389"/>
      <c r="UCP56" s="389"/>
      <c r="UCY56" s="389"/>
      <c r="UCZ56" s="389"/>
      <c r="UDI56" s="389"/>
      <c r="UDJ56" s="389"/>
      <c r="UDS56" s="389"/>
      <c r="UDT56" s="389"/>
      <c r="UEC56" s="389"/>
      <c r="UED56" s="389"/>
      <c r="UEM56" s="389"/>
      <c r="UEN56" s="389"/>
      <c r="UEW56" s="389"/>
      <c r="UEX56" s="389"/>
      <c r="UFG56" s="389"/>
      <c r="UFH56" s="389"/>
      <c r="UFQ56" s="389"/>
      <c r="UFR56" s="389"/>
      <c r="UGA56" s="389"/>
      <c r="UGB56" s="389"/>
      <c r="UGK56" s="389"/>
      <c r="UGL56" s="389"/>
      <c r="UGU56" s="389"/>
      <c r="UGV56" s="389"/>
      <c r="UHE56" s="389"/>
      <c r="UHF56" s="389"/>
      <c r="UHO56" s="389"/>
      <c r="UHP56" s="389"/>
      <c r="UHY56" s="389"/>
      <c r="UHZ56" s="389"/>
      <c r="UII56" s="389"/>
      <c r="UIJ56" s="389"/>
      <c r="UIS56" s="389"/>
      <c r="UIT56" s="389"/>
      <c r="UJC56" s="389"/>
      <c r="UJD56" s="389"/>
      <c r="UJM56" s="389"/>
      <c r="UJN56" s="389"/>
      <c r="UJW56" s="389"/>
      <c r="UJX56" s="389"/>
      <c r="UKG56" s="389"/>
      <c r="UKH56" s="389"/>
      <c r="UKQ56" s="389"/>
      <c r="UKR56" s="389"/>
      <c r="ULA56" s="389"/>
      <c r="ULB56" s="389"/>
      <c r="ULK56" s="389"/>
      <c r="ULL56" s="389"/>
      <c r="ULU56" s="389"/>
      <c r="ULV56" s="389"/>
      <c r="UME56" s="389"/>
      <c r="UMF56" s="389"/>
      <c r="UMO56" s="389"/>
      <c r="UMP56" s="389"/>
      <c r="UMY56" s="389"/>
      <c r="UMZ56" s="389"/>
      <c r="UNI56" s="389"/>
      <c r="UNJ56" s="389"/>
      <c r="UNS56" s="389"/>
      <c r="UNT56" s="389"/>
      <c r="UOC56" s="389"/>
      <c r="UOD56" s="389"/>
      <c r="UOM56" s="389"/>
      <c r="UON56" s="389"/>
      <c r="UOW56" s="389"/>
      <c r="UOX56" s="389"/>
      <c r="UPG56" s="389"/>
      <c r="UPH56" s="389"/>
      <c r="UPQ56" s="389"/>
      <c r="UPR56" s="389"/>
      <c r="UQA56" s="389"/>
      <c r="UQB56" s="389"/>
      <c r="UQK56" s="389"/>
      <c r="UQL56" s="389"/>
      <c r="UQU56" s="389"/>
      <c r="UQV56" s="389"/>
      <c r="URE56" s="389"/>
      <c r="URF56" s="389"/>
      <c r="URO56" s="389"/>
      <c r="URP56" s="389"/>
      <c r="URY56" s="389"/>
      <c r="URZ56" s="389"/>
      <c r="USI56" s="389"/>
      <c r="USJ56" s="389"/>
      <c r="USS56" s="389"/>
      <c r="UST56" s="389"/>
      <c r="UTC56" s="389"/>
      <c r="UTD56" s="389"/>
      <c r="UTM56" s="389"/>
      <c r="UTN56" s="389"/>
      <c r="UTW56" s="389"/>
      <c r="UTX56" s="389"/>
      <c r="UUG56" s="389"/>
      <c r="UUH56" s="389"/>
      <c r="UUQ56" s="389"/>
      <c r="UUR56" s="389"/>
      <c r="UVA56" s="389"/>
      <c r="UVB56" s="389"/>
      <c r="UVK56" s="389"/>
      <c r="UVL56" s="389"/>
      <c r="UVU56" s="389"/>
      <c r="UVV56" s="389"/>
      <c r="UWE56" s="389"/>
      <c r="UWF56" s="389"/>
      <c r="UWO56" s="389"/>
      <c r="UWP56" s="389"/>
      <c r="UWY56" s="389"/>
      <c r="UWZ56" s="389"/>
      <c r="UXI56" s="389"/>
      <c r="UXJ56" s="389"/>
      <c r="UXS56" s="389"/>
      <c r="UXT56" s="389"/>
      <c r="UYC56" s="389"/>
      <c r="UYD56" s="389"/>
      <c r="UYM56" s="389"/>
      <c r="UYN56" s="389"/>
      <c r="UYW56" s="389"/>
      <c r="UYX56" s="389"/>
      <c r="UZG56" s="389"/>
      <c r="UZH56" s="389"/>
      <c r="UZQ56" s="389"/>
      <c r="UZR56" s="389"/>
      <c r="VAA56" s="389"/>
      <c r="VAB56" s="389"/>
      <c r="VAK56" s="389"/>
      <c r="VAL56" s="389"/>
      <c r="VAU56" s="389"/>
      <c r="VAV56" s="389"/>
      <c r="VBE56" s="389"/>
      <c r="VBF56" s="389"/>
      <c r="VBO56" s="389"/>
      <c r="VBP56" s="389"/>
      <c r="VBY56" s="389"/>
      <c r="VBZ56" s="389"/>
      <c r="VCI56" s="389"/>
      <c r="VCJ56" s="389"/>
      <c r="VCS56" s="389"/>
      <c r="VCT56" s="389"/>
      <c r="VDC56" s="389"/>
      <c r="VDD56" s="389"/>
      <c r="VDM56" s="389"/>
      <c r="VDN56" s="389"/>
      <c r="VDW56" s="389"/>
      <c r="VDX56" s="389"/>
      <c r="VEG56" s="389"/>
      <c r="VEH56" s="389"/>
      <c r="VEQ56" s="389"/>
      <c r="VER56" s="389"/>
      <c r="VFA56" s="389"/>
      <c r="VFB56" s="389"/>
      <c r="VFK56" s="389"/>
      <c r="VFL56" s="389"/>
      <c r="VFU56" s="389"/>
      <c r="VFV56" s="389"/>
      <c r="VGE56" s="389"/>
      <c r="VGF56" s="389"/>
      <c r="VGO56" s="389"/>
      <c r="VGP56" s="389"/>
      <c r="VGY56" s="389"/>
      <c r="VGZ56" s="389"/>
      <c r="VHI56" s="389"/>
      <c r="VHJ56" s="389"/>
      <c r="VHS56" s="389"/>
      <c r="VHT56" s="389"/>
      <c r="VIC56" s="389"/>
      <c r="VID56" s="389"/>
      <c r="VIM56" s="389"/>
      <c r="VIN56" s="389"/>
      <c r="VIW56" s="389"/>
      <c r="VIX56" s="389"/>
      <c r="VJG56" s="389"/>
      <c r="VJH56" s="389"/>
      <c r="VJQ56" s="389"/>
      <c r="VJR56" s="389"/>
      <c r="VKA56" s="389"/>
      <c r="VKB56" s="389"/>
      <c r="VKK56" s="389"/>
      <c r="VKL56" s="389"/>
      <c r="VKU56" s="389"/>
      <c r="VKV56" s="389"/>
      <c r="VLE56" s="389"/>
      <c r="VLF56" s="389"/>
      <c r="VLO56" s="389"/>
      <c r="VLP56" s="389"/>
      <c r="VLY56" s="389"/>
      <c r="VLZ56" s="389"/>
      <c r="VMI56" s="389"/>
      <c r="VMJ56" s="389"/>
      <c r="VMS56" s="389"/>
      <c r="VMT56" s="389"/>
      <c r="VNC56" s="389"/>
      <c r="VND56" s="389"/>
      <c r="VNM56" s="389"/>
      <c r="VNN56" s="389"/>
      <c r="VNW56" s="389"/>
      <c r="VNX56" s="389"/>
      <c r="VOG56" s="389"/>
      <c r="VOH56" s="389"/>
      <c r="VOQ56" s="389"/>
      <c r="VOR56" s="389"/>
      <c r="VPA56" s="389"/>
      <c r="VPB56" s="389"/>
      <c r="VPK56" s="389"/>
      <c r="VPL56" s="389"/>
      <c r="VPU56" s="389"/>
      <c r="VPV56" s="389"/>
      <c r="VQE56" s="389"/>
      <c r="VQF56" s="389"/>
      <c r="VQO56" s="389"/>
      <c r="VQP56" s="389"/>
      <c r="VQY56" s="389"/>
      <c r="VQZ56" s="389"/>
      <c r="VRI56" s="389"/>
      <c r="VRJ56" s="389"/>
      <c r="VRS56" s="389"/>
      <c r="VRT56" s="389"/>
      <c r="VSC56" s="389"/>
      <c r="VSD56" s="389"/>
      <c r="VSM56" s="389"/>
      <c r="VSN56" s="389"/>
      <c r="VSW56" s="389"/>
      <c r="VSX56" s="389"/>
      <c r="VTG56" s="389"/>
      <c r="VTH56" s="389"/>
      <c r="VTQ56" s="389"/>
      <c r="VTR56" s="389"/>
      <c r="VUA56" s="389"/>
      <c r="VUB56" s="389"/>
      <c r="VUK56" s="389"/>
      <c r="VUL56" s="389"/>
      <c r="VUU56" s="389"/>
      <c r="VUV56" s="389"/>
      <c r="VVE56" s="389"/>
      <c r="VVF56" s="389"/>
      <c r="VVO56" s="389"/>
      <c r="VVP56" s="389"/>
      <c r="VVY56" s="389"/>
      <c r="VVZ56" s="389"/>
      <c r="VWI56" s="389"/>
      <c r="VWJ56" s="389"/>
      <c r="VWS56" s="389"/>
      <c r="VWT56" s="389"/>
      <c r="VXC56" s="389"/>
      <c r="VXD56" s="389"/>
      <c r="VXM56" s="389"/>
      <c r="VXN56" s="389"/>
      <c r="VXW56" s="389"/>
      <c r="VXX56" s="389"/>
      <c r="VYG56" s="389"/>
      <c r="VYH56" s="389"/>
      <c r="VYQ56" s="389"/>
      <c r="VYR56" s="389"/>
      <c r="VZA56" s="389"/>
      <c r="VZB56" s="389"/>
      <c r="VZK56" s="389"/>
      <c r="VZL56" s="389"/>
      <c r="VZU56" s="389"/>
      <c r="VZV56" s="389"/>
      <c r="WAE56" s="389"/>
      <c r="WAF56" s="389"/>
      <c r="WAO56" s="389"/>
      <c r="WAP56" s="389"/>
      <c r="WAY56" s="389"/>
      <c r="WAZ56" s="389"/>
      <c r="WBI56" s="389"/>
      <c r="WBJ56" s="389"/>
      <c r="WBS56" s="389"/>
      <c r="WBT56" s="389"/>
      <c r="WCC56" s="389"/>
      <c r="WCD56" s="389"/>
      <c r="WCM56" s="389"/>
      <c r="WCN56" s="389"/>
      <c r="WCW56" s="389"/>
      <c r="WCX56" s="389"/>
      <c r="WDG56" s="389"/>
      <c r="WDH56" s="389"/>
      <c r="WDQ56" s="389"/>
      <c r="WDR56" s="389"/>
      <c r="WEA56" s="389"/>
      <c r="WEB56" s="389"/>
      <c r="WEK56" s="389"/>
      <c r="WEL56" s="389"/>
      <c r="WEU56" s="389"/>
      <c r="WEV56" s="389"/>
      <c r="WFE56" s="389"/>
      <c r="WFF56" s="389"/>
      <c r="WFO56" s="389"/>
      <c r="WFP56" s="389"/>
      <c r="WFY56" s="389"/>
      <c r="WFZ56" s="389"/>
      <c r="WGI56" s="389"/>
      <c r="WGJ56" s="389"/>
      <c r="WGS56" s="389"/>
      <c r="WGT56" s="389"/>
      <c r="WHC56" s="389"/>
      <c r="WHD56" s="389"/>
      <c r="WHM56" s="389"/>
      <c r="WHN56" s="389"/>
      <c r="WHW56" s="389"/>
      <c r="WHX56" s="389"/>
      <c r="WIG56" s="389"/>
      <c r="WIH56" s="389"/>
      <c r="WIQ56" s="389"/>
      <c r="WIR56" s="389"/>
      <c r="WJA56" s="389"/>
      <c r="WJB56" s="389"/>
      <c r="WJK56" s="389"/>
      <c r="WJL56" s="389"/>
      <c r="WJU56" s="389"/>
      <c r="WJV56" s="389"/>
      <c r="WKE56" s="389"/>
      <c r="WKF56" s="389"/>
      <c r="WKO56" s="389"/>
      <c r="WKP56" s="389"/>
      <c r="WKY56" s="389"/>
      <c r="WKZ56" s="389"/>
      <c r="WLI56" s="389"/>
      <c r="WLJ56" s="389"/>
      <c r="WLS56" s="389"/>
      <c r="WLT56" s="389"/>
      <c r="WMC56" s="389"/>
      <c r="WMD56" s="389"/>
      <c r="WMM56" s="389"/>
      <c r="WMN56" s="389"/>
      <c r="WMW56" s="389"/>
      <c r="WMX56" s="389"/>
      <c r="WNG56" s="389"/>
      <c r="WNH56" s="389"/>
      <c r="WNQ56" s="389"/>
      <c r="WNR56" s="389"/>
      <c r="WOA56" s="389"/>
      <c r="WOB56" s="389"/>
      <c r="WOK56" s="389"/>
      <c r="WOL56" s="389"/>
      <c r="WOU56" s="389"/>
      <c r="WOV56" s="389"/>
      <c r="WPE56" s="389"/>
      <c r="WPF56" s="389"/>
      <c r="WPO56" s="389"/>
      <c r="WPP56" s="389"/>
      <c r="WPY56" s="389"/>
      <c r="WPZ56" s="389"/>
      <c r="WQI56" s="389"/>
      <c r="WQJ56" s="389"/>
      <c r="WQS56" s="389"/>
      <c r="WQT56" s="389"/>
      <c r="WRC56" s="389"/>
      <c r="WRD56" s="389"/>
      <c r="WRM56" s="389"/>
      <c r="WRN56" s="389"/>
      <c r="WRW56" s="389"/>
      <c r="WRX56" s="389"/>
      <c r="WSG56" s="389"/>
      <c r="WSH56" s="389"/>
      <c r="WSQ56" s="389"/>
      <c r="WSR56" s="389"/>
      <c r="WTA56" s="389"/>
      <c r="WTB56" s="389"/>
      <c r="WTK56" s="389"/>
      <c r="WTL56" s="389"/>
      <c r="WTU56" s="389"/>
      <c r="WTV56" s="389"/>
      <c r="WUE56" s="389"/>
      <c r="WUF56" s="389"/>
      <c r="WUO56" s="389"/>
      <c r="WUP56" s="389"/>
      <c r="WUY56" s="389"/>
      <c r="WUZ56" s="389"/>
      <c r="WVI56" s="389"/>
      <c r="WVJ56" s="389"/>
      <c r="WVS56" s="389"/>
      <c r="WVT56" s="389"/>
      <c r="WWC56" s="389"/>
      <c r="WWD56" s="389"/>
      <c r="WWM56" s="389"/>
      <c r="WWN56" s="389"/>
      <c r="WWW56" s="389"/>
      <c r="WWX56" s="389"/>
      <c r="WXG56" s="389"/>
      <c r="WXH56" s="389"/>
      <c r="WXQ56" s="389"/>
      <c r="WXR56" s="389"/>
      <c r="WYA56" s="389"/>
      <c r="WYB56" s="389"/>
      <c r="WYK56" s="389"/>
      <c r="WYL56" s="389"/>
      <c r="WYU56" s="389"/>
      <c r="WYV56" s="389"/>
      <c r="WZE56" s="389"/>
      <c r="WZF56" s="389"/>
      <c r="WZO56" s="389"/>
      <c r="WZP56" s="389"/>
      <c r="WZY56" s="389"/>
      <c r="WZZ56" s="389"/>
      <c r="XAI56" s="389"/>
      <c r="XAJ56" s="389"/>
      <c r="XAS56" s="389"/>
      <c r="XAT56" s="389"/>
      <c r="XBC56" s="389"/>
      <c r="XBD56" s="389"/>
      <c r="XBM56" s="389"/>
      <c r="XBN56" s="389"/>
      <c r="XBW56" s="389"/>
      <c r="XBX56" s="389"/>
      <c r="XCG56" s="389"/>
      <c r="XCH56" s="389"/>
      <c r="XCQ56" s="389"/>
      <c r="XCR56" s="389"/>
      <c r="XDA56" s="389"/>
      <c r="XDB56" s="389"/>
      <c r="XDK56" s="389"/>
      <c r="XDL56" s="389"/>
      <c r="XDU56" s="389"/>
      <c r="XDV56" s="389"/>
      <c r="XEE56" s="389"/>
      <c r="XEF56" s="389"/>
      <c r="XEO56" s="389"/>
      <c r="XEP56" s="389"/>
      <c r="XEY56" s="389"/>
      <c r="XEZ56" s="389"/>
    </row>
    <row r="57" spans="1:1020 1029:2040 2049:3070 3079:4090 4099:5120 5129:6140 6149:7160 7169:8190 8199:9210 9219:10240 10249:11260 11269:12280 12289:13310 13319:14330 14339:15360 15369:16380" ht="45" customHeight="1" thickBot="1" x14ac:dyDescent="0.25">
      <c r="A57" s="1470" t="s">
        <v>4</v>
      </c>
      <c r="B57" s="1472" t="s">
        <v>306</v>
      </c>
      <c r="C57" s="1474" t="s">
        <v>264</v>
      </c>
      <c r="D57" s="1475"/>
      <c r="E57" s="1476" t="s">
        <v>373</v>
      </c>
      <c r="F57" s="1701" t="s">
        <v>276</v>
      </c>
      <c r="G57" s="1480" t="s">
        <v>27</v>
      </c>
      <c r="H57" s="1481"/>
      <c r="I57" s="1480" t="s">
        <v>563</v>
      </c>
      <c r="J57" s="1481"/>
      <c r="K57" s="1480" t="s">
        <v>560</v>
      </c>
      <c r="L57" s="1481"/>
      <c r="M57" s="1470" t="s">
        <v>58</v>
      </c>
    </row>
    <row r="58" spans="1:1020 1029:2040 2049:3070 3079:4090 4099:5120 5129:6140 6149:7160 7169:8190 8199:9210 9219:10240 10249:11260 11269:12280 12289:13310 13319:14330 14339:15360 15369:16380" ht="45" customHeight="1" thickBot="1" x14ac:dyDescent="0.25">
      <c r="A58" s="1730"/>
      <c r="B58" s="1731"/>
      <c r="C58" s="427" t="s">
        <v>267</v>
      </c>
      <c r="D58" s="427" t="s">
        <v>275</v>
      </c>
      <c r="E58" s="1726"/>
      <c r="F58" s="1727"/>
      <c r="G58" s="1170" t="s">
        <v>561</v>
      </c>
      <c r="H58" s="1170" t="s">
        <v>562</v>
      </c>
      <c r="I58" s="1170" t="s">
        <v>561</v>
      </c>
      <c r="J58" s="1170" t="s">
        <v>562</v>
      </c>
      <c r="K58" s="1170" t="s">
        <v>561</v>
      </c>
      <c r="L58" s="1170" t="s">
        <v>562</v>
      </c>
      <c r="M58" s="1730" t="s">
        <v>59</v>
      </c>
    </row>
    <row r="59" spans="1:1020 1029:2040 2049:3070 3079:4090 4099:5120 5129:6140 6149:7160 7169:8190 8199:9210 9219:10240 10249:11260 11269:12280 12289:13310 13319:14330 14339:15360 15369:16380" ht="45" customHeight="1" thickBot="1" x14ac:dyDescent="0.25">
      <c r="A59" s="1099">
        <v>1</v>
      </c>
      <c r="B59" s="1100" t="e">
        <f>'5 kg % (C)'!$I$8</f>
        <v>#N/A</v>
      </c>
      <c r="C59" s="1101" t="str">
        <f>'DATOS %'!B75</f>
        <v>5 kg</v>
      </c>
      <c r="D59" s="1106" t="e">
        <f>'5 kg % (C)'!$F$75</f>
        <v>#N/A</v>
      </c>
      <c r="E59" s="1106">
        <f>'DATOS %'!W149</f>
        <v>83</v>
      </c>
      <c r="F59" s="1106">
        <f>'DATOS %'!X149</f>
        <v>250</v>
      </c>
      <c r="G59" s="1103" t="e">
        <f>'gramo Max-Min %'!AA21</f>
        <v>#N/A</v>
      </c>
      <c r="H59" s="1103" t="e">
        <f>'gramo Max-Min %'!AA20</f>
        <v>#N/A</v>
      </c>
      <c r="I59" s="1103" t="e">
        <f>'gramo Max-Min %'!AB21</f>
        <v>#N/A</v>
      </c>
      <c r="J59" s="1104" t="e">
        <f>'gramo Max-Min %'!AB20</f>
        <v>#N/A</v>
      </c>
      <c r="K59" s="1104" t="e">
        <f>'gramo Max-Min %'!AC21</f>
        <v>#N/A</v>
      </c>
      <c r="L59" s="1104" t="e">
        <f>'gramo Max-Min %'!AC20</f>
        <v>#N/A</v>
      </c>
      <c r="M59" s="1099" t="e">
        <f>IF(ABS(D59)+E59&gt;=((F59)),"NO","SI")</f>
        <v>#N/A</v>
      </c>
    </row>
    <row r="60" spans="1:1020 1029:2040 2049:3070 3079:4090 4099:5120 5129:6140 6149:7160 7169:8190 8199:9210 9219:10240 10249:11260 11269:12280 12289:13310 13319:14330 14339:15360 15369:16380" ht="20.100000000000001" customHeight="1" x14ac:dyDescent="0.2">
      <c r="A60" s="1002"/>
      <c r="B60" s="1002"/>
      <c r="C60" s="1002"/>
      <c r="D60" s="1002"/>
      <c r="E60" s="1002"/>
      <c r="F60" s="1002"/>
      <c r="G60" s="1003"/>
      <c r="H60" s="1003"/>
      <c r="I60" s="1003"/>
      <c r="J60" s="1004"/>
    </row>
    <row r="61" spans="1:1020 1029:2040 2049:3070 3079:4090 4099:5120 5129:6140 6149:7160 7169:8190 8199:9210 9219:10240 10249:11260 11269:12280 12289:13310 13319:14330 14339:15360 15369:16380" ht="20.100000000000001" customHeight="1" x14ac:dyDescent="0.2">
      <c r="A61" s="1728" t="s">
        <v>456</v>
      </c>
      <c r="B61" s="1728"/>
      <c r="C61" s="1728"/>
      <c r="D61" s="1728"/>
      <c r="E61" s="1728"/>
      <c r="F61" s="1728"/>
      <c r="G61" s="1728"/>
      <c r="H61" s="1728"/>
      <c r="I61" s="1728"/>
      <c r="J61" s="1728"/>
      <c r="K61" s="1728"/>
      <c r="L61" s="1728"/>
      <c r="M61" s="1728"/>
    </row>
    <row r="62" spans="1:1020 1029:2040 2049:3070 3079:4090 4099:5120 5129:6140 6149:7160 7169:8190 8199:9210 9219:10240 10249:11260 11269:12280 12289:13310 13319:14330 14339:15360 15369:16380" ht="20.100000000000001" customHeight="1" x14ac:dyDescent="0.2">
      <c r="A62" s="1728"/>
      <c r="B62" s="1728"/>
      <c r="C62" s="1728"/>
      <c r="D62" s="1728"/>
      <c r="E62" s="1728"/>
      <c r="F62" s="1728"/>
      <c r="G62" s="1728"/>
      <c r="H62" s="1728"/>
      <c r="I62" s="1728"/>
      <c r="J62" s="1728"/>
      <c r="K62" s="1728"/>
      <c r="L62" s="1728"/>
      <c r="M62" s="1728"/>
    </row>
    <row r="63" spans="1:1020 1029:2040 2049:3070 3079:4090 4099:5120 5129:6140 6149:7160 7169:8190 8199:9210 9219:10240 10249:11260 11269:12280 12289:13310 13319:14330 14339:15360 15369:16380" ht="20.100000000000001" customHeight="1" x14ac:dyDescent="0.2">
      <c r="A63" s="1728"/>
      <c r="B63" s="1728"/>
      <c r="C63" s="1728"/>
      <c r="D63" s="1728"/>
      <c r="E63" s="1728"/>
      <c r="F63" s="1728"/>
      <c r="G63" s="1728"/>
      <c r="H63" s="1728"/>
      <c r="I63" s="1728"/>
      <c r="J63" s="1728"/>
      <c r="K63" s="1728"/>
      <c r="L63" s="1728"/>
      <c r="M63" s="1728"/>
    </row>
    <row r="64" spans="1:1020 1029:2040 2049:3070 3079:4090 4099:5120 5129:6140 6149:7160 7169:8190 8199:9210 9219:10240 10249:11260 11269:12280 12289:13310 13319:14330 14339:15360 15369:16380" ht="20.100000000000001" customHeight="1" x14ac:dyDescent="0.2">
      <c r="A64" s="1005"/>
      <c r="B64" s="1005"/>
      <c r="C64" s="1005"/>
      <c r="D64" s="1005"/>
      <c r="E64" s="1005"/>
      <c r="F64" s="1005"/>
      <c r="G64" s="1005"/>
      <c r="H64" s="1005"/>
      <c r="I64" s="1005"/>
      <c r="J64" s="1005"/>
    </row>
    <row r="65" spans="1:13" ht="23.1" customHeight="1" x14ac:dyDescent="0.2">
      <c r="A65" s="1005"/>
      <c r="B65" s="1005"/>
      <c r="C65" s="1005"/>
      <c r="D65" s="1005"/>
      <c r="E65" s="1005"/>
      <c r="F65" s="1005"/>
      <c r="G65" s="1005"/>
      <c r="H65" s="1005"/>
      <c r="I65" s="1005"/>
      <c r="J65" s="1005"/>
    </row>
    <row r="66" spans="1:13" ht="125.1" customHeight="1" x14ac:dyDescent="0.2">
      <c r="A66" s="1006"/>
      <c r="B66" s="1006"/>
      <c r="C66" s="1006"/>
      <c r="D66" s="1006"/>
      <c r="E66" s="1006"/>
      <c r="F66" s="1006"/>
      <c r="G66" s="1006"/>
      <c r="H66" s="1006"/>
      <c r="I66" s="1006"/>
      <c r="J66" s="1006"/>
    </row>
    <row r="67" spans="1:13" ht="35.1" customHeight="1" x14ac:dyDescent="0.2">
      <c r="A67" s="1006"/>
      <c r="B67" s="1006"/>
      <c r="C67" s="1006"/>
      <c r="D67" s="1006"/>
      <c r="E67" s="1006"/>
      <c r="F67" s="1006"/>
      <c r="G67" s="1006"/>
      <c r="H67" s="1006"/>
      <c r="I67" s="1006"/>
      <c r="J67" s="1006"/>
    </row>
    <row r="68" spans="1:13" ht="35.1" customHeight="1" x14ac:dyDescent="0.2">
      <c r="A68" s="1006"/>
      <c r="B68" s="1006"/>
      <c r="C68" s="1006"/>
      <c r="D68" s="1006"/>
      <c r="E68" s="1006"/>
      <c r="F68" s="1006"/>
      <c r="J68" s="1446" t="s">
        <v>24</v>
      </c>
      <c r="K68" s="1446"/>
      <c r="L68" s="1447">
        <f>L3</f>
        <v>0</v>
      </c>
      <c r="M68" s="1447"/>
    </row>
    <row r="69" spans="1:13" ht="23.1" customHeight="1" x14ac:dyDescent="0.2">
      <c r="A69" s="1482" t="s">
        <v>251</v>
      </c>
      <c r="B69" s="1482"/>
      <c r="C69" s="1482"/>
      <c r="D69" s="1482"/>
    </row>
    <row r="70" spans="1:13" ht="20.100000000000001" customHeight="1" x14ac:dyDescent="0.2"/>
    <row r="71" spans="1:13" s="1007" customFormat="1" ht="33" customHeight="1" x14ac:dyDescent="0.25">
      <c r="A71" s="1169" t="s">
        <v>130</v>
      </c>
      <c r="B71" s="1438" t="s">
        <v>270</v>
      </c>
      <c r="C71" s="1438"/>
      <c r="D71" s="1438"/>
      <c r="E71" s="1438"/>
      <c r="F71" s="1438"/>
      <c r="G71" s="1438"/>
      <c r="H71" s="1438"/>
      <c r="I71" s="1438"/>
      <c r="J71" s="1438"/>
      <c r="K71" s="1438"/>
      <c r="L71" s="1438"/>
      <c r="M71" s="1438"/>
    </row>
    <row r="72" spans="1:13" s="1007" customFormat="1" ht="23.1" customHeight="1" x14ac:dyDescent="0.25">
      <c r="A72" s="1169" t="s">
        <v>130</v>
      </c>
      <c r="B72" s="1438" t="s">
        <v>271</v>
      </c>
      <c r="C72" s="1438"/>
      <c r="D72" s="1438"/>
      <c r="E72" s="1438"/>
      <c r="F72" s="1438"/>
      <c r="G72" s="1438"/>
      <c r="H72" s="1438"/>
      <c r="I72" s="1438"/>
      <c r="J72" s="1438"/>
      <c r="K72" s="1438"/>
      <c r="L72" s="1438"/>
      <c r="M72" s="1438"/>
    </row>
    <row r="73" spans="1:13" s="1007" customFormat="1" ht="33" customHeight="1" x14ac:dyDescent="0.25">
      <c r="A73" s="1169" t="s">
        <v>130</v>
      </c>
      <c r="B73" s="1438" t="s">
        <v>284</v>
      </c>
      <c r="C73" s="1438"/>
      <c r="D73" s="1438"/>
      <c r="E73" s="1438"/>
      <c r="F73" s="1438"/>
      <c r="G73" s="1438"/>
      <c r="H73" s="1438"/>
      <c r="I73" s="1438"/>
      <c r="J73" s="1438"/>
      <c r="K73" s="1438"/>
      <c r="L73" s="1438"/>
      <c r="M73" s="1438"/>
    </row>
    <row r="74" spans="1:13" s="1007" customFormat="1" ht="23.1" customHeight="1" x14ac:dyDescent="0.25">
      <c r="A74" s="1169" t="s">
        <v>130</v>
      </c>
      <c r="B74" s="1438" t="s">
        <v>317</v>
      </c>
      <c r="C74" s="1438"/>
      <c r="D74" s="1438"/>
      <c r="E74" s="1438"/>
      <c r="F74" s="1438"/>
      <c r="G74" s="1438"/>
      <c r="H74" s="1438"/>
      <c r="I74" s="1438"/>
      <c r="J74" s="1438"/>
      <c r="K74" s="1438"/>
      <c r="L74" s="1438"/>
      <c r="M74" s="1438"/>
    </row>
    <row r="75" spans="1:13" s="1007" customFormat="1" ht="23.1" customHeight="1" x14ac:dyDescent="0.25">
      <c r="A75" s="1169" t="s">
        <v>130</v>
      </c>
      <c r="B75" s="1438" t="s">
        <v>185</v>
      </c>
      <c r="C75" s="1438"/>
      <c r="D75" s="1438"/>
      <c r="E75" s="1438"/>
      <c r="F75" s="1438"/>
      <c r="G75" s="1438"/>
      <c r="H75" s="1438"/>
      <c r="I75" s="1438"/>
      <c r="J75" s="1438"/>
      <c r="K75" s="1438"/>
      <c r="L75" s="1438"/>
      <c r="M75" s="1438"/>
    </row>
    <row r="76" spans="1:13" s="1007" customFormat="1" ht="33" customHeight="1" x14ac:dyDescent="0.25">
      <c r="A76" s="1169" t="s">
        <v>130</v>
      </c>
      <c r="B76" s="1438" t="s">
        <v>272</v>
      </c>
      <c r="C76" s="1438"/>
      <c r="D76" s="1438"/>
      <c r="E76" s="1438"/>
      <c r="F76" s="1438"/>
      <c r="G76" s="1438"/>
      <c r="H76" s="1438"/>
      <c r="I76" s="1438"/>
      <c r="J76" s="1438"/>
      <c r="K76" s="1438"/>
      <c r="L76" s="1438"/>
      <c r="M76" s="1438"/>
    </row>
    <row r="77" spans="1:13" s="1007" customFormat="1" ht="23.1" customHeight="1" x14ac:dyDescent="0.25">
      <c r="A77" s="1169" t="s">
        <v>130</v>
      </c>
      <c r="B77" s="1438" t="s">
        <v>295</v>
      </c>
      <c r="C77" s="1438"/>
      <c r="D77" s="1438"/>
      <c r="E77" s="1438"/>
      <c r="F77" s="1438"/>
      <c r="G77" s="1438"/>
      <c r="H77" s="1438"/>
      <c r="I77" s="1438"/>
      <c r="J77" s="1438"/>
      <c r="K77" s="1438"/>
      <c r="L77" s="1438"/>
      <c r="M77" s="1438"/>
    </row>
    <row r="78" spans="1:13" s="1007" customFormat="1" ht="23.1" customHeight="1" x14ac:dyDescent="0.25">
      <c r="A78" s="1169" t="s">
        <v>130</v>
      </c>
      <c r="B78" s="1438" t="s">
        <v>285</v>
      </c>
      <c r="C78" s="1438"/>
      <c r="D78" s="1438"/>
      <c r="E78" s="1438"/>
      <c r="F78" s="1438"/>
      <c r="G78" s="1438"/>
      <c r="H78" s="1438"/>
      <c r="I78" s="1438"/>
      <c r="J78" s="1438"/>
      <c r="K78" s="1438"/>
      <c r="L78" s="1438"/>
      <c r="M78" s="1438"/>
    </row>
    <row r="79" spans="1:13" ht="23.1" customHeight="1" x14ac:dyDescent="0.2">
      <c r="A79" s="1169" t="s">
        <v>130</v>
      </c>
      <c r="B79" s="1438" t="s">
        <v>308</v>
      </c>
      <c r="C79" s="1438"/>
      <c r="D79" s="1438"/>
      <c r="E79" s="1438"/>
      <c r="F79" s="1438"/>
      <c r="G79" s="1438"/>
      <c r="H79" s="1438"/>
      <c r="I79" s="1438"/>
      <c r="J79" s="1438"/>
      <c r="K79" s="1438"/>
      <c r="L79" s="1438"/>
      <c r="M79" s="1438"/>
    </row>
    <row r="80" spans="1:13" ht="23.1" customHeight="1" x14ac:dyDescent="0.2">
      <c r="A80" s="1169" t="s">
        <v>130</v>
      </c>
      <c r="B80" s="1438" t="s">
        <v>349</v>
      </c>
      <c r="C80" s="1438"/>
      <c r="D80" s="1438"/>
      <c r="E80" s="1438"/>
      <c r="F80" s="1438"/>
      <c r="G80" s="1438"/>
      <c r="H80" s="1438"/>
      <c r="I80" s="1438"/>
      <c r="J80" s="1438"/>
      <c r="K80" s="1438"/>
      <c r="L80" s="1438"/>
      <c r="M80" s="1438"/>
    </row>
    <row r="81" spans="1:13" ht="33" customHeight="1" x14ac:dyDescent="0.2">
      <c r="A81" s="1169" t="s">
        <v>130</v>
      </c>
      <c r="B81" s="1438" t="s">
        <v>545</v>
      </c>
      <c r="C81" s="1438"/>
      <c r="D81" s="1438"/>
      <c r="E81" s="1438"/>
      <c r="F81" s="1438"/>
      <c r="G81" s="1438"/>
      <c r="H81" s="1438"/>
      <c r="I81" s="1438"/>
      <c r="J81" s="1438"/>
      <c r="K81" s="1438"/>
      <c r="L81" s="1438"/>
      <c r="M81" s="1438"/>
    </row>
    <row r="82" spans="1:13" ht="20.100000000000001" customHeight="1" x14ac:dyDescent="0.2"/>
    <row r="83" spans="1:13" ht="23.1" customHeight="1" x14ac:dyDescent="0.25">
      <c r="A83" s="1484" t="s">
        <v>16</v>
      </c>
      <c r="B83" s="1484"/>
      <c r="C83" s="1484"/>
      <c r="E83" s="396"/>
    </row>
    <row r="84" spans="1:13" ht="20.100000000000001" customHeight="1" x14ac:dyDescent="0.2"/>
    <row r="85" spans="1:13" ht="20.100000000000001" customHeight="1" x14ac:dyDescent="0.2">
      <c r="G85" s="1008"/>
      <c r="J85" s="984"/>
    </row>
    <row r="86" spans="1:13" ht="23.1" customHeight="1" thickBot="1" x14ac:dyDescent="0.3">
      <c r="A86" s="396"/>
      <c r="B86" s="1737"/>
      <c r="C86" s="1737"/>
      <c r="D86" s="1737"/>
      <c r="E86" s="1737"/>
      <c r="F86" s="397"/>
      <c r="I86" s="1009"/>
      <c r="J86" s="1009"/>
      <c r="K86" s="1009"/>
      <c r="L86" s="397"/>
    </row>
    <row r="87" spans="1:13" ht="23.1" customHeight="1" x14ac:dyDescent="0.25">
      <c r="B87" s="1736" t="s">
        <v>247</v>
      </c>
      <c r="C87" s="1736"/>
      <c r="D87" s="1736"/>
      <c r="E87" s="1736"/>
      <c r="I87" s="1436" t="s">
        <v>127</v>
      </c>
      <c r="J87" s="1436"/>
      <c r="K87" s="1436"/>
      <c r="L87" s="1436"/>
    </row>
    <row r="88" spans="1:13" ht="23.1" customHeight="1" x14ac:dyDescent="0.25">
      <c r="A88" s="1484" t="e">
        <f>VLOOKUP($F$86,'DATOS %'!$V$161:$Y$165,4,FALSE)</f>
        <v>#N/A</v>
      </c>
      <c r="B88" s="1484"/>
      <c r="C88" s="1484"/>
      <c r="D88" s="1484"/>
      <c r="E88" s="1484"/>
      <c r="F88" s="1484"/>
      <c r="I88" s="1484" t="e">
        <f>VLOOKUP($L$86,'DATOS %'!V161:AA165,6,FALSE)</f>
        <v>#N/A</v>
      </c>
      <c r="J88" s="1484"/>
      <c r="K88" s="1484"/>
      <c r="L88" s="1484"/>
    </row>
    <row r="89" spans="1:13" ht="23.1" customHeight="1" x14ac:dyDescent="0.25">
      <c r="B89" s="1484" t="e">
        <f>VLOOKUP($F$86,'DATOS %'!$V$161:$Y$165,2,FALSE)</f>
        <v>#N/A</v>
      </c>
      <c r="C89" s="1484"/>
      <c r="D89" s="1484"/>
      <c r="E89" s="1484"/>
      <c r="I89" s="1733" t="e">
        <f>VLOOKUP($L$86,'DATOS %'!$V$161:$AA$165,2,FALSE)</f>
        <v>#N/A</v>
      </c>
      <c r="J89" s="1733"/>
      <c r="K89" s="1733"/>
      <c r="L89" s="1733"/>
    </row>
    <row r="90" spans="1:13" x14ac:dyDescent="0.2">
      <c r="J90" s="984"/>
    </row>
    <row r="91" spans="1:13" ht="23.1" customHeight="1" x14ac:dyDescent="0.2">
      <c r="B91" s="1734" t="s">
        <v>296</v>
      </c>
      <c r="C91" s="1734"/>
      <c r="D91" s="1732"/>
      <c r="E91" s="1732"/>
      <c r="H91" s="1735" t="s">
        <v>350</v>
      </c>
      <c r="I91" s="1735"/>
      <c r="J91" s="1735"/>
      <c r="K91" s="1732"/>
      <c r="L91" s="1732"/>
    </row>
    <row r="92" spans="1:13" x14ac:dyDescent="0.2">
      <c r="J92" s="984"/>
    </row>
    <row r="93" spans="1:13" ht="23.1" customHeight="1" x14ac:dyDescent="0.25">
      <c r="A93" s="1436" t="s">
        <v>60</v>
      </c>
      <c r="B93" s="1436"/>
      <c r="C93" s="1436"/>
      <c r="D93" s="1436"/>
      <c r="E93" s="1436"/>
      <c r="F93" s="1436"/>
      <c r="G93" s="1436"/>
      <c r="H93" s="1436"/>
      <c r="I93" s="1436"/>
      <c r="J93" s="1436"/>
      <c r="K93" s="1436"/>
      <c r="L93" s="1436"/>
      <c r="M93" s="1436"/>
    </row>
  </sheetData>
  <sheetProtection password="CF5C" sheet="1" objects="1" scenarios="1"/>
  <mergeCells count="101">
    <mergeCell ref="D91:E91"/>
    <mergeCell ref="K91:L91"/>
    <mergeCell ref="A93:M93"/>
    <mergeCell ref="M57:M58"/>
    <mergeCell ref="B76:M76"/>
    <mergeCell ref="B77:M77"/>
    <mergeCell ref="B78:M78"/>
    <mergeCell ref="B79:M79"/>
    <mergeCell ref="B80:M80"/>
    <mergeCell ref="A88:F88"/>
    <mergeCell ref="I88:L88"/>
    <mergeCell ref="B89:E89"/>
    <mergeCell ref="I89:L89"/>
    <mergeCell ref="B91:C91"/>
    <mergeCell ref="H91:J91"/>
    <mergeCell ref="B87:E87"/>
    <mergeCell ref="I87:L87"/>
    <mergeCell ref="A83:C83"/>
    <mergeCell ref="B86:E86"/>
    <mergeCell ref="B73:M73"/>
    <mergeCell ref="B74:M74"/>
    <mergeCell ref="B75:M75"/>
    <mergeCell ref="B81:M81"/>
    <mergeCell ref="C57:D57"/>
    <mergeCell ref="B71:M71"/>
    <mergeCell ref="B72:M72"/>
    <mergeCell ref="B47:D47"/>
    <mergeCell ref="H47:I47"/>
    <mergeCell ref="J47:K47"/>
    <mergeCell ref="A69:D69"/>
    <mergeCell ref="A48:C48"/>
    <mergeCell ref="G48:H48"/>
    <mergeCell ref="I48:J48"/>
    <mergeCell ref="A50:J50"/>
    <mergeCell ref="A52:M53"/>
    <mergeCell ref="K57:L57"/>
    <mergeCell ref="A55:J55"/>
    <mergeCell ref="A57:A58"/>
    <mergeCell ref="B57:B58"/>
    <mergeCell ref="J68:K68"/>
    <mergeCell ref="L68:M68"/>
    <mergeCell ref="C36:D36"/>
    <mergeCell ref="E36:F36"/>
    <mergeCell ref="J40:K40"/>
    <mergeCell ref="L40:M40"/>
    <mergeCell ref="E57:E58"/>
    <mergeCell ref="F57:F58"/>
    <mergeCell ref="G57:H57"/>
    <mergeCell ref="I57:J57"/>
    <mergeCell ref="A61:M63"/>
    <mergeCell ref="A28:M28"/>
    <mergeCell ref="A16:C16"/>
    <mergeCell ref="D16:G16"/>
    <mergeCell ref="B23:E23"/>
    <mergeCell ref="A24:D24"/>
    <mergeCell ref="E24:F24"/>
    <mergeCell ref="A26:J26"/>
    <mergeCell ref="A41:J41"/>
    <mergeCell ref="B46:D46"/>
    <mergeCell ref="H46:I46"/>
    <mergeCell ref="J46:K46"/>
    <mergeCell ref="A43:M43"/>
    <mergeCell ref="A30:J30"/>
    <mergeCell ref="A31:J31"/>
    <mergeCell ref="B33:C34"/>
    <mergeCell ref="D33:E34"/>
    <mergeCell ref="F33:G34"/>
    <mergeCell ref="H33:K33"/>
    <mergeCell ref="H34:I34"/>
    <mergeCell ref="J34:K34"/>
    <mergeCell ref="B35:C35"/>
    <mergeCell ref="D35:E35"/>
    <mergeCell ref="F35:G35"/>
    <mergeCell ref="A36:B36"/>
    <mergeCell ref="A21:F21"/>
    <mergeCell ref="A15:C15"/>
    <mergeCell ref="D15:G15"/>
    <mergeCell ref="A22:M22"/>
    <mergeCell ref="A17:C17"/>
    <mergeCell ref="D17:E17"/>
    <mergeCell ref="F17:G17"/>
    <mergeCell ref="A19:E19"/>
    <mergeCell ref="F19:J19"/>
    <mergeCell ref="A1:J1"/>
    <mergeCell ref="J3:K3"/>
    <mergeCell ref="L3:M3"/>
    <mergeCell ref="A4:C4"/>
    <mergeCell ref="G4:H4"/>
    <mergeCell ref="A6:B6"/>
    <mergeCell ref="D6:J6"/>
    <mergeCell ref="A12:J12"/>
    <mergeCell ref="A14:C14"/>
    <mergeCell ref="D14:J14"/>
    <mergeCell ref="A7:B7"/>
    <mergeCell ref="D7:J7"/>
    <mergeCell ref="A8:B8"/>
    <mergeCell ref="D8:G8"/>
    <mergeCell ref="A10:C10"/>
    <mergeCell ref="D10:E10"/>
    <mergeCell ref="F10:H10"/>
    <mergeCell ref="I10:J10"/>
  </mergeCells>
  <dataValidations count="1">
    <dataValidation type="list" allowBlank="1" showInputMessage="1" showErrorMessage="1" sqref="F86" xr:uid="{00000000-0002-0000-2700-000000000000}">
      <formula1>$V$160:$V$164</formula1>
    </dataValidation>
  </dataValidations>
  <printOptions horizontalCentered="1"/>
  <pageMargins left="0.70866141732283472" right="0.70866141732283472" top="0.6692913385826772" bottom="0" header="0.31496062992125984" footer="0.31496062992125984"/>
  <pageSetup scale="65" orientation="portrait" r:id="rId1"/>
  <headerFooter>
    <oddHeader xml:space="preserve">&amp;C&amp;"-,Negrita"
           CERTIFICADO DE CALIBRACIÓN DE PESAS </oddHeader>
    <oddFooter>&amp;R
RT03-F16 Vr.13 (2021-05-21)
&amp;P de &amp;N</oddFooter>
  </headerFooter>
  <rowBreaks count="2" manualBreakCount="2">
    <brk id="37" max="12" man="1"/>
    <brk id="65" max="12" man="1"/>
  </rowBreaks>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2700-000001000000}">
          <x14:formula1>
            <xm:f>'DATOS %'!$B$175:$B$187</xm:f>
          </x14:formula1>
          <xm:sqref>K32</xm:sqref>
        </x14:dataValidation>
        <x14:dataValidation type="list" allowBlank="1" showInputMessage="1" showErrorMessage="1" xr:uid="{00000000-0002-0000-2700-000002000000}">
          <x14:formula1>
            <xm:f>'DATOS %'!$V$161:$V$165</xm:f>
          </x14:formula1>
          <xm:sqref>L86</xm:sqref>
        </x14:dataValidation>
      </x14:dataValidations>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FFC000"/>
  </sheetPr>
  <dimension ref="A1:U114"/>
  <sheetViews>
    <sheetView showGridLines="0" view="pageBreakPreview" zoomScale="80" zoomScaleNormal="60" zoomScaleSheetLayoutView="80" workbookViewId="0">
      <selection activeCell="C65" sqref="C65"/>
    </sheetView>
  </sheetViews>
  <sheetFormatPr baseColWidth="10" defaultColWidth="11.42578125" defaultRowHeight="31.5" customHeight="1" x14ac:dyDescent="0.2"/>
  <cols>
    <col min="1" max="1" width="14.7109375" style="37" customWidth="1"/>
    <col min="2" max="2" width="12" style="37" customWidth="1"/>
    <col min="3" max="3" width="15.7109375" style="37" customWidth="1"/>
    <col min="4" max="4" width="17" style="37" customWidth="1"/>
    <col min="5" max="5" width="15.5703125" style="37" customWidth="1"/>
    <col min="6" max="6" width="18.5703125" style="37" customWidth="1"/>
    <col min="7" max="7" width="15.7109375" style="37" customWidth="1"/>
    <col min="8" max="8" width="24.42578125" style="37" bestFit="1" customWidth="1"/>
    <col min="9" max="9" width="13.85546875" style="37" bestFit="1" customWidth="1"/>
    <col min="10" max="10" width="13.7109375" style="37" customWidth="1"/>
    <col min="11" max="19" width="11.42578125" style="8"/>
    <col min="20" max="20" width="15.85546875" style="8" bestFit="1" customWidth="1"/>
    <col min="21" max="21" width="14.42578125" style="8" bestFit="1" customWidth="1"/>
    <col min="22" max="16384" width="11.42578125" style="8"/>
  </cols>
  <sheetData>
    <row r="1" spans="1:16" ht="60" customHeight="1" thickBot="1" x14ac:dyDescent="0.25">
      <c r="A1" s="1257"/>
      <c r="B1" s="1258"/>
      <c r="C1" s="1259" t="s">
        <v>57</v>
      </c>
      <c r="D1" s="1260"/>
      <c r="E1" s="1260"/>
      <c r="F1" s="1260"/>
      <c r="G1" s="1260"/>
      <c r="H1" s="1260"/>
      <c r="I1" s="1260"/>
      <c r="J1" s="1260"/>
      <c r="K1" s="1260"/>
      <c r="L1" s="1260"/>
      <c r="M1" s="1261"/>
      <c r="N1" s="7"/>
      <c r="O1" s="7"/>
      <c r="P1" s="7"/>
    </row>
    <row r="2" spans="1:16" s="11" customFormat="1" ht="9.75" customHeight="1" thickBot="1" x14ac:dyDescent="0.25">
      <c r="A2" s="9"/>
      <c r="B2" s="9"/>
      <c r="C2" s="10"/>
      <c r="D2" s="10"/>
      <c r="E2" s="10"/>
      <c r="F2" s="10"/>
      <c r="G2" s="10"/>
      <c r="H2" s="10"/>
      <c r="K2" s="12"/>
      <c r="M2" s="7"/>
    </row>
    <row r="3" spans="1:16" s="12" customFormat="1" ht="35.25" customHeight="1" thickBot="1" x14ac:dyDescent="0.25">
      <c r="A3" s="13" t="s">
        <v>17</v>
      </c>
      <c r="B3" s="14" t="s">
        <v>55</v>
      </c>
      <c r="C3" s="15" t="s">
        <v>209</v>
      </c>
      <c r="D3" s="15" t="s">
        <v>56</v>
      </c>
      <c r="E3" s="15" t="s">
        <v>8</v>
      </c>
      <c r="F3" s="16" t="s">
        <v>18</v>
      </c>
      <c r="G3" s="16" t="s">
        <v>297</v>
      </c>
      <c r="H3" s="17" t="s">
        <v>24</v>
      </c>
      <c r="I3" s="1262"/>
      <c r="J3" s="1263"/>
      <c r="K3" s="11"/>
      <c r="M3" s="7"/>
    </row>
    <row r="4" spans="1:16" s="11" customFormat="1" ht="32.25" customHeight="1" thickBot="1" x14ac:dyDescent="0.25">
      <c r="A4" s="18" t="e">
        <f>VLOOKUP($I$3,'DATOS %'!B7:J40,2,FALSE)</f>
        <v>#N/A</v>
      </c>
      <c r="B4" s="212" t="e">
        <f>VLOOKUP($I$3,'DATOS %'!$B$7:$J$40,3,FALSE)</f>
        <v>#N/A</v>
      </c>
      <c r="C4" s="19" t="e">
        <f>VLOOKUP($I$3,'DATOS %'!$B$7:$J$40,8,FALSE)</f>
        <v>#N/A</v>
      </c>
      <c r="D4" s="19" t="e">
        <f>VLOOKUP($I$3,'DATOS %'!$B$7:$J$40,6,FALSE)</f>
        <v>#N/A</v>
      </c>
      <c r="E4" s="212" t="e">
        <f>VLOOKUP($I$3,'DATOS %'!$B$7:$J$40,7,FALSE)</f>
        <v>#N/A</v>
      </c>
      <c r="F4" s="18" t="e">
        <f>VLOOKUP($I$3,'DATOS %'!$B$7:$J$40,4,FALSE)</f>
        <v>#N/A</v>
      </c>
      <c r="G4" s="18" t="e">
        <f>VLOOKUP($I$3,'DATOS %'!$B$7:$J$40,5,FALSE)</f>
        <v>#N/A</v>
      </c>
      <c r="H4" s="19" t="e">
        <f>VLOOKUP($I$3,'DATOS %'!$B$7:$J$40,9,FALSE)</f>
        <v>#N/A</v>
      </c>
      <c r="I4" s="1264"/>
      <c r="J4" s="1265"/>
      <c r="K4" s="8"/>
      <c r="L4" s="20"/>
      <c r="M4" s="20"/>
    </row>
    <row r="5" spans="1:16" s="22" customFormat="1" ht="6.75" customHeight="1" thickBot="1" x14ac:dyDescent="0.25">
      <c r="A5" s="21"/>
      <c r="B5" s="21"/>
      <c r="C5" s="21"/>
      <c r="F5" s="21"/>
      <c r="G5" s="21"/>
      <c r="H5" s="21"/>
      <c r="K5" s="8"/>
    </row>
    <row r="6" spans="1:16" ht="31.5" customHeight="1" thickBot="1" x14ac:dyDescent="0.25">
      <c r="A6" s="1266" t="s">
        <v>19</v>
      </c>
      <c r="B6" s="1267"/>
      <c r="C6" s="1267"/>
      <c r="D6" s="1268"/>
      <c r="E6" s="4"/>
      <c r="F6" s="1266" t="s">
        <v>20</v>
      </c>
      <c r="G6" s="1267"/>
      <c r="H6" s="1267"/>
      <c r="I6" s="1268"/>
      <c r="J6" s="406">
        <f>I3</f>
        <v>0</v>
      </c>
    </row>
    <row r="7" spans="1:16" ht="31.5" customHeight="1" x14ac:dyDescent="0.2">
      <c r="A7" s="23" t="s">
        <v>21</v>
      </c>
      <c r="B7" s="24" t="e">
        <f>VLOOKUP($E$6,'DATOS %'!N11:AA113,2,FALSE)</f>
        <v>#N/A</v>
      </c>
      <c r="C7" s="25" t="s">
        <v>10</v>
      </c>
      <c r="D7" s="26" t="e">
        <f>VLOOKUP($E$6,'DATOS %'!N11:AA113,3,FALSE)</f>
        <v>#N/A</v>
      </c>
      <c r="E7" s="27"/>
      <c r="F7" s="23" t="s">
        <v>21</v>
      </c>
      <c r="G7" s="24" t="e">
        <f>VLOOKUP($J$6,'DATOS %'!B47:I79,2,FALSE)</f>
        <v>#N/A</v>
      </c>
      <c r="H7" s="28" t="s">
        <v>10</v>
      </c>
      <c r="I7" s="26" t="e">
        <f>VLOOKUP($J$6,'DATOS %'!B47:I79,3,FALSE)</f>
        <v>#N/A</v>
      </c>
      <c r="J7" s="29"/>
    </row>
    <row r="8" spans="1:16" ht="31.5" customHeight="1" x14ac:dyDescent="0.2">
      <c r="A8" s="30" t="s">
        <v>22</v>
      </c>
      <c r="B8" s="31" t="e">
        <f>VLOOKUP($E$6,'DATOS %'!N11:AA113,4,FALSE)</f>
        <v>#N/A</v>
      </c>
      <c r="C8" s="32" t="s">
        <v>23</v>
      </c>
      <c r="D8" s="33" t="e">
        <f>VLOOKUP($E$6,'DATOS %'!N11:AA113,5,FALSE)</f>
        <v>#N/A</v>
      </c>
      <c r="E8" s="27"/>
      <c r="F8" s="30" t="s">
        <v>22</v>
      </c>
      <c r="G8" s="31" t="e">
        <f>VLOOKUP($J$6,'DATOS %'!B47:I79,4,FALSE)</f>
        <v>#N/A</v>
      </c>
      <c r="H8" s="32" t="s">
        <v>23</v>
      </c>
      <c r="I8" s="297" t="e">
        <f>VLOOKUP($J$6,'DATOS %'!B47:I79,5,FALSE)</f>
        <v>#N/A</v>
      </c>
      <c r="J8" s="29"/>
    </row>
    <row r="9" spans="1:16" ht="31.5" customHeight="1" x14ac:dyDescent="0.2">
      <c r="A9" s="34" t="s">
        <v>24</v>
      </c>
      <c r="B9" s="31" t="e">
        <f>VLOOKUP($E$6,'DATOS %'!N11:AA113,6,FALSE)</f>
        <v>#N/A</v>
      </c>
      <c r="C9" s="35" t="s">
        <v>15</v>
      </c>
      <c r="D9" s="36" t="e">
        <f>VLOOKUP($E$6,'DATOS %'!N11:AA113,7,FALSE)</f>
        <v>#N/A</v>
      </c>
      <c r="F9" s="1252" t="s">
        <v>62</v>
      </c>
      <c r="G9" s="1253"/>
      <c r="H9" s="31" t="e">
        <f>VLOOKUP($J$6,'DATOS %'!B47:I79,6,FALSE)</f>
        <v>#N/A</v>
      </c>
      <c r="I9" s="33" t="s">
        <v>1</v>
      </c>
      <c r="J9" s="29"/>
      <c r="K9" s="208"/>
    </row>
    <row r="10" spans="1:16" s="38" customFormat="1" ht="31.5" customHeight="1" x14ac:dyDescent="0.25">
      <c r="A10" s="1252" t="s">
        <v>63</v>
      </c>
      <c r="B10" s="1253"/>
      <c r="C10" s="223" t="e">
        <f>VLOOKUP($E$6,'DATOS %'!N11:AA113,8,FALSE)</f>
        <v>#N/A</v>
      </c>
      <c r="D10" s="33" t="s">
        <v>1</v>
      </c>
      <c r="F10" s="1252" t="s">
        <v>64</v>
      </c>
      <c r="G10" s="1253"/>
      <c r="H10" s="213" t="e">
        <f>VLOOKUP($J$6,'DATOS %'!B47:I79,7,FALSE)</f>
        <v>#N/A</v>
      </c>
      <c r="I10" s="33" t="s">
        <v>76</v>
      </c>
      <c r="J10" s="39"/>
    </row>
    <row r="11" spans="1:16" s="38" customFormat="1" ht="31.5" customHeight="1" thickBot="1" x14ac:dyDescent="0.3">
      <c r="A11" s="1252" t="s">
        <v>65</v>
      </c>
      <c r="B11" s="1253"/>
      <c r="C11" s="31" t="e">
        <f>VLOOKUP($E$6,'DATOS %'!N11:AA113,9,FALSE)</f>
        <v>#N/A</v>
      </c>
      <c r="D11" s="33" t="s">
        <v>3</v>
      </c>
      <c r="E11" s="40"/>
      <c r="F11" s="1271" t="s">
        <v>66</v>
      </c>
      <c r="G11" s="1272"/>
      <c r="H11" s="41" t="e">
        <f>VLOOKUP($J$6,'DATOS %'!B47:I79,8,FALSE)</f>
        <v>#N/A</v>
      </c>
      <c r="I11" s="45" t="s">
        <v>76</v>
      </c>
      <c r="J11" s="39"/>
    </row>
    <row r="12" spans="1:16" s="38" customFormat="1" ht="31.5" customHeight="1" thickBot="1" x14ac:dyDescent="0.3">
      <c r="A12" s="1252" t="s">
        <v>67</v>
      </c>
      <c r="B12" s="1253"/>
      <c r="C12" s="31" t="e">
        <f>VLOOKUP($E$6,'DATOS %'!N11:AA113,10,FALSE)</f>
        <v>#N/A</v>
      </c>
      <c r="D12" s="33" t="s">
        <v>3</v>
      </c>
      <c r="E12" s="39"/>
      <c r="F12" s="39"/>
      <c r="G12" s="39"/>
      <c r="H12" s="39"/>
    </row>
    <row r="13" spans="1:16" s="38" customFormat="1" ht="31.5" customHeight="1" thickBot="1" x14ac:dyDescent="0.3">
      <c r="A13" s="1252" t="s">
        <v>68</v>
      </c>
      <c r="B13" s="1253"/>
      <c r="C13" s="213" t="e">
        <f>VLOOKUP($E$6,'DATOS %'!N11:AA113,11,FALSE)</f>
        <v>#N/A</v>
      </c>
      <c r="D13" s="33" t="s">
        <v>76</v>
      </c>
      <c r="E13" s="39"/>
      <c r="F13" s="1254" t="s">
        <v>559</v>
      </c>
      <c r="G13" s="1255"/>
      <c r="H13" s="1255"/>
      <c r="I13" s="1256"/>
      <c r="J13" s="5"/>
    </row>
    <row r="14" spans="1:16" s="38" customFormat="1" ht="31.5" customHeight="1" x14ac:dyDescent="0.2">
      <c r="A14" s="1252" t="s">
        <v>305</v>
      </c>
      <c r="B14" s="1253"/>
      <c r="C14" s="31" t="e">
        <f>VLOOKUP($E$6,'DATOS %'!N11:AA113,12,FALSE)</f>
        <v>#N/A</v>
      </c>
      <c r="D14" s="33" t="s">
        <v>76</v>
      </c>
      <c r="E14" s="39"/>
      <c r="F14" s="23" t="s">
        <v>10</v>
      </c>
      <c r="G14" s="24" t="e">
        <f>VLOOKUP($J$13,'DATOS %'!$V$119:$Y$126,2,FALSE)</f>
        <v>#N/A</v>
      </c>
      <c r="H14" s="28" t="s">
        <v>22</v>
      </c>
      <c r="I14" s="24" t="e">
        <f>VLOOKUP($J$13,'DATOS %'!$V$119:$Z$126,3,FALSE)</f>
        <v>#N/A</v>
      </c>
      <c r="J14" s="42"/>
      <c r="K14" s="8"/>
    </row>
    <row r="15" spans="1:16" ht="31.5" customHeight="1" thickBot="1" x14ac:dyDescent="0.25">
      <c r="A15" s="1277" t="s">
        <v>69</v>
      </c>
      <c r="B15" s="1278"/>
      <c r="C15" s="31" t="e">
        <f>VLOOKUP($E$6,'DATOS %'!N11:AA113,13,FALSE)</f>
        <v>#N/A</v>
      </c>
      <c r="D15" s="33" t="s">
        <v>76</v>
      </c>
      <c r="E15" s="29"/>
      <c r="F15" s="43" t="s">
        <v>61</v>
      </c>
      <c r="G15" s="41" t="e">
        <f>VLOOKUP($J$13,'DATOS %'!$V$119:$Y$126,4,FALSE)</f>
        <v>#N/A</v>
      </c>
      <c r="H15" s="41" t="s">
        <v>1</v>
      </c>
      <c r="I15" s="243" t="s">
        <v>210</v>
      </c>
      <c r="J15" s="45" t="e">
        <f>VLOOKUP($J$13,'DATOS %'!$V$119:$Z$126,5,FALSE)</f>
        <v>#N/A</v>
      </c>
      <c r="K15" s="22"/>
    </row>
    <row r="16" spans="1:16" ht="30.95" customHeight="1" thickBot="1" x14ac:dyDescent="0.25">
      <c r="A16" s="1279" t="s">
        <v>210</v>
      </c>
      <c r="B16" s="1280"/>
      <c r="C16" s="1281" t="e">
        <f>VLOOKUP($E$6,'DATOS %'!N11:AA113,14,FALSE)</f>
        <v>#N/A</v>
      </c>
      <c r="D16" s="1282"/>
      <c r="E16" s="29"/>
      <c r="F16" s="8"/>
      <c r="G16" s="8"/>
      <c r="H16" s="8"/>
      <c r="I16" s="8"/>
      <c r="J16" s="8"/>
    </row>
    <row r="17" spans="1:11" s="22" customFormat="1" ht="30.95" customHeight="1" thickBot="1" x14ac:dyDescent="0.25">
      <c r="A17" s="29"/>
      <c r="B17" s="29"/>
      <c r="C17" s="29"/>
      <c r="D17" s="29"/>
      <c r="E17" s="29"/>
      <c r="F17" s="29"/>
      <c r="G17" s="29"/>
      <c r="H17" s="29"/>
      <c r="I17" s="29"/>
      <c r="J17" s="29"/>
      <c r="K17" s="8"/>
    </row>
    <row r="18" spans="1:11" ht="31.5" customHeight="1" thickBot="1" x14ac:dyDescent="0.25">
      <c r="A18" s="1331" t="s">
        <v>26</v>
      </c>
      <c r="B18" s="1332"/>
      <c r="C18" s="1332"/>
      <c r="D18" s="1332"/>
      <c r="E18" s="1332"/>
      <c r="F18" s="1332"/>
      <c r="G18" s="1332"/>
      <c r="H18" s="1332"/>
      <c r="I18" s="1332"/>
      <c r="J18" s="1333"/>
    </row>
    <row r="19" spans="1:11" ht="46.5" customHeight="1" thickBot="1" x14ac:dyDescent="0.25">
      <c r="A19" s="407" t="s">
        <v>10</v>
      </c>
      <c r="B19" s="101" t="e">
        <f>VLOOKUP(J19,'DATOS %'!J174:W180,2,FALSE)</f>
        <v>#N/A</v>
      </c>
      <c r="C19" s="95" t="s">
        <v>7</v>
      </c>
      <c r="D19" s="408" t="e">
        <f>VLOOKUP(J19,'DATOS %'!J174:W180,3,FALSE)</f>
        <v>#N/A</v>
      </c>
      <c r="E19" s="409" t="s">
        <v>24</v>
      </c>
      <c r="F19" s="1286" t="e">
        <f>VLOOKUP(J19,'DATOS %'!J174:W180,5,FALSE)</f>
        <v>#N/A</v>
      </c>
      <c r="G19" s="1287"/>
      <c r="H19" s="95" t="s">
        <v>25</v>
      </c>
      <c r="I19" s="212" t="e">
        <f>VLOOKUP(J19,'DATOS %'!J174:W180,4,FALSE)</f>
        <v>#N/A</v>
      </c>
      <c r="J19" s="1374"/>
    </row>
    <row r="20" spans="1:11" ht="31.5" customHeight="1" thickBot="1" x14ac:dyDescent="0.25">
      <c r="A20" s="1290" t="s">
        <v>316</v>
      </c>
      <c r="B20" s="1291"/>
      <c r="C20" s="94" t="s">
        <v>27</v>
      </c>
      <c r="D20" s="101" t="e">
        <f>VLOOKUP(J19,'DATOS %'!J174:W180,6,FALSE)</f>
        <v>#N/A</v>
      </c>
      <c r="E20" s="1292" t="s">
        <v>307</v>
      </c>
      <c r="F20" s="1293"/>
      <c r="G20" s="101" t="e">
        <f>VLOOKUP(J19,'DATOS %'!J174:W180,7,FALSE)</f>
        <v>#N/A</v>
      </c>
      <c r="H20" s="95" t="s">
        <v>9</v>
      </c>
      <c r="I20" s="214" t="e">
        <f>VLOOKUP(J19,'DATOS %'!J174:W180,8,FALSE)</f>
        <v>#N/A</v>
      </c>
      <c r="J20" s="1289"/>
    </row>
    <row r="21" spans="1:11" s="46" customFormat="1" ht="15" customHeight="1" thickBot="1" x14ac:dyDescent="0.25">
      <c r="A21" s="47"/>
      <c r="B21" s="47"/>
      <c r="C21" s="47"/>
      <c r="D21" s="47"/>
      <c r="E21" s="47"/>
      <c r="F21" s="47"/>
      <c r="G21" s="47"/>
      <c r="H21" s="47"/>
      <c r="I21" s="47"/>
      <c r="J21" s="47"/>
      <c r="K21" s="8"/>
    </row>
    <row r="22" spans="1:11" s="48" customFormat="1" ht="31.5" customHeight="1" thickBot="1" x14ac:dyDescent="0.25">
      <c r="A22" s="1294" t="s">
        <v>28</v>
      </c>
      <c r="B22" s="1295"/>
      <c r="C22" s="1295"/>
      <c r="D22" s="1295"/>
      <c r="E22" s="1295"/>
      <c r="F22" s="1295"/>
      <c r="G22" s="1295"/>
      <c r="H22" s="1295"/>
      <c r="I22" s="1295"/>
      <c r="J22" s="1296"/>
      <c r="K22" s="47"/>
    </row>
    <row r="23" spans="1:11" s="47" customFormat="1" ht="2.25" customHeight="1" thickBot="1" x14ac:dyDescent="0.25">
      <c r="A23" s="49"/>
      <c r="B23" s="50"/>
      <c r="C23" s="50"/>
      <c r="D23" s="50"/>
      <c r="E23" s="50"/>
      <c r="F23" s="50"/>
      <c r="G23" s="50"/>
      <c r="H23" s="50"/>
      <c r="I23" s="50"/>
      <c r="J23" s="51"/>
      <c r="K23" s="48"/>
    </row>
    <row r="24" spans="1:11" s="48" customFormat="1" ht="31.5" customHeight="1" thickBot="1" x14ac:dyDescent="0.25">
      <c r="A24" s="52" t="s">
        <v>29</v>
      </c>
      <c r="B24" s="916"/>
      <c r="C24" s="1297" t="s">
        <v>27</v>
      </c>
      <c r="D24" s="1298"/>
      <c r="E24" s="1"/>
      <c r="F24" s="1299" t="s">
        <v>307</v>
      </c>
      <c r="G24" s="1300"/>
      <c r="H24" s="2"/>
      <c r="I24" s="224" t="s">
        <v>9</v>
      </c>
      <c r="J24" s="215"/>
      <c r="K24" s="46"/>
    </row>
    <row r="25" spans="1:11" s="46" customFormat="1" ht="15" customHeight="1" thickBot="1" x14ac:dyDescent="0.25">
      <c r="A25" s="47"/>
      <c r="B25" s="47"/>
      <c r="C25" s="47"/>
      <c r="D25" s="47"/>
      <c r="E25" s="47"/>
      <c r="F25" s="47"/>
      <c r="G25" s="47"/>
      <c r="H25" s="6"/>
      <c r="I25" s="47"/>
      <c r="K25" s="48"/>
    </row>
    <row r="26" spans="1:11" s="48" customFormat="1" ht="29.25" customHeight="1" thickBot="1" x14ac:dyDescent="0.25">
      <c r="A26" s="115" t="s">
        <v>129</v>
      </c>
      <c r="B26" s="105">
        <v>4</v>
      </c>
      <c r="C26" s="1301" t="s">
        <v>30</v>
      </c>
      <c r="D26" s="1302"/>
      <c r="E26" s="1302"/>
      <c r="F26" s="1303"/>
      <c r="G26" s="1304" t="s">
        <v>211</v>
      </c>
      <c r="H26" s="1305"/>
    </row>
    <row r="27" spans="1:11" s="48" customFormat="1" ht="31.5" customHeight="1" thickBot="1" x14ac:dyDescent="0.25">
      <c r="A27" s="1273" t="s">
        <v>31</v>
      </c>
      <c r="B27" s="1274"/>
      <c r="C27" s="242">
        <v>1</v>
      </c>
      <c r="D27" s="242">
        <v>2</v>
      </c>
      <c r="E27" s="242">
        <v>3</v>
      </c>
      <c r="F27" s="129">
        <v>4</v>
      </c>
      <c r="G27" s="1275" t="e">
        <f>VLOOKUP($H$25,'DATOS %'!$V$161:$AA$165,2,FALSE)</f>
        <v>#N/A</v>
      </c>
      <c r="H27" s="1276"/>
    </row>
    <row r="28" spans="1:11" s="48" customFormat="1" ht="31.5" customHeight="1" x14ac:dyDescent="0.2">
      <c r="A28" s="1310" t="s">
        <v>32</v>
      </c>
      <c r="B28" s="141" t="s">
        <v>0</v>
      </c>
      <c r="C28" s="265"/>
      <c r="D28" s="265"/>
      <c r="E28" s="265"/>
      <c r="F28" s="266"/>
      <c r="G28" s="47"/>
      <c r="H28" s="47"/>
      <c r="I28" s="47"/>
      <c r="J28" s="47"/>
    </row>
    <row r="29" spans="1:11" s="48" customFormat="1" ht="31.5" customHeight="1" x14ac:dyDescent="0.2">
      <c r="A29" s="1311"/>
      <c r="B29" s="104" t="s">
        <v>2</v>
      </c>
      <c r="C29" s="267"/>
      <c r="D29" s="267"/>
      <c r="E29" s="267"/>
      <c r="F29" s="268"/>
      <c r="G29" s="47"/>
      <c r="H29" s="47"/>
      <c r="I29" s="47"/>
      <c r="J29" s="47"/>
    </row>
    <row r="30" spans="1:11" s="48" customFormat="1" ht="31.5" customHeight="1" x14ac:dyDescent="0.2">
      <c r="A30" s="1311"/>
      <c r="B30" s="104" t="s">
        <v>2</v>
      </c>
      <c r="C30" s="267"/>
      <c r="D30" s="267"/>
      <c r="E30" s="267"/>
      <c r="F30" s="268"/>
      <c r="G30" s="47"/>
      <c r="H30" s="47"/>
      <c r="I30" s="47"/>
      <c r="J30" s="47"/>
    </row>
    <row r="31" spans="1:11" s="48" customFormat="1" ht="31.5" customHeight="1" thickBot="1" x14ac:dyDescent="0.25">
      <c r="A31" s="1312"/>
      <c r="B31" s="53" t="s">
        <v>0</v>
      </c>
      <c r="C31" s="269"/>
      <c r="D31" s="269"/>
      <c r="E31" s="269"/>
      <c r="F31" s="270"/>
      <c r="G31" s="47"/>
      <c r="H31" s="47"/>
      <c r="I31" s="47"/>
      <c r="J31" s="47"/>
      <c r="K31" s="46"/>
    </row>
    <row r="32" spans="1:11" s="46" customFormat="1" ht="15" customHeight="1" thickBot="1" x14ac:dyDescent="0.25">
      <c r="A32" s="47"/>
      <c r="B32" s="47"/>
      <c r="C32" s="47"/>
      <c r="D32" s="47"/>
      <c r="E32" s="47"/>
      <c r="F32" s="47"/>
      <c r="G32" s="47"/>
      <c r="H32" s="47"/>
      <c r="I32" s="47"/>
      <c r="J32" s="47"/>
      <c r="K32" s="48"/>
    </row>
    <row r="33" spans="1:11" s="48" customFormat="1" ht="31.5" customHeight="1" thickBot="1" x14ac:dyDescent="0.25">
      <c r="A33" s="54" t="s">
        <v>33</v>
      </c>
      <c r="B33" s="916"/>
      <c r="C33" s="1297" t="s">
        <v>27</v>
      </c>
      <c r="D33" s="1298"/>
      <c r="E33" s="1"/>
      <c r="F33" s="1299" t="s">
        <v>307</v>
      </c>
      <c r="G33" s="1300"/>
      <c r="H33" s="2"/>
      <c r="I33" s="225" t="s">
        <v>9</v>
      </c>
      <c r="J33" s="3"/>
      <c r="K33" s="46"/>
    </row>
    <row r="34" spans="1:11" s="46" customFormat="1" ht="12" customHeight="1" x14ac:dyDescent="0.2">
      <c r="A34" s="55"/>
      <c r="B34" s="55"/>
      <c r="C34" s="55"/>
      <c r="D34" s="55"/>
      <c r="E34" s="55"/>
      <c r="F34" s="55"/>
      <c r="G34" s="55"/>
      <c r="H34" s="55"/>
      <c r="I34" s="55"/>
      <c r="J34" s="55"/>
      <c r="K34" s="48"/>
    </row>
    <row r="35" spans="1:11" s="48" customFormat="1" ht="15" customHeight="1" thickBot="1" x14ac:dyDescent="0.25">
      <c r="A35" s="56"/>
      <c r="B35" s="56"/>
      <c r="C35" s="56"/>
      <c r="D35" s="56"/>
      <c r="E35" s="56"/>
      <c r="F35" s="56"/>
      <c r="G35" s="56"/>
      <c r="H35" s="56"/>
      <c r="I35" s="56"/>
      <c r="J35" s="56"/>
    </row>
    <row r="36" spans="1:11" s="48" customFormat="1" ht="32.25" customHeight="1" thickBot="1" x14ac:dyDescent="0.25">
      <c r="A36" s="1294" t="s">
        <v>34</v>
      </c>
      <c r="B36" s="1295"/>
      <c r="C36" s="1295"/>
      <c r="D36" s="1295"/>
      <c r="E36" s="1295"/>
      <c r="F36" s="1295"/>
      <c r="G36" s="1295"/>
      <c r="H36" s="1295"/>
      <c r="I36" s="1295"/>
      <c r="J36" s="1296"/>
    </row>
    <row r="37" spans="1:11" s="48" customFormat="1" ht="3.75" customHeight="1" thickBot="1" x14ac:dyDescent="0.25">
      <c r="A37" s="55"/>
      <c r="B37" s="47"/>
      <c r="C37" s="47"/>
      <c r="D37" s="47"/>
      <c r="E37" s="47"/>
      <c r="F37" s="47"/>
      <c r="G37" s="47"/>
      <c r="H37" s="47"/>
      <c r="I37" s="47"/>
      <c r="J37" s="55"/>
    </row>
    <row r="38" spans="1:11" s="48" customFormat="1" ht="31.5" customHeight="1" thickBot="1" x14ac:dyDescent="0.25">
      <c r="A38" s="47"/>
      <c r="B38" s="1316" t="s">
        <v>35</v>
      </c>
      <c r="C38" s="1317"/>
      <c r="D38" s="1317"/>
      <c r="E38" s="1317"/>
      <c r="F38" s="1318"/>
      <c r="G38" s="47"/>
      <c r="H38" s="1319" t="s">
        <v>236</v>
      </c>
      <c r="I38" s="1320"/>
      <c r="J38" s="1321"/>
    </row>
    <row r="39" spans="1:11" s="48" customFormat="1" ht="31.5" customHeight="1" thickBot="1" x14ac:dyDescent="0.25">
      <c r="A39" s="47"/>
      <c r="B39" s="57" t="s">
        <v>31</v>
      </c>
      <c r="C39" s="203">
        <v>1</v>
      </c>
      <c r="D39" s="141">
        <v>2</v>
      </c>
      <c r="E39" s="141">
        <v>3</v>
      </c>
      <c r="F39" s="204">
        <v>4</v>
      </c>
      <c r="G39" s="47"/>
      <c r="H39" s="1322"/>
      <c r="I39" s="1323"/>
      <c r="J39" s="1324"/>
    </row>
    <row r="40" spans="1:11" s="48" customFormat="1" ht="31.5" customHeight="1" x14ac:dyDescent="0.2">
      <c r="A40" s="58"/>
      <c r="B40" s="59"/>
      <c r="C40" s="271" t="e">
        <f>+AVERAGE(C28,C31)</f>
        <v>#DIV/0!</v>
      </c>
      <c r="D40" s="272" t="e">
        <f>+AVERAGE(D28,D31)</f>
        <v>#DIV/0!</v>
      </c>
      <c r="E40" s="272" t="e">
        <f>+AVERAGE(E28,E31)</f>
        <v>#DIV/0!</v>
      </c>
      <c r="F40" s="273" t="e">
        <f>+AVERAGE(F28,F31)</f>
        <v>#DIV/0!</v>
      </c>
      <c r="G40" s="47"/>
      <c r="H40" s="1325"/>
      <c r="I40" s="1326"/>
      <c r="J40" s="1327"/>
    </row>
    <row r="41" spans="1:11" s="48" customFormat="1" ht="31.5" customHeight="1" x14ac:dyDescent="0.2">
      <c r="A41" s="58"/>
      <c r="B41" s="60"/>
      <c r="C41" s="274" t="e">
        <f>+AVERAGE(C29:C30)</f>
        <v>#DIV/0!</v>
      </c>
      <c r="D41" s="275" t="e">
        <f>+AVERAGE(D29:D30)</f>
        <v>#DIV/0!</v>
      </c>
      <c r="E41" s="275" t="e">
        <f>+AVERAGE(E29:E30)</f>
        <v>#DIV/0!</v>
      </c>
      <c r="F41" s="276" t="e">
        <f>+AVERAGE(F29:F30)</f>
        <v>#DIV/0!</v>
      </c>
      <c r="G41" s="47"/>
      <c r="H41" s="1325"/>
      <c r="I41" s="1326"/>
      <c r="J41" s="1327"/>
    </row>
    <row r="42" spans="1:11" s="48" customFormat="1" ht="31.5" customHeight="1" thickBot="1" x14ac:dyDescent="0.25">
      <c r="A42" s="58"/>
      <c r="B42" s="62"/>
      <c r="C42" s="277" t="e">
        <f>+C41-C40</f>
        <v>#DIV/0!</v>
      </c>
      <c r="D42" s="278" t="e">
        <f>+D41-D40</f>
        <v>#DIV/0!</v>
      </c>
      <c r="E42" s="278" t="e">
        <f>+E41-E40</f>
        <v>#DIV/0!</v>
      </c>
      <c r="F42" s="279" t="e">
        <f>+F41-F40</f>
        <v>#DIV/0!</v>
      </c>
      <c r="G42" s="47"/>
      <c r="H42" s="1328"/>
      <c r="I42" s="1329"/>
      <c r="J42" s="1330"/>
    </row>
    <row r="43" spans="1:11" s="48" customFormat="1" ht="31.5" customHeight="1" thickBot="1" x14ac:dyDescent="0.25">
      <c r="A43" s="47"/>
      <c r="B43" s="63" t="s">
        <v>36</v>
      </c>
      <c r="C43" s="258" t="e">
        <f>+AVERAGE(C42:F42)</f>
        <v>#DIV/0!</v>
      </c>
      <c r="D43" s="280"/>
      <c r="E43" s="280"/>
      <c r="F43" s="280"/>
      <c r="G43" s="47"/>
      <c r="H43" s="47"/>
      <c r="I43" s="47"/>
      <c r="J43" s="47"/>
    </row>
    <row r="44" spans="1:11" s="48" customFormat="1" ht="31.5" customHeight="1" thickBot="1" x14ac:dyDescent="0.25">
      <c r="A44" s="47"/>
      <c r="B44" s="64" t="s">
        <v>77</v>
      </c>
      <c r="C44" s="259" t="e">
        <f>+STDEV(C42:F42)</f>
        <v>#DIV/0!</v>
      </c>
      <c r="D44" s="280"/>
      <c r="E44" s="280"/>
      <c r="F44" s="280"/>
      <c r="G44" s="47"/>
      <c r="H44" s="47"/>
      <c r="I44" s="47"/>
      <c r="J44" s="47"/>
      <c r="K44" s="46"/>
    </row>
    <row r="45" spans="1:11" s="46" customFormat="1" ht="15" customHeight="1" thickBot="1" x14ac:dyDescent="0.25">
      <c r="A45" s="47"/>
      <c r="B45" s="47"/>
      <c r="C45" s="47"/>
      <c r="D45" s="47"/>
      <c r="E45" s="47"/>
      <c r="F45" s="47"/>
      <c r="G45" s="65"/>
      <c r="H45" s="47"/>
      <c r="I45" s="47"/>
      <c r="J45" s="47"/>
      <c r="K45" s="48"/>
    </row>
    <row r="46" spans="1:11" s="48" customFormat="1" ht="31.5" customHeight="1" thickBot="1" x14ac:dyDescent="0.25">
      <c r="A46" s="1331" t="s">
        <v>37</v>
      </c>
      <c r="B46" s="1332"/>
      <c r="C46" s="1284"/>
      <c r="D46" s="1284"/>
      <c r="E46" s="1284"/>
      <c r="F46" s="1332"/>
      <c r="G46" s="1332"/>
      <c r="H46" s="1332"/>
      <c r="I46" s="1332"/>
      <c r="J46" s="1333"/>
    </row>
    <row r="47" spans="1:11" s="48" customFormat="1" ht="31.5" customHeight="1" thickBot="1" x14ac:dyDescent="0.25">
      <c r="A47" s="1375" t="s">
        <v>321</v>
      </c>
      <c r="B47" s="1376"/>
      <c r="C47" s="1338" t="s">
        <v>38</v>
      </c>
      <c r="D47" s="1339"/>
      <c r="E47" s="1340"/>
      <c r="F47" s="47"/>
      <c r="G47" s="47"/>
      <c r="H47" s="47"/>
      <c r="I47" s="47"/>
      <c r="J47" s="47"/>
    </row>
    <row r="48" spans="1:11" s="48" customFormat="1" ht="36.75" customHeight="1" thickBot="1" x14ac:dyDescent="0.25">
      <c r="A48" s="1377"/>
      <c r="B48" s="1378"/>
      <c r="C48" s="82" t="s">
        <v>27</v>
      </c>
      <c r="D48" s="93" t="s">
        <v>307</v>
      </c>
      <c r="E48" s="83" t="s">
        <v>9</v>
      </c>
      <c r="G48" s="1341" t="s">
        <v>70</v>
      </c>
      <c r="H48" s="1342"/>
      <c r="I48" s="102" t="e">
        <f>+(0.34848*E50-0.009*D50*EXP(0.061*C50))/(273.15+C50)</f>
        <v>#DIV/0!</v>
      </c>
      <c r="J48" s="103" t="s">
        <v>73</v>
      </c>
    </row>
    <row r="49" spans="1:21" s="48" customFormat="1" ht="33" customHeight="1" thickBot="1" x14ac:dyDescent="0.25">
      <c r="A49" s="1306" t="s">
        <v>39</v>
      </c>
      <c r="B49" s="1307"/>
      <c r="C49" s="90" t="e">
        <f>+AVERAGE(E33,E24)</f>
        <v>#DIV/0!</v>
      </c>
      <c r="D49" s="91" t="e">
        <f>+AVERAGE(H33,H24)</f>
        <v>#DIV/0!</v>
      </c>
      <c r="E49" s="92" t="e">
        <f>+AVERAGE(J33,J24)</f>
        <v>#DIV/0!</v>
      </c>
      <c r="G49" s="1308" t="s">
        <v>71</v>
      </c>
      <c r="H49" s="1309"/>
      <c r="I49" s="422" t="e">
        <f>I48*((0.0001)^2+(0.001*I20/2)^2+(-0.0034*D20/2)^2+(-0.01*G20/2)^2)^0.5</f>
        <v>#DIV/0!</v>
      </c>
      <c r="J49" s="66" t="s">
        <v>73</v>
      </c>
    </row>
    <row r="50" spans="1:21" s="48" customFormat="1" ht="36.75" customHeight="1" thickBot="1" x14ac:dyDescent="0.25">
      <c r="A50" s="1343" t="s">
        <v>322</v>
      </c>
      <c r="B50" s="1344"/>
      <c r="C50" s="84" t="e">
        <f>C49+(VLOOKUP(J19,'DATOS %'!J174:W180,9,FALSE))*C49+(VLOOKUP(J19,'DATOS %'!J174:W180,10,FALSE))</f>
        <v>#DIV/0!</v>
      </c>
      <c r="D50" s="85" t="e">
        <f>D49+(VLOOKUP(J19,'DATOS %'!J174:W180,11,FALSE))*D49+(VLOOKUP(J19,'DATOS %'!J174:W180,12,FALSE))</f>
        <v>#DIV/0!</v>
      </c>
      <c r="E50" s="86" t="e">
        <f>E49+(VLOOKUP(J19,'DATOS %'!J174:W180,13,FALSE))*E49+(VLOOKUP(J19,'DATOS %'!J174:W180,14,FALSE))</f>
        <v>#DIV/0!</v>
      </c>
      <c r="G50" s="1341" t="s">
        <v>72</v>
      </c>
      <c r="H50" s="1342"/>
      <c r="I50" s="67">
        <v>1.2</v>
      </c>
      <c r="J50" s="66" t="s">
        <v>73</v>
      </c>
    </row>
    <row r="51" spans="1:21" s="46" customFormat="1" ht="15" customHeight="1" thickBot="1" x14ac:dyDescent="0.25">
      <c r="A51" s="47"/>
      <c r="B51" s="47"/>
      <c r="C51" s="47"/>
      <c r="D51" s="47"/>
      <c r="E51" s="47"/>
      <c r="F51" s="47"/>
      <c r="G51" s="47"/>
      <c r="H51" s="47"/>
      <c r="I51" s="47"/>
      <c r="J51" s="47"/>
      <c r="K51" s="48"/>
    </row>
    <row r="52" spans="1:21" s="48" customFormat="1" ht="31.5" customHeight="1" thickBot="1" x14ac:dyDescent="0.25">
      <c r="A52" s="1331" t="s">
        <v>40</v>
      </c>
      <c r="B52" s="1332"/>
      <c r="C52" s="1332"/>
      <c r="D52" s="1332"/>
      <c r="E52" s="1332"/>
      <c r="F52" s="1332"/>
      <c r="G52" s="1332"/>
      <c r="H52" s="1332"/>
      <c r="I52" s="1332"/>
      <c r="J52" s="1333"/>
    </row>
    <row r="53" spans="1:21" s="48" customFormat="1" ht="31.5" customHeight="1" x14ac:dyDescent="0.35">
      <c r="A53" s="47"/>
      <c r="B53" s="68" t="s">
        <v>41</v>
      </c>
      <c r="C53" s="69"/>
      <c r="D53" s="1345" t="s">
        <v>74</v>
      </c>
      <c r="E53" s="1345"/>
      <c r="F53" s="70" t="s">
        <v>42</v>
      </c>
      <c r="G53" s="71" t="s">
        <v>43</v>
      </c>
      <c r="H53" s="1346" t="s">
        <v>44</v>
      </c>
      <c r="I53" s="1347"/>
      <c r="J53" s="47"/>
    </row>
    <row r="54" spans="1:21" s="48" customFormat="1" ht="31.5" customHeight="1" thickBot="1" x14ac:dyDescent="0.25">
      <c r="A54" s="47"/>
      <c r="B54" s="72" t="e">
        <f>+C43</f>
        <v>#DIV/0!</v>
      </c>
      <c r="C54" s="73" t="s">
        <v>1</v>
      </c>
      <c r="D54" s="261" t="e">
        <f>+C10+C11/1000</f>
        <v>#N/A</v>
      </c>
      <c r="E54" s="73" t="s">
        <v>1</v>
      </c>
      <c r="F54" s="74" t="e">
        <f>+(I48-I50)*(1/H10-1/C13)</f>
        <v>#DIV/0!</v>
      </c>
      <c r="G54" s="75"/>
      <c r="H54" s="67" t="e">
        <f>+(B54+D54*F54)*1000</f>
        <v>#DIV/0!</v>
      </c>
      <c r="I54" s="66" t="s">
        <v>3</v>
      </c>
      <c r="J54" s="47"/>
      <c r="K54" s="46"/>
    </row>
    <row r="55" spans="1:21" s="46" customFormat="1" ht="15" customHeight="1" x14ac:dyDescent="0.2">
      <c r="A55" s="47"/>
      <c r="B55" s="47"/>
      <c r="C55" s="47"/>
      <c r="D55" s="47"/>
      <c r="E55" s="47"/>
      <c r="F55" s="47"/>
      <c r="G55" s="47"/>
      <c r="H55" s="47"/>
      <c r="I55" s="47"/>
      <c r="J55" s="47"/>
      <c r="K55" s="48"/>
    </row>
    <row r="56" spans="1:21" s="48" customFormat="1" ht="31.5" customHeight="1" x14ac:dyDescent="0.2">
      <c r="A56" s="1348" t="s">
        <v>45</v>
      </c>
      <c r="B56" s="1349"/>
      <c r="C56" s="1349"/>
      <c r="D56" s="1349"/>
      <c r="E56" s="1349"/>
      <c r="F56" s="1349"/>
      <c r="G56" s="1349"/>
      <c r="H56" s="1349"/>
      <c r="I56" s="1349"/>
      <c r="J56" s="1349"/>
      <c r="K56" s="46"/>
    </row>
    <row r="57" spans="1:21" s="46" customFormat="1" ht="15" customHeight="1" thickBot="1" x14ac:dyDescent="0.25">
      <c r="A57" s="47"/>
      <c r="B57" s="47"/>
      <c r="C57" s="47"/>
      <c r="D57" s="47"/>
      <c r="E57" s="47"/>
      <c r="K57" s="48"/>
    </row>
    <row r="58" spans="1:21" s="48" customFormat="1" ht="31.5" customHeight="1" thickBot="1" x14ac:dyDescent="0.25">
      <c r="A58" s="1350" t="s">
        <v>38</v>
      </c>
      <c r="B58" s="1351"/>
      <c r="C58" s="1352" t="s">
        <v>46</v>
      </c>
      <c r="D58" s="1353"/>
      <c r="E58" s="1354" t="s">
        <v>238</v>
      </c>
      <c r="F58" s="1379"/>
      <c r="G58" s="1061" t="s">
        <v>553</v>
      </c>
      <c r="J58" s="114"/>
      <c r="L58" s="46"/>
      <c r="Q58" s="47"/>
      <c r="R58" s="47"/>
      <c r="S58" s="47"/>
      <c r="T58" s="47"/>
      <c r="U58" s="47"/>
    </row>
    <row r="59" spans="1:21" s="48" customFormat="1" ht="57.95" customHeight="1" thickBot="1" x14ac:dyDescent="0.25">
      <c r="A59" s="1024" t="s">
        <v>47</v>
      </c>
      <c r="B59" s="1025"/>
      <c r="C59" s="1026" t="e">
        <f>+C44/B26^0.5*1000</f>
        <v>#DIV/0!</v>
      </c>
      <c r="D59" s="1017" t="s">
        <v>3</v>
      </c>
      <c r="E59" s="1027" t="s">
        <v>240</v>
      </c>
      <c r="F59" s="139">
        <f>$B$26-1</f>
        <v>3</v>
      </c>
      <c r="G59" s="1111" t="e">
        <f>(C59/$G$70)^2</f>
        <v>#DIV/0!</v>
      </c>
      <c r="H59" s="47"/>
      <c r="K59" s="156">
        <v>0.3</v>
      </c>
      <c r="L59" s="157">
        <v>1.65</v>
      </c>
      <c r="M59" s="113"/>
    </row>
    <row r="60" spans="1:21" s="48" customFormat="1" ht="57.95" customHeight="1" thickBot="1" x14ac:dyDescent="0.25">
      <c r="A60" s="1019" t="s">
        <v>343</v>
      </c>
      <c r="B60" s="1020" t="s">
        <v>48</v>
      </c>
      <c r="C60" s="1021" t="e">
        <f>+C12/2</f>
        <v>#N/A</v>
      </c>
      <c r="D60" s="1022" t="s">
        <v>3</v>
      </c>
      <c r="E60" s="1023" t="s">
        <v>239</v>
      </c>
      <c r="F60" s="146" t="s">
        <v>265</v>
      </c>
      <c r="G60" s="1112"/>
      <c r="H60" s="1380" t="s">
        <v>241</v>
      </c>
      <c r="I60" s="1356"/>
      <c r="J60" s="1356"/>
      <c r="K60" s="1356"/>
      <c r="L60" s="1356"/>
      <c r="M60" s="1357"/>
    </row>
    <row r="61" spans="1:21" s="48" customFormat="1" ht="57.95" customHeight="1" thickBot="1" x14ac:dyDescent="0.25">
      <c r="A61" s="1028" t="s">
        <v>344</v>
      </c>
      <c r="B61" s="1029"/>
      <c r="C61" s="1030" t="e">
        <f>+C12/3^0.5</f>
        <v>#N/A</v>
      </c>
      <c r="D61" s="1031" t="s">
        <v>3</v>
      </c>
      <c r="E61" s="1032" t="s">
        <v>239</v>
      </c>
      <c r="F61" s="147" t="s">
        <v>265</v>
      </c>
      <c r="G61" s="1112"/>
      <c r="H61" s="132" t="s">
        <v>243</v>
      </c>
      <c r="I61" s="149" t="e">
        <f>MAX(C59:C62,C66:C67,C68)</f>
        <v>#DIV/0!</v>
      </c>
      <c r="J61" s="151" t="e">
        <f>IF((I62)&lt;=(K59),"1,65","2")</f>
        <v>#DIV/0!</v>
      </c>
      <c r="K61" s="152" t="s">
        <v>242</v>
      </c>
      <c r="L61" s="153" t="s">
        <v>237</v>
      </c>
      <c r="M61" s="360" t="s">
        <v>328</v>
      </c>
    </row>
    <row r="62" spans="1:21" s="48" customFormat="1" ht="57.95" customHeight="1" thickBot="1" x14ac:dyDescent="0.3">
      <c r="A62" s="1024" t="s">
        <v>49</v>
      </c>
      <c r="B62" s="1035"/>
      <c r="C62" s="1036" t="e">
        <f>+SQRT(SUMSQ(C60:C61))</f>
        <v>#N/A</v>
      </c>
      <c r="D62" s="1017" t="s">
        <v>3</v>
      </c>
      <c r="E62" s="1037" t="s">
        <v>240</v>
      </c>
      <c r="F62" s="139">
        <v>200</v>
      </c>
      <c r="G62" s="1112" t="e">
        <f t="shared" ref="G62:G68" si="0">(C62/$G$70)^2</f>
        <v>#N/A</v>
      </c>
      <c r="H62" s="133" t="s">
        <v>244</v>
      </c>
      <c r="I62" s="150" t="e">
        <f>SQRT((C59)^2+(C66)^2+(C67)^2+(C68)^2)/I61</f>
        <v>#DIV/0!</v>
      </c>
      <c r="J62" s="126"/>
      <c r="K62" s="154" t="s">
        <v>242</v>
      </c>
      <c r="L62" s="155" t="s">
        <v>252</v>
      </c>
      <c r="M62" s="361" t="s">
        <v>329</v>
      </c>
    </row>
    <row r="63" spans="1:21" s="48" customFormat="1" ht="57.95" customHeight="1" x14ac:dyDescent="0.2">
      <c r="A63" s="1019" t="s">
        <v>345</v>
      </c>
      <c r="B63" s="1020"/>
      <c r="C63" s="1033" t="e">
        <f>+I49</f>
        <v>#DIV/0!</v>
      </c>
      <c r="D63" s="1021" t="s">
        <v>73</v>
      </c>
      <c r="E63" s="1034" t="s">
        <v>239</v>
      </c>
      <c r="F63" s="146" t="s">
        <v>265</v>
      </c>
      <c r="G63" s="1112"/>
      <c r="L63" s="46"/>
      <c r="T63" s="46"/>
      <c r="U63" s="46"/>
    </row>
    <row r="64" spans="1:21" s="48" customFormat="1" ht="57.95" customHeight="1" x14ac:dyDescent="0.2">
      <c r="A64" s="426" t="s">
        <v>50</v>
      </c>
      <c r="B64" s="1018"/>
      <c r="C64" s="425" t="e">
        <f>+H11/2</f>
        <v>#N/A</v>
      </c>
      <c r="D64" s="424" t="s">
        <v>73</v>
      </c>
      <c r="E64" s="423" t="s">
        <v>239</v>
      </c>
      <c r="F64" s="148" t="s">
        <v>265</v>
      </c>
      <c r="G64" s="1112"/>
      <c r="H64" s="130"/>
      <c r="J64" s="130"/>
      <c r="K64" s="130"/>
      <c r="L64" s="130"/>
      <c r="M64" s="130"/>
      <c r="Q64" s="47"/>
      <c r="R64" s="47"/>
      <c r="S64" s="47"/>
      <c r="T64" s="47"/>
      <c r="U64" s="47"/>
    </row>
    <row r="65" spans="1:21" s="48" customFormat="1" ht="57.95" customHeight="1" thickBot="1" x14ac:dyDescent="0.25">
      <c r="A65" s="1028" t="s">
        <v>346</v>
      </c>
      <c r="B65" s="1038"/>
      <c r="C65" s="1039" t="e">
        <f>+C14/2</f>
        <v>#N/A</v>
      </c>
      <c r="D65" s="1031" t="s">
        <v>73</v>
      </c>
      <c r="E65" s="1040" t="s">
        <v>239</v>
      </c>
      <c r="F65" s="147" t="s">
        <v>265</v>
      </c>
      <c r="G65" s="1112"/>
      <c r="H65" s="130"/>
      <c r="I65" s="130"/>
      <c r="J65" s="130"/>
      <c r="K65" s="130"/>
      <c r="L65" s="130"/>
      <c r="M65" s="130"/>
      <c r="Q65" s="46"/>
      <c r="R65" s="46"/>
      <c r="S65" s="46"/>
      <c r="T65" s="46"/>
      <c r="U65" s="46"/>
    </row>
    <row r="66" spans="1:21" s="48" customFormat="1" ht="57.95" customHeight="1" thickBot="1" x14ac:dyDescent="0.3">
      <c r="A66" s="1024" t="s">
        <v>347</v>
      </c>
      <c r="B66" s="1035"/>
      <c r="C66" s="1036" t="e">
        <f>+SQRT(ABS(((C10/1000+C11/1000000)*(C13-H10)/(C13*H10)*C63)^2+((C10/1000+C11/1000000)*(I48-I50))^2*C64^2/H10^4+(C10/1000+C11/1000000)^2*(I48-I50)*((I48-I50)-2*(C15-I50))*C65^2/C13^4))*1000000</f>
        <v>#N/A</v>
      </c>
      <c r="D66" s="1051" t="s">
        <v>3</v>
      </c>
      <c r="E66" s="1037" t="s">
        <v>240</v>
      </c>
      <c r="F66" s="139">
        <v>200</v>
      </c>
      <c r="G66" s="1112" t="e">
        <f t="shared" si="0"/>
        <v>#N/A</v>
      </c>
      <c r="H66" s="130"/>
      <c r="I66" s="1093" t="s">
        <v>554</v>
      </c>
      <c r="J66" s="1095" t="s">
        <v>556</v>
      </c>
      <c r="K66" s="1094" t="s">
        <v>555</v>
      </c>
      <c r="L66" s="130"/>
      <c r="M66" s="130"/>
      <c r="Q66" s="47"/>
      <c r="R66" s="47"/>
      <c r="S66" s="47"/>
      <c r="T66" s="47"/>
      <c r="U66" s="47"/>
    </row>
    <row r="67" spans="1:21" s="48" customFormat="1" ht="57.95" customHeight="1" thickBot="1" x14ac:dyDescent="0.3">
      <c r="A67" s="1047" t="s">
        <v>52</v>
      </c>
      <c r="B67" s="1048"/>
      <c r="C67" s="1049" t="e">
        <f>+(G15/2/3^0.5)*2^0.5*1000</f>
        <v>#N/A</v>
      </c>
      <c r="D67" s="1044" t="s">
        <v>3</v>
      </c>
      <c r="E67" s="1045" t="s">
        <v>239</v>
      </c>
      <c r="F67" s="1050">
        <v>200</v>
      </c>
      <c r="G67" s="1112" t="e">
        <f t="shared" si="0"/>
        <v>#N/A</v>
      </c>
      <c r="H67" s="130"/>
      <c r="I67" s="1096" t="e">
        <f>G70^4/((C59^4/F59)+(C62^4/F62)+(C66^4/F66)+(C67^4/F67)+(C68^4/F68))</f>
        <v>#DIV/0!</v>
      </c>
      <c r="J67" s="1097" t="e">
        <f>TINV(0.05,I67)</f>
        <v>#DIV/0!</v>
      </c>
      <c r="K67" s="1098" t="e">
        <f>1-TDIST(J67,I67,2)</f>
        <v>#DIV/0!</v>
      </c>
      <c r="L67" s="130"/>
      <c r="M67" s="130"/>
    </row>
    <row r="68" spans="1:21" s="46" customFormat="1" ht="65.25" customHeight="1" thickBot="1" x14ac:dyDescent="0.3">
      <c r="A68" s="1041" t="s">
        <v>551</v>
      </c>
      <c r="B68" s="1042"/>
      <c r="C68" s="1043">
        <f>0.37/SQRT(45)</f>
        <v>5.5156343444994808E-2</v>
      </c>
      <c r="D68" s="1044" t="s">
        <v>3</v>
      </c>
      <c r="E68" s="1045" t="s">
        <v>240</v>
      </c>
      <c r="F68" s="1046">
        <v>50</v>
      </c>
      <c r="G68" s="1113" t="e">
        <f t="shared" si="0"/>
        <v>#DIV/0!</v>
      </c>
      <c r="H68" s="130"/>
      <c r="I68" s="130"/>
      <c r="J68" s="130"/>
      <c r="K68" s="130"/>
      <c r="L68" s="130"/>
      <c r="M68" s="130"/>
      <c r="S68" s="48"/>
      <c r="T68" s="48"/>
      <c r="U68" s="48"/>
    </row>
    <row r="69" spans="1:21" s="106" customFormat="1" ht="51.75" customHeight="1" thickBot="1" x14ac:dyDescent="0.25">
      <c r="G69" s="1114" t="e">
        <f>SUM(G59,G62,G66,G67,G68)</f>
        <v>#DIV/0!</v>
      </c>
      <c r="L69" s="130"/>
      <c r="M69" s="130"/>
      <c r="S69" s="48"/>
      <c r="T69" s="48"/>
      <c r="U69" s="48"/>
    </row>
    <row r="70" spans="1:21" s="106" customFormat="1" ht="35.1" customHeight="1" thickBot="1" x14ac:dyDescent="0.3">
      <c r="D70" s="1306" t="s">
        <v>51</v>
      </c>
      <c r="E70" s="1307"/>
      <c r="F70" s="134"/>
      <c r="G70" s="140" t="e">
        <f>+SQRT(SUMSQ(C59,C62,C66,C67,C68))</f>
        <v>#DIV/0!</v>
      </c>
      <c r="H70" s="136" t="s">
        <v>3</v>
      </c>
      <c r="K70" s="130"/>
      <c r="L70" s="107"/>
      <c r="O70" s="48"/>
      <c r="P70" s="48"/>
      <c r="Q70" s="48"/>
      <c r="R70" s="48"/>
      <c r="S70" s="48"/>
      <c r="T70" s="48"/>
      <c r="U70" s="48"/>
    </row>
    <row r="71" spans="1:21" s="106" customFormat="1" ht="33.75" customHeight="1" thickBot="1" x14ac:dyDescent="4.45">
      <c r="D71" s="1306" t="s">
        <v>53</v>
      </c>
      <c r="E71" s="1307"/>
      <c r="F71" s="135"/>
      <c r="G71" s="140" t="e">
        <f>+G70*2</f>
        <v>#DIV/0!</v>
      </c>
      <c r="H71" s="137" t="s">
        <v>3</v>
      </c>
      <c r="K71" s="110"/>
      <c r="L71" s="117"/>
      <c r="O71" s="48"/>
      <c r="P71" s="48"/>
      <c r="Q71" s="48"/>
      <c r="R71" s="48"/>
      <c r="S71" s="48"/>
      <c r="T71" s="48"/>
      <c r="U71" s="48"/>
    </row>
    <row r="72" spans="1:21" s="106" customFormat="1" ht="35.1" customHeight="1" thickBot="1" x14ac:dyDescent="0.25">
      <c r="B72" s="1313" t="s">
        <v>54</v>
      </c>
      <c r="C72" s="1314"/>
      <c r="D72" s="1314"/>
      <c r="E72" s="1314"/>
      <c r="F72" s="1314"/>
      <c r="G72" s="1314"/>
      <c r="H72" s="1314"/>
      <c r="I72" s="1314"/>
      <c r="J72" s="1314"/>
      <c r="K72" s="1315"/>
      <c r="O72" s="48"/>
      <c r="P72" s="48"/>
      <c r="Q72" s="48"/>
      <c r="R72" s="48"/>
      <c r="S72" s="48"/>
      <c r="T72" s="48"/>
      <c r="U72" s="48"/>
    </row>
    <row r="73" spans="1:21" s="106" customFormat="1" ht="40.5" customHeight="1" thickBot="1" x14ac:dyDescent="0.25">
      <c r="B73" s="1368" t="s">
        <v>255</v>
      </c>
      <c r="C73" s="1369"/>
      <c r="D73" s="1369"/>
      <c r="E73" s="1370"/>
      <c r="F73" s="79"/>
      <c r="G73" s="80"/>
      <c r="H73" s="1371"/>
      <c r="I73" s="1372"/>
      <c r="J73" s="1372"/>
      <c r="K73" s="1373"/>
      <c r="O73" s="48"/>
      <c r="P73" s="48"/>
      <c r="Q73" s="48"/>
      <c r="R73" s="48"/>
      <c r="S73" s="48"/>
      <c r="T73" s="48"/>
      <c r="U73" s="48"/>
    </row>
    <row r="74" spans="1:21" s="106" customFormat="1" ht="35.1" customHeight="1" x14ac:dyDescent="0.2">
      <c r="B74" s="118"/>
      <c r="C74" s="362" t="s">
        <v>348</v>
      </c>
      <c r="D74" s="119" t="s">
        <v>253</v>
      </c>
      <c r="E74" s="120"/>
      <c r="F74" s="1358"/>
      <c r="G74" s="1358"/>
      <c r="H74" s="1359" t="s">
        <v>266</v>
      </c>
      <c r="I74" s="1362" t="s">
        <v>254</v>
      </c>
      <c r="J74" s="1362"/>
      <c r="K74" s="1363"/>
      <c r="O74" s="48"/>
      <c r="P74" s="48"/>
      <c r="Q74" s="48"/>
      <c r="R74" s="48"/>
      <c r="S74" s="48"/>
      <c r="T74" s="48"/>
      <c r="U74" s="48"/>
    </row>
    <row r="75" spans="1:21" s="106" customFormat="1" ht="35.1" customHeight="1" x14ac:dyDescent="0.2">
      <c r="B75" s="81" t="e">
        <f>C10</f>
        <v>#N/A</v>
      </c>
      <c r="C75" s="77" t="e">
        <f>C11</f>
        <v>#N/A</v>
      </c>
      <c r="D75" s="78" t="e">
        <f>H54</f>
        <v>#DIV/0!</v>
      </c>
      <c r="E75" s="216" t="e">
        <f>B75+(C75/1000)+(D75/1000)</f>
        <v>#N/A</v>
      </c>
      <c r="F75" s="296" t="e">
        <f>E75*1000-B75*1000</f>
        <v>#N/A</v>
      </c>
      <c r="G75" s="61"/>
      <c r="H75" s="1360"/>
      <c r="I75" s="282" t="e">
        <f>G71</f>
        <v>#DIV/0!</v>
      </c>
      <c r="J75" s="1364"/>
      <c r="K75" s="1365"/>
      <c r="O75" s="48"/>
      <c r="P75" s="48"/>
      <c r="Q75" s="48"/>
      <c r="R75" s="48"/>
      <c r="S75" s="48"/>
      <c r="T75" s="48"/>
      <c r="U75" s="48"/>
    </row>
    <row r="76" spans="1:21" s="106" customFormat="1" ht="35.1" customHeight="1" thickBot="1" x14ac:dyDescent="0.25">
      <c r="B76" s="87" t="e">
        <f>B75</f>
        <v>#N/A</v>
      </c>
      <c r="C76" s="88" t="e">
        <f>C75</f>
        <v>#N/A</v>
      </c>
      <c r="D76" s="88" t="e">
        <f>D75</f>
        <v>#DIV/0!</v>
      </c>
      <c r="E76" s="217" t="e">
        <f>B76+(C76/1000)+(D76/1000)</f>
        <v>#N/A</v>
      </c>
      <c r="F76" s="227" t="e">
        <f>F75/1000</f>
        <v>#N/A</v>
      </c>
      <c r="G76" s="89"/>
      <c r="H76" s="1361"/>
      <c r="I76" s="263" t="e">
        <f>I75/1000</f>
        <v>#DIV/0!</v>
      </c>
      <c r="J76" s="1366"/>
      <c r="K76" s="1367"/>
      <c r="O76" s="48"/>
      <c r="P76" s="48"/>
      <c r="Q76" s="48"/>
      <c r="R76" s="48"/>
      <c r="S76" s="48"/>
      <c r="T76" s="48"/>
      <c r="U76" s="48"/>
    </row>
    <row r="77" spans="1:21" s="106" customFormat="1" ht="35.1" customHeight="1" x14ac:dyDescent="0.2">
      <c r="G77" s="47"/>
      <c r="H77" s="47"/>
      <c r="I77" s="47"/>
      <c r="J77" s="47"/>
      <c r="O77" s="48"/>
      <c r="P77" s="48"/>
      <c r="Q77" s="48"/>
      <c r="R77" s="48"/>
      <c r="S77" s="48"/>
      <c r="T77" s="48"/>
      <c r="U77" s="48"/>
    </row>
    <row r="78" spans="1:21" s="106" customFormat="1" ht="35.1" customHeight="1" x14ac:dyDescent="0.2">
      <c r="G78" s="47"/>
      <c r="H78" s="47"/>
      <c r="I78" s="47"/>
      <c r="J78" s="47"/>
    </row>
    <row r="79" spans="1:21" s="107" customFormat="1" ht="35.1" customHeight="1" x14ac:dyDescent="0.2">
      <c r="A79" s="109"/>
      <c r="B79" s="106"/>
      <c r="C79" s="106"/>
      <c r="D79" s="106"/>
      <c r="E79" s="106"/>
      <c r="F79" s="106"/>
      <c r="G79" s="47"/>
      <c r="H79" s="47"/>
    </row>
    <row r="80" spans="1:21" s="111" customFormat="1" ht="35.1" customHeight="1" x14ac:dyDescent="0.2">
      <c r="B80" s="106"/>
      <c r="C80" s="106"/>
      <c r="D80" s="106"/>
      <c r="E80" s="106"/>
      <c r="F80" s="106"/>
      <c r="G80" s="47"/>
      <c r="H80" s="47"/>
    </row>
    <row r="81" spans="6:10" s="106" customFormat="1" ht="61.5" customHeight="1" x14ac:dyDescent="0.2"/>
    <row r="82" spans="6:10" s="106" customFormat="1" ht="35.1" customHeight="1" x14ac:dyDescent="0.2"/>
    <row r="83" spans="6:10" s="106" customFormat="1" ht="35.1" customHeight="1" x14ac:dyDescent="0.2"/>
    <row r="84" spans="6:10" s="106" customFormat="1" ht="35.1" customHeight="1" x14ac:dyDescent="0.2"/>
    <row r="85" spans="6:10" s="106" customFormat="1" ht="50.1" customHeight="1" x14ac:dyDescent="0.2"/>
    <row r="86" spans="6:10" s="106" customFormat="1" ht="57.75" customHeight="1" x14ac:dyDescent="0.2"/>
    <row r="87" spans="6:10" s="106" customFormat="1" ht="35.1" customHeight="1" x14ac:dyDescent="0.2"/>
    <row r="88" spans="6:10" s="106" customFormat="1" ht="35.1" customHeight="1" x14ac:dyDescent="0.2">
      <c r="F88" s="108"/>
      <c r="G88" s="108"/>
      <c r="H88" s="108"/>
      <c r="I88" s="108"/>
      <c r="J88" s="108"/>
    </row>
    <row r="89" spans="6:10" s="106" customFormat="1" ht="35.1" customHeight="1" x14ac:dyDescent="0.2"/>
    <row r="90" spans="6:10" s="106" customFormat="1" ht="50.1" customHeight="1" x14ac:dyDescent="0.2">
      <c r="J90" s="47"/>
    </row>
    <row r="91" spans="6:10" s="106" customFormat="1" ht="55.5" customHeight="1" x14ac:dyDescent="0.2">
      <c r="J91" s="111"/>
    </row>
    <row r="92" spans="6:10" s="106" customFormat="1" ht="50.1" customHeight="1" x14ac:dyDescent="0.2">
      <c r="J92" s="111"/>
    </row>
    <row r="93" spans="6:10" s="107" customFormat="1" ht="31.5" customHeight="1" x14ac:dyDescent="0.2">
      <c r="J93" s="111"/>
    </row>
    <row r="94" spans="6:10" s="106" customFormat="1" ht="35.1" customHeight="1" x14ac:dyDescent="0.2">
      <c r="G94" s="111"/>
      <c r="H94" s="111"/>
      <c r="I94" s="111"/>
      <c r="J94" s="111"/>
    </row>
    <row r="95" spans="6:10" s="106" customFormat="1" ht="35.1" customHeight="1" x14ac:dyDescent="0.2">
      <c r="G95" s="111"/>
      <c r="H95" s="111"/>
      <c r="I95" s="111"/>
      <c r="J95" s="111"/>
    </row>
    <row r="96" spans="6:10" s="106" customFormat="1" ht="9.9499999999999993" customHeight="1" x14ac:dyDescent="0.2">
      <c r="G96" s="108"/>
      <c r="H96" s="108"/>
      <c r="I96" s="108"/>
      <c r="J96" s="108"/>
    </row>
    <row r="97" spans="1:12" s="106" customFormat="1" ht="35.1" customHeight="1" x14ac:dyDescent="0.2">
      <c r="J97" s="108"/>
      <c r="K97" s="108"/>
      <c r="L97" s="108"/>
    </row>
    <row r="98" spans="1:12" s="46" customFormat="1" ht="15" customHeight="1" x14ac:dyDescent="0.2">
      <c r="A98" s="47"/>
      <c r="G98" s="47"/>
      <c r="H98" s="47"/>
      <c r="I98" s="47"/>
      <c r="J98" s="47"/>
      <c r="K98" s="48"/>
    </row>
    <row r="99" spans="1:12" s="48" customFormat="1" ht="31.5" customHeight="1" x14ac:dyDescent="0.2">
      <c r="A99" s="47"/>
      <c r="B99" s="47"/>
      <c r="C99" s="47"/>
      <c r="D99" s="47"/>
      <c r="E99" s="47"/>
      <c r="F99" s="47"/>
      <c r="G99" s="47"/>
      <c r="H99" s="47"/>
      <c r="I99" s="47"/>
      <c r="J99" s="47"/>
    </row>
    <row r="100" spans="1:12" s="48" customFormat="1" ht="31.5" customHeight="1" x14ac:dyDescent="0.2"/>
    <row r="101" spans="1:12" s="48" customFormat="1" ht="31.5" customHeight="1" x14ac:dyDescent="0.2"/>
    <row r="102" spans="1:12" s="48" customFormat="1" ht="52.5" customHeight="1" x14ac:dyDescent="0.2"/>
    <row r="103" spans="1:12" s="48" customFormat="1" ht="31.5" customHeight="1" x14ac:dyDescent="0.2">
      <c r="K103" s="8"/>
    </row>
    <row r="104" spans="1:12" s="48" customFormat="1" ht="31.5" customHeight="1" x14ac:dyDescent="0.2">
      <c r="K104" s="8"/>
    </row>
    <row r="105" spans="1:12" ht="31.5" customHeight="1" x14ac:dyDescent="0.2">
      <c r="G105" s="76"/>
    </row>
    <row r="106" spans="1:12" ht="51" customHeight="1" x14ac:dyDescent="0.2"/>
    <row r="108" spans="1:12" ht="31.5" customHeight="1" x14ac:dyDescent="0.2">
      <c r="B108" s="29"/>
      <c r="C108" s="29"/>
      <c r="D108" s="29"/>
      <c r="E108" s="29"/>
      <c r="F108" s="29"/>
      <c r="G108" s="29"/>
      <c r="H108" s="29"/>
      <c r="I108" s="29"/>
      <c r="J108" s="29"/>
    </row>
    <row r="109" spans="1:12" ht="31.5" customHeight="1" x14ac:dyDescent="0.2">
      <c r="B109" s="29"/>
      <c r="C109" s="29"/>
      <c r="D109" s="29"/>
      <c r="E109" s="29"/>
      <c r="F109" s="29"/>
      <c r="G109" s="29"/>
      <c r="H109" s="29"/>
      <c r="I109" s="29"/>
      <c r="J109" s="29"/>
    </row>
    <row r="110" spans="1:12" ht="31.5" customHeight="1" x14ac:dyDescent="0.2">
      <c r="B110" s="29"/>
      <c r="C110" s="29"/>
      <c r="D110" s="29"/>
      <c r="E110" s="29"/>
      <c r="F110" s="29"/>
      <c r="G110" s="29"/>
      <c r="H110" s="29"/>
      <c r="I110" s="29"/>
      <c r="J110" s="29"/>
    </row>
    <row r="111" spans="1:12" ht="31.5" customHeight="1" x14ac:dyDescent="0.2">
      <c r="B111" s="29"/>
      <c r="C111" s="29"/>
      <c r="D111" s="29"/>
      <c r="E111" s="29"/>
      <c r="F111" s="29"/>
      <c r="G111" s="29"/>
      <c r="H111" s="29"/>
      <c r="I111" s="29"/>
      <c r="J111" s="29"/>
    </row>
    <row r="112" spans="1:12" ht="31.5" customHeight="1" x14ac:dyDescent="0.2">
      <c r="B112" s="29"/>
      <c r="C112" s="29"/>
      <c r="D112" s="29"/>
      <c r="E112" s="29"/>
      <c r="F112" s="29"/>
      <c r="G112" s="29"/>
      <c r="H112" s="29"/>
      <c r="I112" s="29"/>
      <c r="J112" s="29"/>
    </row>
    <row r="113" spans="2:10" ht="31.5" customHeight="1" x14ac:dyDescent="0.2">
      <c r="B113" s="29"/>
      <c r="C113" s="29"/>
      <c r="D113" s="29"/>
      <c r="E113" s="29"/>
      <c r="F113" s="29"/>
      <c r="G113" s="29"/>
      <c r="H113" s="29"/>
      <c r="I113" s="29"/>
      <c r="J113" s="29"/>
    </row>
    <row r="114" spans="2:10" ht="31.5" customHeight="1" x14ac:dyDescent="0.2">
      <c r="B114" s="29"/>
      <c r="C114" s="29"/>
      <c r="D114" s="29"/>
      <c r="E114" s="29"/>
      <c r="F114" s="29"/>
      <c r="G114" s="29"/>
      <c r="H114" s="29"/>
      <c r="I114" s="29"/>
      <c r="J114" s="29"/>
    </row>
  </sheetData>
  <sheetProtection password="CF5C" sheet="1" objects="1" scenarios="1"/>
  <mergeCells count="62">
    <mergeCell ref="D70:E70"/>
    <mergeCell ref="D71:E71"/>
    <mergeCell ref="B72:K72"/>
    <mergeCell ref="B73:E73"/>
    <mergeCell ref="H73:K73"/>
    <mergeCell ref="F74:G74"/>
    <mergeCell ref="H74:H76"/>
    <mergeCell ref="I74:K74"/>
    <mergeCell ref="J75:K75"/>
    <mergeCell ref="J76:K76"/>
    <mergeCell ref="A56:J56"/>
    <mergeCell ref="A58:B58"/>
    <mergeCell ref="C58:D58"/>
    <mergeCell ref="E58:F58"/>
    <mergeCell ref="H60:M60"/>
    <mergeCell ref="A50:B50"/>
    <mergeCell ref="G50:H50"/>
    <mergeCell ref="A52:J52"/>
    <mergeCell ref="D53:E53"/>
    <mergeCell ref="H53:I53"/>
    <mergeCell ref="A49:B49"/>
    <mergeCell ref="G49:H49"/>
    <mergeCell ref="A28:A31"/>
    <mergeCell ref="C33:D33"/>
    <mergeCell ref="F33:G33"/>
    <mergeCell ref="A36:J36"/>
    <mergeCell ref="B38:F38"/>
    <mergeCell ref="H38:J38"/>
    <mergeCell ref="H39:J42"/>
    <mergeCell ref="A46:J46"/>
    <mergeCell ref="A47:B48"/>
    <mergeCell ref="C47:E47"/>
    <mergeCell ref="G48:H48"/>
    <mergeCell ref="A27:B27"/>
    <mergeCell ref="G27:H27"/>
    <mergeCell ref="A14:B14"/>
    <mergeCell ref="A15:B15"/>
    <mergeCell ref="A16:B16"/>
    <mergeCell ref="C16:D16"/>
    <mergeCell ref="A18:J18"/>
    <mergeCell ref="F19:G19"/>
    <mergeCell ref="J19:J20"/>
    <mergeCell ref="A20:B20"/>
    <mergeCell ref="E20:F20"/>
    <mergeCell ref="A22:J22"/>
    <mergeCell ref="C24:D24"/>
    <mergeCell ref="F24:G24"/>
    <mergeCell ref="C26:F26"/>
    <mergeCell ref="G26:H26"/>
    <mergeCell ref="A13:B13"/>
    <mergeCell ref="F13:I13"/>
    <mergeCell ref="A1:B1"/>
    <mergeCell ref="C1:M1"/>
    <mergeCell ref="I3:J4"/>
    <mergeCell ref="A6:D6"/>
    <mergeCell ref="F6:I6"/>
    <mergeCell ref="F9:G9"/>
    <mergeCell ref="A10:B10"/>
    <mergeCell ref="F10:G10"/>
    <mergeCell ref="A11:B11"/>
    <mergeCell ref="F11:G11"/>
    <mergeCell ref="A12:B12"/>
  </mergeCells>
  <printOptions horizontalCentered="1"/>
  <pageMargins left="0.70866141732283472" right="0.70866141732283472" top="0.74803149606299213" bottom="0.74803149606299213" header="0.31496062992125984" footer="0.31496062992125984"/>
  <pageSetup scale="13" orientation="portrait" r:id="rId1"/>
  <headerFooter>
    <oddHeader xml:space="preserve">&amp;C
&amp;16   
</oddHeader>
    <oddFooter xml:space="preserve">&amp;RRT03-F13 Vr.14 (2021-05-21)
</oddFooter>
  </headerFooter>
  <rowBreaks count="1" manualBreakCount="1">
    <brk id="34" max="12" man="1"/>
  </rowBreaks>
  <drawing r:id="rId2"/>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2800-000000000000}">
          <x14:formula1>
            <xm:f>'DATOS %'!$J$174:$J$179</xm:f>
          </x14:formula1>
          <xm:sqref>J19:J20</xm:sqref>
        </x14:dataValidation>
        <x14:dataValidation type="list" allowBlank="1" showInputMessage="1" showErrorMessage="1" xr:uid="{00000000-0002-0000-2800-000001000000}">
          <x14:formula1>
            <xm:f>'DATOS %'!$N$121:$N$166</xm:f>
          </x14:formula1>
          <xm:sqref>F48</xm:sqref>
        </x14:dataValidation>
        <x14:dataValidation type="list" allowBlank="1" showInputMessage="1" showErrorMessage="1" xr:uid="{00000000-0002-0000-2800-000002000000}">
          <x14:formula1>
            <xm:f>'DATOS %'!$N$29:$N$113</xm:f>
          </x14:formula1>
          <xm:sqref>E6</xm:sqref>
        </x14:dataValidation>
        <x14:dataValidation type="list" allowBlank="1" showInputMessage="1" showErrorMessage="1" xr:uid="{00000000-0002-0000-2800-000003000000}">
          <x14:formula1>
            <xm:f>'DATOS %'!$V$120:$V$126</xm:f>
          </x14:formula1>
          <xm:sqref>J13</xm:sqref>
        </x14:dataValidation>
        <x14:dataValidation type="list" allowBlank="1" showInputMessage="1" showErrorMessage="1" xr:uid="{00000000-0002-0000-2800-000004000000}">
          <x14:formula1>
            <xm:f>'DATOS %'!$V$161:$V$165</xm:f>
          </x14:formula1>
          <xm:sqref>H25</xm:sqref>
        </x14:dataValidation>
        <x14:dataValidation type="list" allowBlank="1" showInputMessage="1" showErrorMessage="1" xr:uid="{00000000-0002-0000-2800-000005000000}">
          <x14:formula1>
            <xm:f>'DATOS %'!$B$7:$B$40</xm:f>
          </x14:formula1>
          <xm:sqref>I3:J4</xm:sqref>
        </x14:dataValidation>
      </x14:dataValidations>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theme="9" tint="-0.249977111117893"/>
  </sheetPr>
  <dimension ref="A1:XEZ93"/>
  <sheetViews>
    <sheetView showGridLines="0" view="pageBreakPreview" zoomScale="80" zoomScaleNormal="100" zoomScaleSheetLayoutView="80" workbookViewId="0">
      <selection activeCell="D14" sqref="D14:J14"/>
    </sheetView>
  </sheetViews>
  <sheetFormatPr baseColWidth="10" defaultColWidth="11.42578125" defaultRowHeight="15" x14ac:dyDescent="0.2"/>
  <cols>
    <col min="1" max="1" width="5.85546875" style="983" customWidth="1"/>
    <col min="2" max="2" width="15.42578125" style="983" customWidth="1"/>
    <col min="3" max="3" width="11.140625" style="983" customWidth="1"/>
    <col min="4" max="4" width="9" style="983" customWidth="1"/>
    <col min="5" max="5" width="15.5703125" style="983" customWidth="1"/>
    <col min="6" max="6" width="12.5703125" style="983" customWidth="1"/>
    <col min="7" max="12" width="9.7109375" style="983" customWidth="1"/>
    <col min="13" max="13" width="9.42578125" style="983" customWidth="1"/>
    <col min="14" max="16384" width="11.42578125" style="983"/>
  </cols>
  <sheetData>
    <row r="1" spans="1:13" ht="125.1" customHeight="1" x14ac:dyDescent="0.2">
      <c r="A1" s="1707"/>
      <c r="B1" s="1707"/>
      <c r="C1" s="1707"/>
      <c r="D1" s="1707"/>
      <c r="E1" s="1707"/>
      <c r="F1" s="1707"/>
      <c r="G1" s="1707"/>
      <c r="H1" s="1707"/>
      <c r="I1" s="1707"/>
      <c r="J1" s="1707"/>
      <c r="K1" s="1707"/>
      <c r="L1" s="1707"/>
      <c r="M1" s="1707"/>
    </row>
    <row r="2" spans="1:13" ht="35.1" customHeight="1" x14ac:dyDescent="0.2">
      <c r="A2" s="984"/>
      <c r="B2" s="984"/>
      <c r="C2" s="984"/>
      <c r="D2" s="984"/>
      <c r="E2" s="984"/>
      <c r="F2" s="984"/>
    </row>
    <row r="3" spans="1:13" ht="35.1" customHeight="1" x14ac:dyDescent="0.2">
      <c r="A3" s="984"/>
      <c r="B3" s="984"/>
      <c r="C3" s="984"/>
      <c r="D3" s="984"/>
      <c r="E3" s="984"/>
      <c r="F3" s="984"/>
      <c r="J3" s="1446" t="s">
        <v>24</v>
      </c>
      <c r="K3" s="1446"/>
      <c r="L3" s="1447">
        <f>'DATOS %'!J26</f>
        <v>0</v>
      </c>
      <c r="M3" s="1447"/>
    </row>
    <row r="4" spans="1:13" ht="23.1" customHeight="1" x14ac:dyDescent="0.25">
      <c r="A4" s="1463" t="s">
        <v>6</v>
      </c>
      <c r="B4" s="1463"/>
      <c r="C4" s="1463"/>
      <c r="D4" s="985"/>
      <c r="E4" s="985"/>
      <c r="G4" s="1464"/>
      <c r="H4" s="1464"/>
    </row>
    <row r="5" spans="1:13" ht="20.100000000000001" customHeight="1" x14ac:dyDescent="0.2">
      <c r="A5" s="986"/>
      <c r="B5" s="985"/>
      <c r="C5" s="985"/>
      <c r="D5" s="985"/>
      <c r="E5" s="985"/>
      <c r="F5" s="985"/>
    </row>
    <row r="6" spans="1:13" ht="23.1" customHeight="1" x14ac:dyDescent="0.2">
      <c r="A6" s="1708" t="s">
        <v>286</v>
      </c>
      <c r="B6" s="1708"/>
      <c r="D6" s="1709">
        <f>('DATOS %'!E26)</f>
        <v>0</v>
      </c>
      <c r="E6" s="1709"/>
      <c r="F6" s="1709"/>
      <c r="G6" s="1709"/>
      <c r="H6" s="1709"/>
      <c r="I6" s="1709"/>
      <c r="J6" s="1709"/>
    </row>
    <row r="7" spans="1:13" ht="23.1" customHeight="1" x14ac:dyDescent="0.2">
      <c r="A7" s="1708" t="s">
        <v>287</v>
      </c>
      <c r="B7" s="1708"/>
      <c r="C7" s="987"/>
      <c r="D7" s="1709">
        <f>'DATOS %'!F26</f>
        <v>0</v>
      </c>
      <c r="E7" s="1709"/>
      <c r="F7" s="1709"/>
      <c r="G7" s="1709"/>
      <c r="H7" s="1709"/>
      <c r="I7" s="1709"/>
      <c r="J7" s="1709"/>
    </row>
    <row r="8" spans="1:13" ht="23.1" customHeight="1" x14ac:dyDescent="0.2">
      <c r="A8" s="1708" t="s">
        <v>288</v>
      </c>
      <c r="B8" s="1708"/>
      <c r="D8" s="1709" t="str">
        <f>PROPER('DATOS %'!C26)</f>
        <v>0</v>
      </c>
      <c r="E8" s="1709"/>
      <c r="F8" s="1709"/>
      <c r="G8" s="1709"/>
    </row>
    <row r="9" spans="1:13" ht="20.100000000000001" customHeight="1" x14ac:dyDescent="0.2">
      <c r="A9" s="988"/>
      <c r="B9" s="988"/>
      <c r="D9" s="988"/>
      <c r="E9" s="988"/>
      <c r="F9" s="985"/>
    </row>
    <row r="10" spans="1:13" ht="23.1" customHeight="1" x14ac:dyDescent="0.2">
      <c r="A10" s="1708" t="s">
        <v>289</v>
      </c>
      <c r="B10" s="1708"/>
      <c r="C10" s="1708"/>
      <c r="D10" s="1711">
        <f>'DATOS %'!D26</f>
        <v>0</v>
      </c>
      <c r="E10" s="1711"/>
      <c r="F10" s="1712" t="s">
        <v>290</v>
      </c>
      <c r="G10" s="1712"/>
      <c r="H10" s="1712"/>
      <c r="I10" s="1711" t="e">
        <f>'10 kg % (C)'!E4</f>
        <v>#N/A</v>
      </c>
      <c r="J10" s="1711"/>
    </row>
    <row r="11" spans="1:13" ht="20.100000000000001" customHeight="1" x14ac:dyDescent="0.2">
      <c r="A11" s="985"/>
      <c r="B11" s="985"/>
      <c r="C11" s="985"/>
      <c r="D11" s="985"/>
      <c r="E11" s="985"/>
      <c r="F11" s="985"/>
    </row>
    <row r="12" spans="1:13" ht="23.1" customHeight="1" x14ac:dyDescent="0.2">
      <c r="A12" s="1467" t="s">
        <v>245</v>
      </c>
      <c r="B12" s="1467"/>
      <c r="C12" s="1467"/>
      <c r="D12" s="1467"/>
      <c r="E12" s="1467"/>
      <c r="F12" s="1467"/>
      <c r="G12" s="1467"/>
      <c r="H12" s="1467"/>
      <c r="I12" s="1467"/>
      <c r="J12" s="1467"/>
    </row>
    <row r="13" spans="1:13" ht="20.100000000000001" customHeight="1" x14ac:dyDescent="0.2">
      <c r="A13" s="965"/>
      <c r="B13" s="965"/>
      <c r="C13" s="965"/>
      <c r="D13" s="965"/>
      <c r="E13" s="965"/>
      <c r="F13" s="985"/>
    </row>
    <row r="14" spans="1:13" ht="23.1" customHeight="1" x14ac:dyDescent="0.2">
      <c r="A14" s="1708" t="s">
        <v>291</v>
      </c>
      <c r="B14" s="1708"/>
      <c r="C14" s="1708"/>
      <c r="D14" s="1710" t="s">
        <v>294</v>
      </c>
      <c r="E14" s="1710"/>
      <c r="F14" s="1710"/>
      <c r="G14" s="1710"/>
      <c r="H14" s="1710"/>
      <c r="I14" s="1710"/>
      <c r="J14" s="1710"/>
    </row>
    <row r="15" spans="1:13" ht="23.1" customHeight="1" x14ac:dyDescent="0.2">
      <c r="A15" s="1708" t="s">
        <v>292</v>
      </c>
      <c r="B15" s="1708"/>
      <c r="C15" s="1708"/>
      <c r="D15" s="1713" t="str">
        <f>PROPER('DATOS %'!D78)</f>
        <v>0</v>
      </c>
      <c r="E15" s="1714"/>
      <c r="F15" s="1714"/>
      <c r="G15" s="1714"/>
      <c r="H15" s="986"/>
      <c r="I15" s="986"/>
      <c r="J15" s="986"/>
    </row>
    <row r="16" spans="1:13" ht="23.1" customHeight="1" x14ac:dyDescent="0.2">
      <c r="A16" s="1708" t="s">
        <v>293</v>
      </c>
      <c r="B16" s="1708"/>
      <c r="C16" s="1708"/>
      <c r="D16" s="1717">
        <f>'DATOS %'!E78</f>
        <v>0</v>
      </c>
      <c r="E16" s="1717"/>
      <c r="F16" s="1717"/>
      <c r="G16" s="1717"/>
      <c r="H16" s="986"/>
      <c r="I16" s="986"/>
      <c r="J16" s="986"/>
    </row>
    <row r="17" spans="1:13" ht="23.1" customHeight="1" x14ac:dyDescent="0.2">
      <c r="A17" s="1708" t="s">
        <v>11</v>
      </c>
      <c r="B17" s="1708"/>
      <c r="C17" s="1708"/>
      <c r="D17" s="1715">
        <f>'DATOS %'!C78</f>
        <v>0</v>
      </c>
      <c r="E17" s="1715"/>
      <c r="F17" s="1711"/>
      <c r="G17" s="1711"/>
    </row>
    <row r="18" spans="1:13" ht="20.100000000000001" customHeight="1" x14ac:dyDescent="0.2">
      <c r="A18" s="988"/>
      <c r="B18" s="988"/>
      <c r="C18" s="988"/>
      <c r="D18" s="989"/>
      <c r="E18" s="986"/>
      <c r="F18" s="986"/>
      <c r="G18" s="986"/>
    </row>
    <row r="19" spans="1:13" ht="23.1" customHeight="1" x14ac:dyDescent="0.2">
      <c r="A19" s="1708" t="s">
        <v>12</v>
      </c>
      <c r="B19" s="1708"/>
      <c r="C19" s="1708"/>
      <c r="D19" s="1708"/>
      <c r="E19" s="1708"/>
      <c r="F19" s="1708">
        <f>'DATOS %'!C80</f>
        <v>0</v>
      </c>
      <c r="G19" s="1708"/>
      <c r="H19" s="1708"/>
      <c r="I19" s="1708"/>
      <c r="J19" s="1708"/>
    </row>
    <row r="20" spans="1:13" ht="20.100000000000001" customHeight="1" x14ac:dyDescent="0.2">
      <c r="A20" s="988"/>
      <c r="B20" s="988"/>
      <c r="C20" s="988"/>
      <c r="D20" s="988"/>
      <c r="E20" s="988"/>
      <c r="F20" s="988"/>
      <c r="G20" s="985"/>
    </row>
    <row r="21" spans="1:13" ht="23.1" customHeight="1" x14ac:dyDescent="0.2">
      <c r="A21" s="1463" t="s">
        <v>205</v>
      </c>
      <c r="B21" s="1463"/>
      <c r="C21" s="1463"/>
      <c r="D21" s="1463"/>
      <c r="E21" s="1463"/>
      <c r="F21" s="1463"/>
    </row>
    <row r="22" spans="1:13" ht="23.1" customHeight="1" x14ac:dyDescent="0.2">
      <c r="A22" s="1459" t="str">
        <f>'DATOS %'!G8</f>
        <v>Laboratorio de calibración de masa y volumen, avenida carrera  50 # 26-55 Int 2,  piso 5.</v>
      </c>
      <c r="B22" s="1459"/>
      <c r="C22" s="1459"/>
      <c r="D22" s="1459"/>
      <c r="E22" s="1459"/>
      <c r="F22" s="1459"/>
      <c r="G22" s="1459"/>
      <c r="H22" s="1459"/>
      <c r="I22" s="1459"/>
      <c r="J22" s="1459"/>
      <c r="K22" s="1459"/>
      <c r="L22" s="1459"/>
      <c r="M22" s="1459"/>
    </row>
    <row r="23" spans="1:13" ht="20.100000000000001" customHeight="1" x14ac:dyDescent="0.2">
      <c r="B23" s="1463"/>
      <c r="C23" s="1463"/>
      <c r="D23" s="1463"/>
      <c r="E23" s="1463"/>
      <c r="F23" s="965"/>
      <c r="G23" s="986"/>
    </row>
    <row r="24" spans="1:13" ht="23.1" customHeight="1" x14ac:dyDescent="0.2">
      <c r="A24" s="1463" t="s">
        <v>206</v>
      </c>
      <c r="B24" s="1463"/>
      <c r="C24" s="1463"/>
      <c r="D24" s="1463"/>
      <c r="E24" s="1718">
        <f>'DATOS %'!I26</f>
        <v>0</v>
      </c>
      <c r="F24" s="1718"/>
      <c r="G24" s="990"/>
      <c r="H24" s="990"/>
    </row>
    <row r="25" spans="1:13" ht="20.100000000000001" customHeight="1" x14ac:dyDescent="0.25">
      <c r="A25" s="986"/>
      <c r="B25" s="986"/>
      <c r="C25" s="986"/>
      <c r="D25" s="986"/>
      <c r="E25" s="986"/>
      <c r="F25" s="986"/>
      <c r="G25" s="966"/>
      <c r="H25" s="966"/>
      <c r="I25" s="985"/>
      <c r="J25" s="985"/>
    </row>
    <row r="26" spans="1:13" ht="23.1" customHeight="1" x14ac:dyDescent="0.2">
      <c r="A26" s="1413" t="s">
        <v>248</v>
      </c>
      <c r="B26" s="1413"/>
      <c r="C26" s="1413"/>
      <c r="D26" s="1413"/>
      <c r="E26" s="1413"/>
      <c r="F26" s="1413"/>
      <c r="G26" s="1413"/>
      <c r="H26" s="1413"/>
      <c r="I26" s="1413"/>
      <c r="J26" s="1413"/>
    </row>
    <row r="27" spans="1:13" ht="20.100000000000001" customHeight="1" x14ac:dyDescent="0.2">
      <c r="A27" s="960"/>
      <c r="B27" s="960"/>
      <c r="C27" s="960"/>
      <c r="D27" s="960"/>
      <c r="G27" s="985"/>
    </row>
    <row r="28" spans="1:13" ht="33" customHeight="1" x14ac:dyDescent="0.2">
      <c r="A28" s="1459" t="s">
        <v>455</v>
      </c>
      <c r="B28" s="1459"/>
      <c r="C28" s="1459"/>
      <c r="D28" s="1459"/>
      <c r="E28" s="1459"/>
      <c r="F28" s="1459"/>
      <c r="G28" s="1459"/>
      <c r="H28" s="1459"/>
      <c r="I28" s="1459"/>
      <c r="J28" s="1459"/>
      <c r="K28" s="1459"/>
      <c r="L28" s="1459"/>
      <c r="M28" s="1459"/>
    </row>
    <row r="29" spans="1:13" ht="20.100000000000001" customHeight="1" x14ac:dyDescent="0.25">
      <c r="G29" s="966"/>
      <c r="H29" s="966"/>
      <c r="I29" s="991"/>
      <c r="J29" s="991"/>
    </row>
    <row r="30" spans="1:13" ht="23.1" customHeight="1" x14ac:dyDescent="0.2">
      <c r="A30" s="1413" t="s">
        <v>268</v>
      </c>
      <c r="B30" s="1413"/>
      <c r="C30" s="1413"/>
      <c r="D30" s="1413"/>
      <c r="E30" s="1413"/>
      <c r="F30" s="1413"/>
      <c r="G30" s="1413"/>
      <c r="H30" s="1413"/>
      <c r="I30" s="1413"/>
      <c r="J30" s="1413"/>
    </row>
    <row r="31" spans="1:13" ht="9.9499999999999993" customHeight="1" x14ac:dyDescent="0.2">
      <c r="A31" s="1719"/>
      <c r="B31" s="1719"/>
      <c r="C31" s="1719"/>
      <c r="D31" s="1719"/>
      <c r="E31" s="1719"/>
      <c r="F31" s="1719"/>
      <c r="G31" s="1719"/>
      <c r="H31" s="1719"/>
      <c r="I31" s="1719"/>
      <c r="J31" s="1719"/>
    </row>
    <row r="32" spans="1:13" ht="9.9499999999999993" customHeight="1" thickBot="1" x14ac:dyDescent="0.25">
      <c r="A32" s="992"/>
      <c r="B32" s="992"/>
      <c r="C32" s="992"/>
      <c r="D32" s="992"/>
      <c r="E32" s="992"/>
      <c r="F32" s="992"/>
      <c r="G32" s="992"/>
      <c r="K32" s="388"/>
    </row>
    <row r="33" spans="1:13" ht="21.75" customHeight="1" thickBot="1" x14ac:dyDescent="0.25">
      <c r="B33" s="1419" t="s">
        <v>256</v>
      </c>
      <c r="C33" s="1420"/>
      <c r="D33" s="1419" t="s">
        <v>218</v>
      </c>
      <c r="E33" s="1420"/>
      <c r="F33" s="1419" t="s">
        <v>219</v>
      </c>
      <c r="G33" s="1420"/>
      <c r="H33" s="1423" t="s">
        <v>220</v>
      </c>
      <c r="I33" s="1424"/>
      <c r="J33" s="1424"/>
      <c r="K33" s="1425"/>
    </row>
    <row r="34" spans="1:13" ht="36.75" customHeight="1" thickBot="1" x14ac:dyDescent="0.25">
      <c r="B34" s="1421"/>
      <c r="C34" s="1422"/>
      <c r="D34" s="1421"/>
      <c r="E34" s="1422"/>
      <c r="F34" s="1421"/>
      <c r="G34" s="1422"/>
      <c r="H34" s="1426" t="s">
        <v>221</v>
      </c>
      <c r="I34" s="1427"/>
      <c r="J34" s="1428" t="s">
        <v>325</v>
      </c>
      <c r="K34" s="1429"/>
    </row>
    <row r="35" spans="1:13" ht="39.950000000000003" customHeight="1" thickBot="1" x14ac:dyDescent="0.25">
      <c r="B35" s="1430" t="str">
        <f>D14</f>
        <v>Pesa de 10 kg</v>
      </c>
      <c r="C35" s="1431"/>
      <c r="D35" s="1432" t="s">
        <v>5</v>
      </c>
      <c r="E35" s="1433"/>
      <c r="F35" s="1720" t="e">
        <f>VLOOKUP($K$32,'DATOS %'!B175:G185,1,FALSE)</f>
        <v>#N/A</v>
      </c>
      <c r="G35" s="1721"/>
      <c r="H35" s="993" t="e">
        <f>VLOOKUP($K$32,'DATOS %'!B175:G186,3,FALSE)</f>
        <v>#N/A</v>
      </c>
      <c r="I35" s="994" t="s">
        <v>213</v>
      </c>
      <c r="J35" s="995" t="e">
        <f>VLOOKUP($K$32,'DATOS %'!B175:G185,5,FALSE)</f>
        <v>#N/A</v>
      </c>
      <c r="K35" s="996" t="s">
        <v>128</v>
      </c>
    </row>
    <row r="36" spans="1:13" ht="39.950000000000003" hidden="1" customHeight="1" thickBot="1" x14ac:dyDescent="0.25">
      <c r="A36" s="1722"/>
      <c r="B36" s="1723"/>
      <c r="C36" s="1722"/>
      <c r="D36" s="1724"/>
      <c r="E36" s="1725"/>
      <c r="F36" s="1723"/>
      <c r="G36" s="997"/>
      <c r="H36" s="998"/>
      <c r="I36" s="997"/>
      <c r="J36" s="999"/>
    </row>
    <row r="37" spans="1:13" ht="20.100000000000001" customHeight="1" x14ac:dyDescent="0.2"/>
    <row r="38" spans="1:13" ht="125.1" customHeight="1" x14ac:dyDescent="0.2"/>
    <row r="39" spans="1:13" ht="35.1" customHeight="1" x14ac:dyDescent="0.2"/>
    <row r="40" spans="1:13" ht="35.1" customHeight="1" x14ac:dyDescent="0.2">
      <c r="J40" s="1446" t="s">
        <v>24</v>
      </c>
      <c r="K40" s="1446"/>
      <c r="L40" s="1447">
        <f>L3</f>
        <v>0</v>
      </c>
      <c r="M40" s="1447"/>
    </row>
    <row r="41" spans="1:13" ht="23.1" customHeight="1" x14ac:dyDescent="0.2">
      <c r="A41" s="1413" t="s">
        <v>257</v>
      </c>
      <c r="B41" s="1413"/>
      <c r="C41" s="1413"/>
      <c r="D41" s="1413"/>
      <c r="E41" s="1413"/>
      <c r="F41" s="1413"/>
      <c r="G41" s="1413"/>
      <c r="H41" s="1413"/>
      <c r="I41" s="1413"/>
      <c r="J41" s="1413"/>
    </row>
    <row r="42" spans="1:13" ht="20.100000000000001" customHeight="1" x14ac:dyDescent="0.2">
      <c r="A42" s="389"/>
    </row>
    <row r="43" spans="1:13" s="1000" customFormat="1" ht="35.1" customHeight="1" x14ac:dyDescent="0.25">
      <c r="A43" s="1452" t="s">
        <v>246</v>
      </c>
      <c r="B43" s="1452"/>
      <c r="C43" s="1452"/>
      <c r="D43" s="1452"/>
      <c r="E43" s="1452"/>
      <c r="F43" s="1452"/>
      <c r="G43" s="1452"/>
      <c r="H43" s="1452"/>
      <c r="I43" s="1452"/>
      <c r="J43" s="1452"/>
      <c r="K43" s="1452"/>
      <c r="L43" s="1452"/>
      <c r="M43" s="1452"/>
    </row>
    <row r="44" spans="1:13" ht="20.100000000000001" customHeight="1" thickBot="1" x14ac:dyDescent="0.25">
      <c r="A44" s="1000"/>
      <c r="B44" s="1000"/>
      <c r="C44" s="1000"/>
      <c r="D44" s="1000"/>
      <c r="E44" s="1000"/>
      <c r="F44" s="1000"/>
      <c r="G44" s="1000"/>
      <c r="H44" s="1000"/>
      <c r="I44" s="1000"/>
      <c r="J44" s="1000"/>
    </row>
    <row r="45" spans="1:13" ht="39.950000000000003" customHeight="1" thickBot="1" x14ac:dyDescent="0.25">
      <c r="B45" s="1448" t="s">
        <v>13</v>
      </c>
      <c r="C45" s="1448"/>
      <c r="D45" s="1448"/>
      <c r="E45" s="963" t="s">
        <v>21</v>
      </c>
      <c r="F45" s="963" t="s">
        <v>10</v>
      </c>
      <c r="G45" s="390" t="s">
        <v>209</v>
      </c>
      <c r="H45" s="1448" t="s">
        <v>14</v>
      </c>
      <c r="I45" s="1448"/>
      <c r="J45" s="1448" t="s">
        <v>8</v>
      </c>
      <c r="K45" s="1448"/>
    </row>
    <row r="46" spans="1:13" ht="33" customHeight="1" thickBot="1" x14ac:dyDescent="0.25">
      <c r="B46" s="1449" t="str">
        <f>D14</f>
        <v>Pesa de 10 kg</v>
      </c>
      <c r="C46" s="1449"/>
      <c r="D46" s="1449"/>
      <c r="E46" s="391" t="e">
        <f>'10 kg % (C)'!B7</f>
        <v>#N/A</v>
      </c>
      <c r="F46" s="971" t="e">
        <f>'10 kg % (C)'!D7</f>
        <v>#N/A</v>
      </c>
      <c r="G46" s="392" t="e">
        <f>'10 kg % (C)'!C16</f>
        <v>#N/A</v>
      </c>
      <c r="H46" s="1450" t="e">
        <f>'10 kg % (C)'!B9</f>
        <v>#N/A</v>
      </c>
      <c r="I46" s="1450"/>
      <c r="J46" s="1451" t="e">
        <f>'10 kg % (C)'!D9</f>
        <v>#N/A</v>
      </c>
      <c r="K46" s="1451"/>
    </row>
    <row r="47" spans="1:13" ht="33" hidden="1" customHeight="1" thickBot="1" x14ac:dyDescent="0.25">
      <c r="A47" s="1729"/>
      <c r="B47" s="1729"/>
      <c r="C47" s="1729"/>
      <c r="D47" s="391"/>
      <c r="E47" s="971"/>
      <c r="F47" s="392"/>
      <c r="G47" s="1693"/>
      <c r="H47" s="1694"/>
      <c r="I47" s="1451"/>
      <c r="J47" s="1451"/>
    </row>
    <row r="48" spans="1:13" ht="20.100000000000001" customHeight="1" x14ac:dyDescent="0.2">
      <c r="A48" s="961"/>
      <c r="B48" s="961"/>
      <c r="C48" s="961"/>
      <c r="D48" s="393"/>
      <c r="E48" s="961"/>
      <c r="F48" s="961"/>
      <c r="G48" s="961"/>
      <c r="H48" s="961"/>
      <c r="I48" s="394"/>
      <c r="J48" s="394"/>
    </row>
    <row r="49" spans="1:1020 1029:2040 2049:3070 3079:4090 4099:5120 5129:6140 6149:7160 7169:8190 8199:9210 9219:10240 10249:11260 11269:12280 12289:13310 13319:14330 14339:15360 15369:16380" ht="23.1" customHeight="1" x14ac:dyDescent="0.2">
      <c r="A49" s="1418" t="s">
        <v>249</v>
      </c>
      <c r="B49" s="1418"/>
      <c r="C49" s="1418"/>
      <c r="D49" s="1418"/>
      <c r="E49" s="1418"/>
      <c r="F49" s="1418"/>
      <c r="G49" s="1418"/>
      <c r="H49" s="1418"/>
      <c r="I49" s="1418"/>
      <c r="J49" s="1418"/>
    </row>
    <row r="50" spans="1:1020 1029:2040 2049:3070 3079:4090 4099:5120 5129:6140 6149:7160 7169:8190 8199:9210 9219:10240 10249:11260 11269:12280 12289:13310 13319:14330 14339:15360 15369:16380" ht="6" customHeight="1" x14ac:dyDescent="0.2">
      <c r="A50" s="389"/>
      <c r="B50" s="389"/>
    </row>
    <row r="51" spans="1:1020 1029:2040 2049:3070 3079:4090 4099:5120 5129:6140 6149:7160 7169:8190 8199:9210 9219:10240 10249:11260 11269:12280 12289:13310 13319:14330 14339:15360 15369:16380" ht="30" customHeight="1" x14ac:dyDescent="0.2">
      <c r="A51" s="1453" t="s">
        <v>269</v>
      </c>
      <c r="B51" s="1453"/>
      <c r="C51" s="1453"/>
      <c r="D51" s="1453"/>
      <c r="E51" s="1453"/>
      <c r="F51" s="1453"/>
      <c r="G51" s="1453"/>
      <c r="H51" s="1453"/>
      <c r="I51" s="1453"/>
      <c r="J51" s="1453"/>
      <c r="K51" s="1453"/>
      <c r="L51" s="1453"/>
      <c r="M51" s="1453"/>
    </row>
    <row r="52" spans="1:1020 1029:2040 2049:3070 3079:4090 4099:5120 5129:6140 6149:7160 7169:8190 8199:9210 9219:10240 10249:11260 11269:12280 12289:13310 13319:14330 14339:15360 15369:16380" ht="30" customHeight="1" x14ac:dyDescent="0.2">
      <c r="A52" s="1453"/>
      <c r="B52" s="1453"/>
      <c r="C52" s="1453"/>
      <c r="D52" s="1453"/>
      <c r="E52" s="1453"/>
      <c r="F52" s="1453"/>
      <c r="G52" s="1453"/>
      <c r="H52" s="1453"/>
      <c r="I52" s="1453"/>
      <c r="J52" s="1453"/>
      <c r="K52" s="1453"/>
      <c r="L52" s="1453"/>
      <c r="M52" s="1453"/>
    </row>
    <row r="53" spans="1:1020 1029:2040 2049:3070 3079:4090 4099:5120 5129:6140 6149:7160 7169:8190 8199:9210 9219:10240 10249:11260 11269:12280 12289:13310 13319:14330 14339:15360 15369:16380" ht="18" customHeight="1" x14ac:dyDescent="0.2">
      <c r="A53" s="1001"/>
      <c r="B53" s="1001"/>
      <c r="C53" s="1001"/>
      <c r="D53" s="1001"/>
      <c r="E53" s="1001"/>
      <c r="F53" s="1001"/>
      <c r="G53" s="1001"/>
      <c r="H53" s="1001"/>
      <c r="I53" s="1001"/>
      <c r="J53" s="1001"/>
    </row>
    <row r="54" spans="1:1020 1029:2040 2049:3070 3079:4090 4099:5120 5129:6140 6149:7160 7169:8190 8199:9210 9219:10240 10249:11260 11269:12280 12289:13310 13319:14330 14339:15360 15369:16380" ht="23.1" customHeight="1" x14ac:dyDescent="0.2">
      <c r="A54" s="1418" t="s">
        <v>250</v>
      </c>
      <c r="B54" s="1418"/>
      <c r="C54" s="1418"/>
      <c r="D54" s="1418"/>
      <c r="E54" s="1418"/>
      <c r="F54" s="1418"/>
      <c r="G54" s="1418"/>
      <c r="H54" s="1418"/>
      <c r="I54" s="1418"/>
      <c r="J54" s="1418"/>
    </row>
    <row r="55" spans="1:1020 1029:2040 2049:3070 3079:4090 4099:5120 5129:6140 6149:7160 7169:8190 8199:9210 9219:10240 10249:11260 11269:12280 12289:13310 13319:14330 14339:15360 15369:16380" ht="20.100000000000001" customHeight="1" thickBot="1" x14ac:dyDescent="0.25">
      <c r="A55" s="389"/>
      <c r="B55" s="389"/>
      <c r="S55" s="389"/>
      <c r="T55" s="389"/>
      <c r="AC55" s="389"/>
      <c r="AD55" s="389"/>
      <c r="AM55" s="389"/>
      <c r="AN55" s="389"/>
      <c r="AW55" s="389"/>
      <c r="AX55" s="389"/>
      <c r="BG55" s="389"/>
      <c r="BH55" s="389"/>
      <c r="BQ55" s="389"/>
      <c r="BR55" s="389"/>
      <c r="CA55" s="389"/>
      <c r="CB55" s="389"/>
      <c r="CK55" s="389"/>
      <c r="CL55" s="389"/>
      <c r="CU55" s="389"/>
      <c r="CV55" s="389"/>
      <c r="DE55" s="389"/>
      <c r="DF55" s="389"/>
      <c r="DO55" s="389"/>
      <c r="DP55" s="389"/>
      <c r="DY55" s="389"/>
      <c r="DZ55" s="389"/>
      <c r="EI55" s="389"/>
      <c r="EJ55" s="389"/>
      <c r="ES55" s="389"/>
      <c r="ET55" s="389"/>
      <c r="FC55" s="389"/>
      <c r="FD55" s="389"/>
      <c r="FM55" s="389"/>
      <c r="FN55" s="389"/>
      <c r="FW55" s="389"/>
      <c r="FX55" s="389"/>
      <c r="GG55" s="389"/>
      <c r="GH55" s="389"/>
      <c r="GQ55" s="389"/>
      <c r="GR55" s="389"/>
      <c r="HA55" s="389"/>
      <c r="HB55" s="389"/>
      <c r="HK55" s="389"/>
      <c r="HL55" s="389"/>
      <c r="HU55" s="389"/>
      <c r="HV55" s="389"/>
      <c r="IE55" s="389"/>
      <c r="IF55" s="389"/>
      <c r="IO55" s="389"/>
      <c r="IP55" s="389"/>
      <c r="IY55" s="389"/>
      <c r="IZ55" s="389"/>
      <c r="JI55" s="389"/>
      <c r="JJ55" s="389"/>
      <c r="JS55" s="389"/>
      <c r="JT55" s="389"/>
      <c r="KC55" s="389"/>
      <c r="KD55" s="389"/>
      <c r="KM55" s="389"/>
      <c r="KN55" s="389"/>
      <c r="KW55" s="389"/>
      <c r="KX55" s="389"/>
      <c r="LG55" s="389"/>
      <c r="LH55" s="389"/>
      <c r="LQ55" s="389"/>
      <c r="LR55" s="389"/>
      <c r="MA55" s="389"/>
      <c r="MB55" s="389"/>
      <c r="MK55" s="389"/>
      <c r="ML55" s="389"/>
      <c r="MU55" s="389"/>
      <c r="MV55" s="389"/>
      <c r="NE55" s="389"/>
      <c r="NF55" s="389"/>
      <c r="NO55" s="389"/>
      <c r="NP55" s="389"/>
      <c r="NY55" s="389"/>
      <c r="NZ55" s="389"/>
      <c r="OI55" s="389"/>
      <c r="OJ55" s="389"/>
      <c r="OS55" s="389"/>
      <c r="OT55" s="389"/>
      <c r="PC55" s="389"/>
      <c r="PD55" s="389"/>
      <c r="PM55" s="389"/>
      <c r="PN55" s="389"/>
      <c r="PW55" s="389"/>
      <c r="PX55" s="389"/>
      <c r="QG55" s="389"/>
      <c r="QH55" s="389"/>
      <c r="QQ55" s="389"/>
      <c r="QR55" s="389"/>
      <c r="RA55" s="389"/>
      <c r="RB55" s="389"/>
      <c r="RK55" s="389"/>
      <c r="RL55" s="389"/>
      <c r="RU55" s="389"/>
      <c r="RV55" s="389"/>
      <c r="SE55" s="389"/>
      <c r="SF55" s="389"/>
      <c r="SO55" s="389"/>
      <c r="SP55" s="389"/>
      <c r="SY55" s="389"/>
      <c r="SZ55" s="389"/>
      <c r="TI55" s="389"/>
      <c r="TJ55" s="389"/>
      <c r="TS55" s="389"/>
      <c r="TT55" s="389"/>
      <c r="UC55" s="389"/>
      <c r="UD55" s="389"/>
      <c r="UM55" s="389"/>
      <c r="UN55" s="389"/>
      <c r="UW55" s="389"/>
      <c r="UX55" s="389"/>
      <c r="VG55" s="389"/>
      <c r="VH55" s="389"/>
      <c r="VQ55" s="389"/>
      <c r="VR55" s="389"/>
      <c r="WA55" s="389"/>
      <c r="WB55" s="389"/>
      <c r="WK55" s="389"/>
      <c r="WL55" s="389"/>
      <c r="WU55" s="389"/>
      <c r="WV55" s="389"/>
      <c r="XE55" s="389"/>
      <c r="XF55" s="389"/>
      <c r="XO55" s="389"/>
      <c r="XP55" s="389"/>
      <c r="XY55" s="389"/>
      <c r="XZ55" s="389"/>
      <c r="YI55" s="389"/>
      <c r="YJ55" s="389"/>
      <c r="YS55" s="389"/>
      <c r="YT55" s="389"/>
      <c r="ZC55" s="389"/>
      <c r="ZD55" s="389"/>
      <c r="ZM55" s="389"/>
      <c r="ZN55" s="389"/>
      <c r="ZW55" s="389"/>
      <c r="ZX55" s="389"/>
      <c r="AAG55" s="389"/>
      <c r="AAH55" s="389"/>
      <c r="AAQ55" s="389"/>
      <c r="AAR55" s="389"/>
      <c r="ABA55" s="389"/>
      <c r="ABB55" s="389"/>
      <c r="ABK55" s="389"/>
      <c r="ABL55" s="389"/>
      <c r="ABU55" s="389"/>
      <c r="ABV55" s="389"/>
      <c r="ACE55" s="389"/>
      <c r="ACF55" s="389"/>
      <c r="ACO55" s="389"/>
      <c r="ACP55" s="389"/>
      <c r="ACY55" s="389"/>
      <c r="ACZ55" s="389"/>
      <c r="ADI55" s="389"/>
      <c r="ADJ55" s="389"/>
      <c r="ADS55" s="389"/>
      <c r="ADT55" s="389"/>
      <c r="AEC55" s="389"/>
      <c r="AED55" s="389"/>
      <c r="AEM55" s="389"/>
      <c r="AEN55" s="389"/>
      <c r="AEW55" s="389"/>
      <c r="AEX55" s="389"/>
      <c r="AFG55" s="389"/>
      <c r="AFH55" s="389"/>
      <c r="AFQ55" s="389"/>
      <c r="AFR55" s="389"/>
      <c r="AGA55" s="389"/>
      <c r="AGB55" s="389"/>
      <c r="AGK55" s="389"/>
      <c r="AGL55" s="389"/>
      <c r="AGU55" s="389"/>
      <c r="AGV55" s="389"/>
      <c r="AHE55" s="389"/>
      <c r="AHF55" s="389"/>
      <c r="AHO55" s="389"/>
      <c r="AHP55" s="389"/>
      <c r="AHY55" s="389"/>
      <c r="AHZ55" s="389"/>
      <c r="AII55" s="389"/>
      <c r="AIJ55" s="389"/>
      <c r="AIS55" s="389"/>
      <c r="AIT55" s="389"/>
      <c r="AJC55" s="389"/>
      <c r="AJD55" s="389"/>
      <c r="AJM55" s="389"/>
      <c r="AJN55" s="389"/>
      <c r="AJW55" s="389"/>
      <c r="AJX55" s="389"/>
      <c r="AKG55" s="389"/>
      <c r="AKH55" s="389"/>
      <c r="AKQ55" s="389"/>
      <c r="AKR55" s="389"/>
      <c r="ALA55" s="389"/>
      <c r="ALB55" s="389"/>
      <c r="ALK55" s="389"/>
      <c r="ALL55" s="389"/>
      <c r="ALU55" s="389"/>
      <c r="ALV55" s="389"/>
      <c r="AME55" s="389"/>
      <c r="AMF55" s="389"/>
      <c r="AMO55" s="389"/>
      <c r="AMP55" s="389"/>
      <c r="AMY55" s="389"/>
      <c r="AMZ55" s="389"/>
      <c r="ANI55" s="389"/>
      <c r="ANJ55" s="389"/>
      <c r="ANS55" s="389"/>
      <c r="ANT55" s="389"/>
      <c r="AOC55" s="389"/>
      <c r="AOD55" s="389"/>
      <c r="AOM55" s="389"/>
      <c r="AON55" s="389"/>
      <c r="AOW55" s="389"/>
      <c r="AOX55" s="389"/>
      <c r="APG55" s="389"/>
      <c r="APH55" s="389"/>
      <c r="APQ55" s="389"/>
      <c r="APR55" s="389"/>
      <c r="AQA55" s="389"/>
      <c r="AQB55" s="389"/>
      <c r="AQK55" s="389"/>
      <c r="AQL55" s="389"/>
      <c r="AQU55" s="389"/>
      <c r="AQV55" s="389"/>
      <c r="ARE55" s="389"/>
      <c r="ARF55" s="389"/>
      <c r="ARO55" s="389"/>
      <c r="ARP55" s="389"/>
      <c r="ARY55" s="389"/>
      <c r="ARZ55" s="389"/>
      <c r="ASI55" s="389"/>
      <c r="ASJ55" s="389"/>
      <c r="ASS55" s="389"/>
      <c r="AST55" s="389"/>
      <c r="ATC55" s="389"/>
      <c r="ATD55" s="389"/>
      <c r="ATM55" s="389"/>
      <c r="ATN55" s="389"/>
      <c r="ATW55" s="389"/>
      <c r="ATX55" s="389"/>
      <c r="AUG55" s="389"/>
      <c r="AUH55" s="389"/>
      <c r="AUQ55" s="389"/>
      <c r="AUR55" s="389"/>
      <c r="AVA55" s="389"/>
      <c r="AVB55" s="389"/>
      <c r="AVK55" s="389"/>
      <c r="AVL55" s="389"/>
      <c r="AVU55" s="389"/>
      <c r="AVV55" s="389"/>
      <c r="AWE55" s="389"/>
      <c r="AWF55" s="389"/>
      <c r="AWO55" s="389"/>
      <c r="AWP55" s="389"/>
      <c r="AWY55" s="389"/>
      <c r="AWZ55" s="389"/>
      <c r="AXI55" s="389"/>
      <c r="AXJ55" s="389"/>
      <c r="AXS55" s="389"/>
      <c r="AXT55" s="389"/>
      <c r="AYC55" s="389"/>
      <c r="AYD55" s="389"/>
      <c r="AYM55" s="389"/>
      <c r="AYN55" s="389"/>
      <c r="AYW55" s="389"/>
      <c r="AYX55" s="389"/>
      <c r="AZG55" s="389"/>
      <c r="AZH55" s="389"/>
      <c r="AZQ55" s="389"/>
      <c r="AZR55" s="389"/>
      <c r="BAA55" s="389"/>
      <c r="BAB55" s="389"/>
      <c r="BAK55" s="389"/>
      <c r="BAL55" s="389"/>
      <c r="BAU55" s="389"/>
      <c r="BAV55" s="389"/>
      <c r="BBE55" s="389"/>
      <c r="BBF55" s="389"/>
      <c r="BBO55" s="389"/>
      <c r="BBP55" s="389"/>
      <c r="BBY55" s="389"/>
      <c r="BBZ55" s="389"/>
      <c r="BCI55" s="389"/>
      <c r="BCJ55" s="389"/>
      <c r="BCS55" s="389"/>
      <c r="BCT55" s="389"/>
      <c r="BDC55" s="389"/>
      <c r="BDD55" s="389"/>
      <c r="BDM55" s="389"/>
      <c r="BDN55" s="389"/>
      <c r="BDW55" s="389"/>
      <c r="BDX55" s="389"/>
      <c r="BEG55" s="389"/>
      <c r="BEH55" s="389"/>
      <c r="BEQ55" s="389"/>
      <c r="BER55" s="389"/>
      <c r="BFA55" s="389"/>
      <c r="BFB55" s="389"/>
      <c r="BFK55" s="389"/>
      <c r="BFL55" s="389"/>
      <c r="BFU55" s="389"/>
      <c r="BFV55" s="389"/>
      <c r="BGE55" s="389"/>
      <c r="BGF55" s="389"/>
      <c r="BGO55" s="389"/>
      <c r="BGP55" s="389"/>
      <c r="BGY55" s="389"/>
      <c r="BGZ55" s="389"/>
      <c r="BHI55" s="389"/>
      <c r="BHJ55" s="389"/>
      <c r="BHS55" s="389"/>
      <c r="BHT55" s="389"/>
      <c r="BIC55" s="389"/>
      <c r="BID55" s="389"/>
      <c r="BIM55" s="389"/>
      <c r="BIN55" s="389"/>
      <c r="BIW55" s="389"/>
      <c r="BIX55" s="389"/>
      <c r="BJG55" s="389"/>
      <c r="BJH55" s="389"/>
      <c r="BJQ55" s="389"/>
      <c r="BJR55" s="389"/>
      <c r="BKA55" s="389"/>
      <c r="BKB55" s="389"/>
      <c r="BKK55" s="389"/>
      <c r="BKL55" s="389"/>
      <c r="BKU55" s="389"/>
      <c r="BKV55" s="389"/>
      <c r="BLE55" s="389"/>
      <c r="BLF55" s="389"/>
      <c r="BLO55" s="389"/>
      <c r="BLP55" s="389"/>
      <c r="BLY55" s="389"/>
      <c r="BLZ55" s="389"/>
      <c r="BMI55" s="389"/>
      <c r="BMJ55" s="389"/>
      <c r="BMS55" s="389"/>
      <c r="BMT55" s="389"/>
      <c r="BNC55" s="389"/>
      <c r="BND55" s="389"/>
      <c r="BNM55" s="389"/>
      <c r="BNN55" s="389"/>
      <c r="BNW55" s="389"/>
      <c r="BNX55" s="389"/>
      <c r="BOG55" s="389"/>
      <c r="BOH55" s="389"/>
      <c r="BOQ55" s="389"/>
      <c r="BOR55" s="389"/>
      <c r="BPA55" s="389"/>
      <c r="BPB55" s="389"/>
      <c r="BPK55" s="389"/>
      <c r="BPL55" s="389"/>
      <c r="BPU55" s="389"/>
      <c r="BPV55" s="389"/>
      <c r="BQE55" s="389"/>
      <c r="BQF55" s="389"/>
      <c r="BQO55" s="389"/>
      <c r="BQP55" s="389"/>
      <c r="BQY55" s="389"/>
      <c r="BQZ55" s="389"/>
      <c r="BRI55" s="389"/>
      <c r="BRJ55" s="389"/>
      <c r="BRS55" s="389"/>
      <c r="BRT55" s="389"/>
      <c r="BSC55" s="389"/>
      <c r="BSD55" s="389"/>
      <c r="BSM55" s="389"/>
      <c r="BSN55" s="389"/>
      <c r="BSW55" s="389"/>
      <c r="BSX55" s="389"/>
      <c r="BTG55" s="389"/>
      <c r="BTH55" s="389"/>
      <c r="BTQ55" s="389"/>
      <c r="BTR55" s="389"/>
      <c r="BUA55" s="389"/>
      <c r="BUB55" s="389"/>
      <c r="BUK55" s="389"/>
      <c r="BUL55" s="389"/>
      <c r="BUU55" s="389"/>
      <c r="BUV55" s="389"/>
      <c r="BVE55" s="389"/>
      <c r="BVF55" s="389"/>
      <c r="BVO55" s="389"/>
      <c r="BVP55" s="389"/>
      <c r="BVY55" s="389"/>
      <c r="BVZ55" s="389"/>
      <c r="BWI55" s="389"/>
      <c r="BWJ55" s="389"/>
      <c r="BWS55" s="389"/>
      <c r="BWT55" s="389"/>
      <c r="BXC55" s="389"/>
      <c r="BXD55" s="389"/>
      <c r="BXM55" s="389"/>
      <c r="BXN55" s="389"/>
      <c r="BXW55" s="389"/>
      <c r="BXX55" s="389"/>
      <c r="BYG55" s="389"/>
      <c r="BYH55" s="389"/>
      <c r="BYQ55" s="389"/>
      <c r="BYR55" s="389"/>
      <c r="BZA55" s="389"/>
      <c r="BZB55" s="389"/>
      <c r="BZK55" s="389"/>
      <c r="BZL55" s="389"/>
      <c r="BZU55" s="389"/>
      <c r="BZV55" s="389"/>
      <c r="CAE55" s="389"/>
      <c r="CAF55" s="389"/>
      <c r="CAO55" s="389"/>
      <c r="CAP55" s="389"/>
      <c r="CAY55" s="389"/>
      <c r="CAZ55" s="389"/>
      <c r="CBI55" s="389"/>
      <c r="CBJ55" s="389"/>
      <c r="CBS55" s="389"/>
      <c r="CBT55" s="389"/>
      <c r="CCC55" s="389"/>
      <c r="CCD55" s="389"/>
      <c r="CCM55" s="389"/>
      <c r="CCN55" s="389"/>
      <c r="CCW55" s="389"/>
      <c r="CCX55" s="389"/>
      <c r="CDG55" s="389"/>
      <c r="CDH55" s="389"/>
      <c r="CDQ55" s="389"/>
      <c r="CDR55" s="389"/>
      <c r="CEA55" s="389"/>
      <c r="CEB55" s="389"/>
      <c r="CEK55" s="389"/>
      <c r="CEL55" s="389"/>
      <c r="CEU55" s="389"/>
      <c r="CEV55" s="389"/>
      <c r="CFE55" s="389"/>
      <c r="CFF55" s="389"/>
      <c r="CFO55" s="389"/>
      <c r="CFP55" s="389"/>
      <c r="CFY55" s="389"/>
      <c r="CFZ55" s="389"/>
      <c r="CGI55" s="389"/>
      <c r="CGJ55" s="389"/>
      <c r="CGS55" s="389"/>
      <c r="CGT55" s="389"/>
      <c r="CHC55" s="389"/>
      <c r="CHD55" s="389"/>
      <c r="CHM55" s="389"/>
      <c r="CHN55" s="389"/>
      <c r="CHW55" s="389"/>
      <c r="CHX55" s="389"/>
      <c r="CIG55" s="389"/>
      <c r="CIH55" s="389"/>
      <c r="CIQ55" s="389"/>
      <c r="CIR55" s="389"/>
      <c r="CJA55" s="389"/>
      <c r="CJB55" s="389"/>
      <c r="CJK55" s="389"/>
      <c r="CJL55" s="389"/>
      <c r="CJU55" s="389"/>
      <c r="CJV55" s="389"/>
      <c r="CKE55" s="389"/>
      <c r="CKF55" s="389"/>
      <c r="CKO55" s="389"/>
      <c r="CKP55" s="389"/>
      <c r="CKY55" s="389"/>
      <c r="CKZ55" s="389"/>
      <c r="CLI55" s="389"/>
      <c r="CLJ55" s="389"/>
      <c r="CLS55" s="389"/>
      <c r="CLT55" s="389"/>
      <c r="CMC55" s="389"/>
      <c r="CMD55" s="389"/>
      <c r="CMM55" s="389"/>
      <c r="CMN55" s="389"/>
      <c r="CMW55" s="389"/>
      <c r="CMX55" s="389"/>
      <c r="CNG55" s="389"/>
      <c r="CNH55" s="389"/>
      <c r="CNQ55" s="389"/>
      <c r="CNR55" s="389"/>
      <c r="COA55" s="389"/>
      <c r="COB55" s="389"/>
      <c r="COK55" s="389"/>
      <c r="COL55" s="389"/>
      <c r="COU55" s="389"/>
      <c r="COV55" s="389"/>
      <c r="CPE55" s="389"/>
      <c r="CPF55" s="389"/>
      <c r="CPO55" s="389"/>
      <c r="CPP55" s="389"/>
      <c r="CPY55" s="389"/>
      <c r="CPZ55" s="389"/>
      <c r="CQI55" s="389"/>
      <c r="CQJ55" s="389"/>
      <c r="CQS55" s="389"/>
      <c r="CQT55" s="389"/>
      <c r="CRC55" s="389"/>
      <c r="CRD55" s="389"/>
      <c r="CRM55" s="389"/>
      <c r="CRN55" s="389"/>
      <c r="CRW55" s="389"/>
      <c r="CRX55" s="389"/>
      <c r="CSG55" s="389"/>
      <c r="CSH55" s="389"/>
      <c r="CSQ55" s="389"/>
      <c r="CSR55" s="389"/>
      <c r="CTA55" s="389"/>
      <c r="CTB55" s="389"/>
      <c r="CTK55" s="389"/>
      <c r="CTL55" s="389"/>
      <c r="CTU55" s="389"/>
      <c r="CTV55" s="389"/>
      <c r="CUE55" s="389"/>
      <c r="CUF55" s="389"/>
      <c r="CUO55" s="389"/>
      <c r="CUP55" s="389"/>
      <c r="CUY55" s="389"/>
      <c r="CUZ55" s="389"/>
      <c r="CVI55" s="389"/>
      <c r="CVJ55" s="389"/>
      <c r="CVS55" s="389"/>
      <c r="CVT55" s="389"/>
      <c r="CWC55" s="389"/>
      <c r="CWD55" s="389"/>
      <c r="CWM55" s="389"/>
      <c r="CWN55" s="389"/>
      <c r="CWW55" s="389"/>
      <c r="CWX55" s="389"/>
      <c r="CXG55" s="389"/>
      <c r="CXH55" s="389"/>
      <c r="CXQ55" s="389"/>
      <c r="CXR55" s="389"/>
      <c r="CYA55" s="389"/>
      <c r="CYB55" s="389"/>
      <c r="CYK55" s="389"/>
      <c r="CYL55" s="389"/>
      <c r="CYU55" s="389"/>
      <c r="CYV55" s="389"/>
      <c r="CZE55" s="389"/>
      <c r="CZF55" s="389"/>
      <c r="CZO55" s="389"/>
      <c r="CZP55" s="389"/>
      <c r="CZY55" s="389"/>
      <c r="CZZ55" s="389"/>
      <c r="DAI55" s="389"/>
      <c r="DAJ55" s="389"/>
      <c r="DAS55" s="389"/>
      <c r="DAT55" s="389"/>
      <c r="DBC55" s="389"/>
      <c r="DBD55" s="389"/>
      <c r="DBM55" s="389"/>
      <c r="DBN55" s="389"/>
      <c r="DBW55" s="389"/>
      <c r="DBX55" s="389"/>
      <c r="DCG55" s="389"/>
      <c r="DCH55" s="389"/>
      <c r="DCQ55" s="389"/>
      <c r="DCR55" s="389"/>
      <c r="DDA55" s="389"/>
      <c r="DDB55" s="389"/>
      <c r="DDK55" s="389"/>
      <c r="DDL55" s="389"/>
      <c r="DDU55" s="389"/>
      <c r="DDV55" s="389"/>
      <c r="DEE55" s="389"/>
      <c r="DEF55" s="389"/>
      <c r="DEO55" s="389"/>
      <c r="DEP55" s="389"/>
      <c r="DEY55" s="389"/>
      <c r="DEZ55" s="389"/>
      <c r="DFI55" s="389"/>
      <c r="DFJ55" s="389"/>
      <c r="DFS55" s="389"/>
      <c r="DFT55" s="389"/>
      <c r="DGC55" s="389"/>
      <c r="DGD55" s="389"/>
      <c r="DGM55" s="389"/>
      <c r="DGN55" s="389"/>
      <c r="DGW55" s="389"/>
      <c r="DGX55" s="389"/>
      <c r="DHG55" s="389"/>
      <c r="DHH55" s="389"/>
      <c r="DHQ55" s="389"/>
      <c r="DHR55" s="389"/>
      <c r="DIA55" s="389"/>
      <c r="DIB55" s="389"/>
      <c r="DIK55" s="389"/>
      <c r="DIL55" s="389"/>
      <c r="DIU55" s="389"/>
      <c r="DIV55" s="389"/>
      <c r="DJE55" s="389"/>
      <c r="DJF55" s="389"/>
      <c r="DJO55" s="389"/>
      <c r="DJP55" s="389"/>
      <c r="DJY55" s="389"/>
      <c r="DJZ55" s="389"/>
      <c r="DKI55" s="389"/>
      <c r="DKJ55" s="389"/>
      <c r="DKS55" s="389"/>
      <c r="DKT55" s="389"/>
      <c r="DLC55" s="389"/>
      <c r="DLD55" s="389"/>
      <c r="DLM55" s="389"/>
      <c r="DLN55" s="389"/>
      <c r="DLW55" s="389"/>
      <c r="DLX55" s="389"/>
      <c r="DMG55" s="389"/>
      <c r="DMH55" s="389"/>
      <c r="DMQ55" s="389"/>
      <c r="DMR55" s="389"/>
      <c r="DNA55" s="389"/>
      <c r="DNB55" s="389"/>
      <c r="DNK55" s="389"/>
      <c r="DNL55" s="389"/>
      <c r="DNU55" s="389"/>
      <c r="DNV55" s="389"/>
      <c r="DOE55" s="389"/>
      <c r="DOF55" s="389"/>
      <c r="DOO55" s="389"/>
      <c r="DOP55" s="389"/>
      <c r="DOY55" s="389"/>
      <c r="DOZ55" s="389"/>
      <c r="DPI55" s="389"/>
      <c r="DPJ55" s="389"/>
      <c r="DPS55" s="389"/>
      <c r="DPT55" s="389"/>
      <c r="DQC55" s="389"/>
      <c r="DQD55" s="389"/>
      <c r="DQM55" s="389"/>
      <c r="DQN55" s="389"/>
      <c r="DQW55" s="389"/>
      <c r="DQX55" s="389"/>
      <c r="DRG55" s="389"/>
      <c r="DRH55" s="389"/>
      <c r="DRQ55" s="389"/>
      <c r="DRR55" s="389"/>
      <c r="DSA55" s="389"/>
      <c r="DSB55" s="389"/>
      <c r="DSK55" s="389"/>
      <c r="DSL55" s="389"/>
      <c r="DSU55" s="389"/>
      <c r="DSV55" s="389"/>
      <c r="DTE55" s="389"/>
      <c r="DTF55" s="389"/>
      <c r="DTO55" s="389"/>
      <c r="DTP55" s="389"/>
      <c r="DTY55" s="389"/>
      <c r="DTZ55" s="389"/>
      <c r="DUI55" s="389"/>
      <c r="DUJ55" s="389"/>
      <c r="DUS55" s="389"/>
      <c r="DUT55" s="389"/>
      <c r="DVC55" s="389"/>
      <c r="DVD55" s="389"/>
      <c r="DVM55" s="389"/>
      <c r="DVN55" s="389"/>
      <c r="DVW55" s="389"/>
      <c r="DVX55" s="389"/>
      <c r="DWG55" s="389"/>
      <c r="DWH55" s="389"/>
      <c r="DWQ55" s="389"/>
      <c r="DWR55" s="389"/>
      <c r="DXA55" s="389"/>
      <c r="DXB55" s="389"/>
      <c r="DXK55" s="389"/>
      <c r="DXL55" s="389"/>
      <c r="DXU55" s="389"/>
      <c r="DXV55" s="389"/>
      <c r="DYE55" s="389"/>
      <c r="DYF55" s="389"/>
      <c r="DYO55" s="389"/>
      <c r="DYP55" s="389"/>
      <c r="DYY55" s="389"/>
      <c r="DYZ55" s="389"/>
      <c r="DZI55" s="389"/>
      <c r="DZJ55" s="389"/>
      <c r="DZS55" s="389"/>
      <c r="DZT55" s="389"/>
      <c r="EAC55" s="389"/>
      <c r="EAD55" s="389"/>
      <c r="EAM55" s="389"/>
      <c r="EAN55" s="389"/>
      <c r="EAW55" s="389"/>
      <c r="EAX55" s="389"/>
      <c r="EBG55" s="389"/>
      <c r="EBH55" s="389"/>
      <c r="EBQ55" s="389"/>
      <c r="EBR55" s="389"/>
      <c r="ECA55" s="389"/>
      <c r="ECB55" s="389"/>
      <c r="ECK55" s="389"/>
      <c r="ECL55" s="389"/>
      <c r="ECU55" s="389"/>
      <c r="ECV55" s="389"/>
      <c r="EDE55" s="389"/>
      <c r="EDF55" s="389"/>
      <c r="EDO55" s="389"/>
      <c r="EDP55" s="389"/>
      <c r="EDY55" s="389"/>
      <c r="EDZ55" s="389"/>
      <c r="EEI55" s="389"/>
      <c r="EEJ55" s="389"/>
      <c r="EES55" s="389"/>
      <c r="EET55" s="389"/>
      <c r="EFC55" s="389"/>
      <c r="EFD55" s="389"/>
      <c r="EFM55" s="389"/>
      <c r="EFN55" s="389"/>
      <c r="EFW55" s="389"/>
      <c r="EFX55" s="389"/>
      <c r="EGG55" s="389"/>
      <c r="EGH55" s="389"/>
      <c r="EGQ55" s="389"/>
      <c r="EGR55" s="389"/>
      <c r="EHA55" s="389"/>
      <c r="EHB55" s="389"/>
      <c r="EHK55" s="389"/>
      <c r="EHL55" s="389"/>
      <c r="EHU55" s="389"/>
      <c r="EHV55" s="389"/>
      <c r="EIE55" s="389"/>
      <c r="EIF55" s="389"/>
      <c r="EIO55" s="389"/>
      <c r="EIP55" s="389"/>
      <c r="EIY55" s="389"/>
      <c r="EIZ55" s="389"/>
      <c r="EJI55" s="389"/>
      <c r="EJJ55" s="389"/>
      <c r="EJS55" s="389"/>
      <c r="EJT55" s="389"/>
      <c r="EKC55" s="389"/>
      <c r="EKD55" s="389"/>
      <c r="EKM55" s="389"/>
      <c r="EKN55" s="389"/>
      <c r="EKW55" s="389"/>
      <c r="EKX55" s="389"/>
      <c r="ELG55" s="389"/>
      <c r="ELH55" s="389"/>
      <c r="ELQ55" s="389"/>
      <c r="ELR55" s="389"/>
      <c r="EMA55" s="389"/>
      <c r="EMB55" s="389"/>
      <c r="EMK55" s="389"/>
      <c r="EML55" s="389"/>
      <c r="EMU55" s="389"/>
      <c r="EMV55" s="389"/>
      <c r="ENE55" s="389"/>
      <c r="ENF55" s="389"/>
      <c r="ENO55" s="389"/>
      <c r="ENP55" s="389"/>
      <c r="ENY55" s="389"/>
      <c r="ENZ55" s="389"/>
      <c r="EOI55" s="389"/>
      <c r="EOJ55" s="389"/>
      <c r="EOS55" s="389"/>
      <c r="EOT55" s="389"/>
      <c r="EPC55" s="389"/>
      <c r="EPD55" s="389"/>
      <c r="EPM55" s="389"/>
      <c r="EPN55" s="389"/>
      <c r="EPW55" s="389"/>
      <c r="EPX55" s="389"/>
      <c r="EQG55" s="389"/>
      <c r="EQH55" s="389"/>
      <c r="EQQ55" s="389"/>
      <c r="EQR55" s="389"/>
      <c r="ERA55" s="389"/>
      <c r="ERB55" s="389"/>
      <c r="ERK55" s="389"/>
      <c r="ERL55" s="389"/>
      <c r="ERU55" s="389"/>
      <c r="ERV55" s="389"/>
      <c r="ESE55" s="389"/>
      <c r="ESF55" s="389"/>
      <c r="ESO55" s="389"/>
      <c r="ESP55" s="389"/>
      <c r="ESY55" s="389"/>
      <c r="ESZ55" s="389"/>
      <c r="ETI55" s="389"/>
      <c r="ETJ55" s="389"/>
      <c r="ETS55" s="389"/>
      <c r="ETT55" s="389"/>
      <c r="EUC55" s="389"/>
      <c r="EUD55" s="389"/>
      <c r="EUM55" s="389"/>
      <c r="EUN55" s="389"/>
      <c r="EUW55" s="389"/>
      <c r="EUX55" s="389"/>
      <c r="EVG55" s="389"/>
      <c r="EVH55" s="389"/>
      <c r="EVQ55" s="389"/>
      <c r="EVR55" s="389"/>
      <c r="EWA55" s="389"/>
      <c r="EWB55" s="389"/>
      <c r="EWK55" s="389"/>
      <c r="EWL55" s="389"/>
      <c r="EWU55" s="389"/>
      <c r="EWV55" s="389"/>
      <c r="EXE55" s="389"/>
      <c r="EXF55" s="389"/>
      <c r="EXO55" s="389"/>
      <c r="EXP55" s="389"/>
      <c r="EXY55" s="389"/>
      <c r="EXZ55" s="389"/>
      <c r="EYI55" s="389"/>
      <c r="EYJ55" s="389"/>
      <c r="EYS55" s="389"/>
      <c r="EYT55" s="389"/>
      <c r="EZC55" s="389"/>
      <c r="EZD55" s="389"/>
      <c r="EZM55" s="389"/>
      <c r="EZN55" s="389"/>
      <c r="EZW55" s="389"/>
      <c r="EZX55" s="389"/>
      <c r="FAG55" s="389"/>
      <c r="FAH55" s="389"/>
      <c r="FAQ55" s="389"/>
      <c r="FAR55" s="389"/>
      <c r="FBA55" s="389"/>
      <c r="FBB55" s="389"/>
      <c r="FBK55" s="389"/>
      <c r="FBL55" s="389"/>
      <c r="FBU55" s="389"/>
      <c r="FBV55" s="389"/>
      <c r="FCE55" s="389"/>
      <c r="FCF55" s="389"/>
      <c r="FCO55" s="389"/>
      <c r="FCP55" s="389"/>
      <c r="FCY55" s="389"/>
      <c r="FCZ55" s="389"/>
      <c r="FDI55" s="389"/>
      <c r="FDJ55" s="389"/>
      <c r="FDS55" s="389"/>
      <c r="FDT55" s="389"/>
      <c r="FEC55" s="389"/>
      <c r="FED55" s="389"/>
      <c r="FEM55" s="389"/>
      <c r="FEN55" s="389"/>
      <c r="FEW55" s="389"/>
      <c r="FEX55" s="389"/>
      <c r="FFG55" s="389"/>
      <c r="FFH55" s="389"/>
      <c r="FFQ55" s="389"/>
      <c r="FFR55" s="389"/>
      <c r="FGA55" s="389"/>
      <c r="FGB55" s="389"/>
      <c r="FGK55" s="389"/>
      <c r="FGL55" s="389"/>
      <c r="FGU55" s="389"/>
      <c r="FGV55" s="389"/>
      <c r="FHE55" s="389"/>
      <c r="FHF55" s="389"/>
      <c r="FHO55" s="389"/>
      <c r="FHP55" s="389"/>
      <c r="FHY55" s="389"/>
      <c r="FHZ55" s="389"/>
      <c r="FII55" s="389"/>
      <c r="FIJ55" s="389"/>
      <c r="FIS55" s="389"/>
      <c r="FIT55" s="389"/>
      <c r="FJC55" s="389"/>
      <c r="FJD55" s="389"/>
      <c r="FJM55" s="389"/>
      <c r="FJN55" s="389"/>
      <c r="FJW55" s="389"/>
      <c r="FJX55" s="389"/>
      <c r="FKG55" s="389"/>
      <c r="FKH55" s="389"/>
      <c r="FKQ55" s="389"/>
      <c r="FKR55" s="389"/>
      <c r="FLA55" s="389"/>
      <c r="FLB55" s="389"/>
      <c r="FLK55" s="389"/>
      <c r="FLL55" s="389"/>
      <c r="FLU55" s="389"/>
      <c r="FLV55" s="389"/>
      <c r="FME55" s="389"/>
      <c r="FMF55" s="389"/>
      <c r="FMO55" s="389"/>
      <c r="FMP55" s="389"/>
      <c r="FMY55" s="389"/>
      <c r="FMZ55" s="389"/>
      <c r="FNI55" s="389"/>
      <c r="FNJ55" s="389"/>
      <c r="FNS55" s="389"/>
      <c r="FNT55" s="389"/>
      <c r="FOC55" s="389"/>
      <c r="FOD55" s="389"/>
      <c r="FOM55" s="389"/>
      <c r="FON55" s="389"/>
      <c r="FOW55" s="389"/>
      <c r="FOX55" s="389"/>
      <c r="FPG55" s="389"/>
      <c r="FPH55" s="389"/>
      <c r="FPQ55" s="389"/>
      <c r="FPR55" s="389"/>
      <c r="FQA55" s="389"/>
      <c r="FQB55" s="389"/>
      <c r="FQK55" s="389"/>
      <c r="FQL55" s="389"/>
      <c r="FQU55" s="389"/>
      <c r="FQV55" s="389"/>
      <c r="FRE55" s="389"/>
      <c r="FRF55" s="389"/>
      <c r="FRO55" s="389"/>
      <c r="FRP55" s="389"/>
      <c r="FRY55" s="389"/>
      <c r="FRZ55" s="389"/>
      <c r="FSI55" s="389"/>
      <c r="FSJ55" s="389"/>
      <c r="FSS55" s="389"/>
      <c r="FST55" s="389"/>
      <c r="FTC55" s="389"/>
      <c r="FTD55" s="389"/>
      <c r="FTM55" s="389"/>
      <c r="FTN55" s="389"/>
      <c r="FTW55" s="389"/>
      <c r="FTX55" s="389"/>
      <c r="FUG55" s="389"/>
      <c r="FUH55" s="389"/>
      <c r="FUQ55" s="389"/>
      <c r="FUR55" s="389"/>
      <c r="FVA55" s="389"/>
      <c r="FVB55" s="389"/>
      <c r="FVK55" s="389"/>
      <c r="FVL55" s="389"/>
      <c r="FVU55" s="389"/>
      <c r="FVV55" s="389"/>
      <c r="FWE55" s="389"/>
      <c r="FWF55" s="389"/>
      <c r="FWO55" s="389"/>
      <c r="FWP55" s="389"/>
      <c r="FWY55" s="389"/>
      <c r="FWZ55" s="389"/>
      <c r="FXI55" s="389"/>
      <c r="FXJ55" s="389"/>
      <c r="FXS55" s="389"/>
      <c r="FXT55" s="389"/>
      <c r="FYC55" s="389"/>
      <c r="FYD55" s="389"/>
      <c r="FYM55" s="389"/>
      <c r="FYN55" s="389"/>
      <c r="FYW55" s="389"/>
      <c r="FYX55" s="389"/>
      <c r="FZG55" s="389"/>
      <c r="FZH55" s="389"/>
      <c r="FZQ55" s="389"/>
      <c r="FZR55" s="389"/>
      <c r="GAA55" s="389"/>
      <c r="GAB55" s="389"/>
      <c r="GAK55" s="389"/>
      <c r="GAL55" s="389"/>
      <c r="GAU55" s="389"/>
      <c r="GAV55" s="389"/>
      <c r="GBE55" s="389"/>
      <c r="GBF55" s="389"/>
      <c r="GBO55" s="389"/>
      <c r="GBP55" s="389"/>
      <c r="GBY55" s="389"/>
      <c r="GBZ55" s="389"/>
      <c r="GCI55" s="389"/>
      <c r="GCJ55" s="389"/>
      <c r="GCS55" s="389"/>
      <c r="GCT55" s="389"/>
      <c r="GDC55" s="389"/>
      <c r="GDD55" s="389"/>
      <c r="GDM55" s="389"/>
      <c r="GDN55" s="389"/>
      <c r="GDW55" s="389"/>
      <c r="GDX55" s="389"/>
      <c r="GEG55" s="389"/>
      <c r="GEH55" s="389"/>
      <c r="GEQ55" s="389"/>
      <c r="GER55" s="389"/>
      <c r="GFA55" s="389"/>
      <c r="GFB55" s="389"/>
      <c r="GFK55" s="389"/>
      <c r="GFL55" s="389"/>
      <c r="GFU55" s="389"/>
      <c r="GFV55" s="389"/>
      <c r="GGE55" s="389"/>
      <c r="GGF55" s="389"/>
      <c r="GGO55" s="389"/>
      <c r="GGP55" s="389"/>
      <c r="GGY55" s="389"/>
      <c r="GGZ55" s="389"/>
      <c r="GHI55" s="389"/>
      <c r="GHJ55" s="389"/>
      <c r="GHS55" s="389"/>
      <c r="GHT55" s="389"/>
      <c r="GIC55" s="389"/>
      <c r="GID55" s="389"/>
      <c r="GIM55" s="389"/>
      <c r="GIN55" s="389"/>
      <c r="GIW55" s="389"/>
      <c r="GIX55" s="389"/>
      <c r="GJG55" s="389"/>
      <c r="GJH55" s="389"/>
      <c r="GJQ55" s="389"/>
      <c r="GJR55" s="389"/>
      <c r="GKA55" s="389"/>
      <c r="GKB55" s="389"/>
      <c r="GKK55" s="389"/>
      <c r="GKL55" s="389"/>
      <c r="GKU55" s="389"/>
      <c r="GKV55" s="389"/>
      <c r="GLE55" s="389"/>
      <c r="GLF55" s="389"/>
      <c r="GLO55" s="389"/>
      <c r="GLP55" s="389"/>
      <c r="GLY55" s="389"/>
      <c r="GLZ55" s="389"/>
      <c r="GMI55" s="389"/>
      <c r="GMJ55" s="389"/>
      <c r="GMS55" s="389"/>
      <c r="GMT55" s="389"/>
      <c r="GNC55" s="389"/>
      <c r="GND55" s="389"/>
      <c r="GNM55" s="389"/>
      <c r="GNN55" s="389"/>
      <c r="GNW55" s="389"/>
      <c r="GNX55" s="389"/>
      <c r="GOG55" s="389"/>
      <c r="GOH55" s="389"/>
      <c r="GOQ55" s="389"/>
      <c r="GOR55" s="389"/>
      <c r="GPA55" s="389"/>
      <c r="GPB55" s="389"/>
      <c r="GPK55" s="389"/>
      <c r="GPL55" s="389"/>
      <c r="GPU55" s="389"/>
      <c r="GPV55" s="389"/>
      <c r="GQE55" s="389"/>
      <c r="GQF55" s="389"/>
      <c r="GQO55" s="389"/>
      <c r="GQP55" s="389"/>
      <c r="GQY55" s="389"/>
      <c r="GQZ55" s="389"/>
      <c r="GRI55" s="389"/>
      <c r="GRJ55" s="389"/>
      <c r="GRS55" s="389"/>
      <c r="GRT55" s="389"/>
      <c r="GSC55" s="389"/>
      <c r="GSD55" s="389"/>
      <c r="GSM55" s="389"/>
      <c r="GSN55" s="389"/>
      <c r="GSW55" s="389"/>
      <c r="GSX55" s="389"/>
      <c r="GTG55" s="389"/>
      <c r="GTH55" s="389"/>
      <c r="GTQ55" s="389"/>
      <c r="GTR55" s="389"/>
      <c r="GUA55" s="389"/>
      <c r="GUB55" s="389"/>
      <c r="GUK55" s="389"/>
      <c r="GUL55" s="389"/>
      <c r="GUU55" s="389"/>
      <c r="GUV55" s="389"/>
      <c r="GVE55" s="389"/>
      <c r="GVF55" s="389"/>
      <c r="GVO55" s="389"/>
      <c r="GVP55" s="389"/>
      <c r="GVY55" s="389"/>
      <c r="GVZ55" s="389"/>
      <c r="GWI55" s="389"/>
      <c r="GWJ55" s="389"/>
      <c r="GWS55" s="389"/>
      <c r="GWT55" s="389"/>
      <c r="GXC55" s="389"/>
      <c r="GXD55" s="389"/>
      <c r="GXM55" s="389"/>
      <c r="GXN55" s="389"/>
      <c r="GXW55" s="389"/>
      <c r="GXX55" s="389"/>
      <c r="GYG55" s="389"/>
      <c r="GYH55" s="389"/>
      <c r="GYQ55" s="389"/>
      <c r="GYR55" s="389"/>
      <c r="GZA55" s="389"/>
      <c r="GZB55" s="389"/>
      <c r="GZK55" s="389"/>
      <c r="GZL55" s="389"/>
      <c r="GZU55" s="389"/>
      <c r="GZV55" s="389"/>
      <c r="HAE55" s="389"/>
      <c r="HAF55" s="389"/>
      <c r="HAO55" s="389"/>
      <c r="HAP55" s="389"/>
      <c r="HAY55" s="389"/>
      <c r="HAZ55" s="389"/>
      <c r="HBI55" s="389"/>
      <c r="HBJ55" s="389"/>
      <c r="HBS55" s="389"/>
      <c r="HBT55" s="389"/>
      <c r="HCC55" s="389"/>
      <c r="HCD55" s="389"/>
      <c r="HCM55" s="389"/>
      <c r="HCN55" s="389"/>
      <c r="HCW55" s="389"/>
      <c r="HCX55" s="389"/>
      <c r="HDG55" s="389"/>
      <c r="HDH55" s="389"/>
      <c r="HDQ55" s="389"/>
      <c r="HDR55" s="389"/>
      <c r="HEA55" s="389"/>
      <c r="HEB55" s="389"/>
      <c r="HEK55" s="389"/>
      <c r="HEL55" s="389"/>
      <c r="HEU55" s="389"/>
      <c r="HEV55" s="389"/>
      <c r="HFE55" s="389"/>
      <c r="HFF55" s="389"/>
      <c r="HFO55" s="389"/>
      <c r="HFP55" s="389"/>
      <c r="HFY55" s="389"/>
      <c r="HFZ55" s="389"/>
      <c r="HGI55" s="389"/>
      <c r="HGJ55" s="389"/>
      <c r="HGS55" s="389"/>
      <c r="HGT55" s="389"/>
      <c r="HHC55" s="389"/>
      <c r="HHD55" s="389"/>
      <c r="HHM55" s="389"/>
      <c r="HHN55" s="389"/>
      <c r="HHW55" s="389"/>
      <c r="HHX55" s="389"/>
      <c r="HIG55" s="389"/>
      <c r="HIH55" s="389"/>
      <c r="HIQ55" s="389"/>
      <c r="HIR55" s="389"/>
      <c r="HJA55" s="389"/>
      <c r="HJB55" s="389"/>
      <c r="HJK55" s="389"/>
      <c r="HJL55" s="389"/>
      <c r="HJU55" s="389"/>
      <c r="HJV55" s="389"/>
      <c r="HKE55" s="389"/>
      <c r="HKF55" s="389"/>
      <c r="HKO55" s="389"/>
      <c r="HKP55" s="389"/>
      <c r="HKY55" s="389"/>
      <c r="HKZ55" s="389"/>
      <c r="HLI55" s="389"/>
      <c r="HLJ55" s="389"/>
      <c r="HLS55" s="389"/>
      <c r="HLT55" s="389"/>
      <c r="HMC55" s="389"/>
      <c r="HMD55" s="389"/>
      <c r="HMM55" s="389"/>
      <c r="HMN55" s="389"/>
      <c r="HMW55" s="389"/>
      <c r="HMX55" s="389"/>
      <c r="HNG55" s="389"/>
      <c r="HNH55" s="389"/>
      <c r="HNQ55" s="389"/>
      <c r="HNR55" s="389"/>
      <c r="HOA55" s="389"/>
      <c r="HOB55" s="389"/>
      <c r="HOK55" s="389"/>
      <c r="HOL55" s="389"/>
      <c r="HOU55" s="389"/>
      <c r="HOV55" s="389"/>
      <c r="HPE55" s="389"/>
      <c r="HPF55" s="389"/>
      <c r="HPO55" s="389"/>
      <c r="HPP55" s="389"/>
      <c r="HPY55" s="389"/>
      <c r="HPZ55" s="389"/>
      <c r="HQI55" s="389"/>
      <c r="HQJ55" s="389"/>
      <c r="HQS55" s="389"/>
      <c r="HQT55" s="389"/>
      <c r="HRC55" s="389"/>
      <c r="HRD55" s="389"/>
      <c r="HRM55" s="389"/>
      <c r="HRN55" s="389"/>
      <c r="HRW55" s="389"/>
      <c r="HRX55" s="389"/>
      <c r="HSG55" s="389"/>
      <c r="HSH55" s="389"/>
      <c r="HSQ55" s="389"/>
      <c r="HSR55" s="389"/>
      <c r="HTA55" s="389"/>
      <c r="HTB55" s="389"/>
      <c r="HTK55" s="389"/>
      <c r="HTL55" s="389"/>
      <c r="HTU55" s="389"/>
      <c r="HTV55" s="389"/>
      <c r="HUE55" s="389"/>
      <c r="HUF55" s="389"/>
      <c r="HUO55" s="389"/>
      <c r="HUP55" s="389"/>
      <c r="HUY55" s="389"/>
      <c r="HUZ55" s="389"/>
      <c r="HVI55" s="389"/>
      <c r="HVJ55" s="389"/>
      <c r="HVS55" s="389"/>
      <c r="HVT55" s="389"/>
      <c r="HWC55" s="389"/>
      <c r="HWD55" s="389"/>
      <c r="HWM55" s="389"/>
      <c r="HWN55" s="389"/>
      <c r="HWW55" s="389"/>
      <c r="HWX55" s="389"/>
      <c r="HXG55" s="389"/>
      <c r="HXH55" s="389"/>
      <c r="HXQ55" s="389"/>
      <c r="HXR55" s="389"/>
      <c r="HYA55" s="389"/>
      <c r="HYB55" s="389"/>
      <c r="HYK55" s="389"/>
      <c r="HYL55" s="389"/>
      <c r="HYU55" s="389"/>
      <c r="HYV55" s="389"/>
      <c r="HZE55" s="389"/>
      <c r="HZF55" s="389"/>
      <c r="HZO55" s="389"/>
      <c r="HZP55" s="389"/>
      <c r="HZY55" s="389"/>
      <c r="HZZ55" s="389"/>
      <c r="IAI55" s="389"/>
      <c r="IAJ55" s="389"/>
      <c r="IAS55" s="389"/>
      <c r="IAT55" s="389"/>
      <c r="IBC55" s="389"/>
      <c r="IBD55" s="389"/>
      <c r="IBM55" s="389"/>
      <c r="IBN55" s="389"/>
      <c r="IBW55" s="389"/>
      <c r="IBX55" s="389"/>
      <c r="ICG55" s="389"/>
      <c r="ICH55" s="389"/>
      <c r="ICQ55" s="389"/>
      <c r="ICR55" s="389"/>
      <c r="IDA55" s="389"/>
      <c r="IDB55" s="389"/>
      <c r="IDK55" s="389"/>
      <c r="IDL55" s="389"/>
      <c r="IDU55" s="389"/>
      <c r="IDV55" s="389"/>
      <c r="IEE55" s="389"/>
      <c r="IEF55" s="389"/>
      <c r="IEO55" s="389"/>
      <c r="IEP55" s="389"/>
      <c r="IEY55" s="389"/>
      <c r="IEZ55" s="389"/>
      <c r="IFI55" s="389"/>
      <c r="IFJ55" s="389"/>
      <c r="IFS55" s="389"/>
      <c r="IFT55" s="389"/>
      <c r="IGC55" s="389"/>
      <c r="IGD55" s="389"/>
      <c r="IGM55" s="389"/>
      <c r="IGN55" s="389"/>
      <c r="IGW55" s="389"/>
      <c r="IGX55" s="389"/>
      <c r="IHG55" s="389"/>
      <c r="IHH55" s="389"/>
      <c r="IHQ55" s="389"/>
      <c r="IHR55" s="389"/>
      <c r="IIA55" s="389"/>
      <c r="IIB55" s="389"/>
      <c r="IIK55" s="389"/>
      <c r="IIL55" s="389"/>
      <c r="IIU55" s="389"/>
      <c r="IIV55" s="389"/>
      <c r="IJE55" s="389"/>
      <c r="IJF55" s="389"/>
      <c r="IJO55" s="389"/>
      <c r="IJP55" s="389"/>
      <c r="IJY55" s="389"/>
      <c r="IJZ55" s="389"/>
      <c r="IKI55" s="389"/>
      <c r="IKJ55" s="389"/>
      <c r="IKS55" s="389"/>
      <c r="IKT55" s="389"/>
      <c r="ILC55" s="389"/>
      <c r="ILD55" s="389"/>
      <c r="ILM55" s="389"/>
      <c r="ILN55" s="389"/>
      <c r="ILW55" s="389"/>
      <c r="ILX55" s="389"/>
      <c r="IMG55" s="389"/>
      <c r="IMH55" s="389"/>
      <c r="IMQ55" s="389"/>
      <c r="IMR55" s="389"/>
      <c r="INA55" s="389"/>
      <c r="INB55" s="389"/>
      <c r="INK55" s="389"/>
      <c r="INL55" s="389"/>
      <c r="INU55" s="389"/>
      <c r="INV55" s="389"/>
      <c r="IOE55" s="389"/>
      <c r="IOF55" s="389"/>
      <c r="IOO55" s="389"/>
      <c r="IOP55" s="389"/>
      <c r="IOY55" s="389"/>
      <c r="IOZ55" s="389"/>
      <c r="IPI55" s="389"/>
      <c r="IPJ55" s="389"/>
      <c r="IPS55" s="389"/>
      <c r="IPT55" s="389"/>
      <c r="IQC55" s="389"/>
      <c r="IQD55" s="389"/>
      <c r="IQM55" s="389"/>
      <c r="IQN55" s="389"/>
      <c r="IQW55" s="389"/>
      <c r="IQX55" s="389"/>
      <c r="IRG55" s="389"/>
      <c r="IRH55" s="389"/>
      <c r="IRQ55" s="389"/>
      <c r="IRR55" s="389"/>
      <c r="ISA55" s="389"/>
      <c r="ISB55" s="389"/>
      <c r="ISK55" s="389"/>
      <c r="ISL55" s="389"/>
      <c r="ISU55" s="389"/>
      <c r="ISV55" s="389"/>
      <c r="ITE55" s="389"/>
      <c r="ITF55" s="389"/>
      <c r="ITO55" s="389"/>
      <c r="ITP55" s="389"/>
      <c r="ITY55" s="389"/>
      <c r="ITZ55" s="389"/>
      <c r="IUI55" s="389"/>
      <c r="IUJ55" s="389"/>
      <c r="IUS55" s="389"/>
      <c r="IUT55" s="389"/>
      <c r="IVC55" s="389"/>
      <c r="IVD55" s="389"/>
      <c r="IVM55" s="389"/>
      <c r="IVN55" s="389"/>
      <c r="IVW55" s="389"/>
      <c r="IVX55" s="389"/>
      <c r="IWG55" s="389"/>
      <c r="IWH55" s="389"/>
      <c r="IWQ55" s="389"/>
      <c r="IWR55" s="389"/>
      <c r="IXA55" s="389"/>
      <c r="IXB55" s="389"/>
      <c r="IXK55" s="389"/>
      <c r="IXL55" s="389"/>
      <c r="IXU55" s="389"/>
      <c r="IXV55" s="389"/>
      <c r="IYE55" s="389"/>
      <c r="IYF55" s="389"/>
      <c r="IYO55" s="389"/>
      <c r="IYP55" s="389"/>
      <c r="IYY55" s="389"/>
      <c r="IYZ55" s="389"/>
      <c r="IZI55" s="389"/>
      <c r="IZJ55" s="389"/>
      <c r="IZS55" s="389"/>
      <c r="IZT55" s="389"/>
      <c r="JAC55" s="389"/>
      <c r="JAD55" s="389"/>
      <c r="JAM55" s="389"/>
      <c r="JAN55" s="389"/>
      <c r="JAW55" s="389"/>
      <c r="JAX55" s="389"/>
      <c r="JBG55" s="389"/>
      <c r="JBH55" s="389"/>
      <c r="JBQ55" s="389"/>
      <c r="JBR55" s="389"/>
      <c r="JCA55" s="389"/>
      <c r="JCB55" s="389"/>
      <c r="JCK55" s="389"/>
      <c r="JCL55" s="389"/>
      <c r="JCU55" s="389"/>
      <c r="JCV55" s="389"/>
      <c r="JDE55" s="389"/>
      <c r="JDF55" s="389"/>
      <c r="JDO55" s="389"/>
      <c r="JDP55" s="389"/>
      <c r="JDY55" s="389"/>
      <c r="JDZ55" s="389"/>
      <c r="JEI55" s="389"/>
      <c r="JEJ55" s="389"/>
      <c r="JES55" s="389"/>
      <c r="JET55" s="389"/>
      <c r="JFC55" s="389"/>
      <c r="JFD55" s="389"/>
      <c r="JFM55" s="389"/>
      <c r="JFN55" s="389"/>
      <c r="JFW55" s="389"/>
      <c r="JFX55" s="389"/>
      <c r="JGG55" s="389"/>
      <c r="JGH55" s="389"/>
      <c r="JGQ55" s="389"/>
      <c r="JGR55" s="389"/>
      <c r="JHA55" s="389"/>
      <c r="JHB55" s="389"/>
      <c r="JHK55" s="389"/>
      <c r="JHL55" s="389"/>
      <c r="JHU55" s="389"/>
      <c r="JHV55" s="389"/>
      <c r="JIE55" s="389"/>
      <c r="JIF55" s="389"/>
      <c r="JIO55" s="389"/>
      <c r="JIP55" s="389"/>
      <c r="JIY55" s="389"/>
      <c r="JIZ55" s="389"/>
      <c r="JJI55" s="389"/>
      <c r="JJJ55" s="389"/>
      <c r="JJS55" s="389"/>
      <c r="JJT55" s="389"/>
      <c r="JKC55" s="389"/>
      <c r="JKD55" s="389"/>
      <c r="JKM55" s="389"/>
      <c r="JKN55" s="389"/>
      <c r="JKW55" s="389"/>
      <c r="JKX55" s="389"/>
      <c r="JLG55" s="389"/>
      <c r="JLH55" s="389"/>
      <c r="JLQ55" s="389"/>
      <c r="JLR55" s="389"/>
      <c r="JMA55" s="389"/>
      <c r="JMB55" s="389"/>
      <c r="JMK55" s="389"/>
      <c r="JML55" s="389"/>
      <c r="JMU55" s="389"/>
      <c r="JMV55" s="389"/>
      <c r="JNE55" s="389"/>
      <c r="JNF55" s="389"/>
      <c r="JNO55" s="389"/>
      <c r="JNP55" s="389"/>
      <c r="JNY55" s="389"/>
      <c r="JNZ55" s="389"/>
      <c r="JOI55" s="389"/>
      <c r="JOJ55" s="389"/>
      <c r="JOS55" s="389"/>
      <c r="JOT55" s="389"/>
      <c r="JPC55" s="389"/>
      <c r="JPD55" s="389"/>
      <c r="JPM55" s="389"/>
      <c r="JPN55" s="389"/>
      <c r="JPW55" s="389"/>
      <c r="JPX55" s="389"/>
      <c r="JQG55" s="389"/>
      <c r="JQH55" s="389"/>
      <c r="JQQ55" s="389"/>
      <c r="JQR55" s="389"/>
      <c r="JRA55" s="389"/>
      <c r="JRB55" s="389"/>
      <c r="JRK55" s="389"/>
      <c r="JRL55" s="389"/>
      <c r="JRU55" s="389"/>
      <c r="JRV55" s="389"/>
      <c r="JSE55" s="389"/>
      <c r="JSF55" s="389"/>
      <c r="JSO55" s="389"/>
      <c r="JSP55" s="389"/>
      <c r="JSY55" s="389"/>
      <c r="JSZ55" s="389"/>
      <c r="JTI55" s="389"/>
      <c r="JTJ55" s="389"/>
      <c r="JTS55" s="389"/>
      <c r="JTT55" s="389"/>
      <c r="JUC55" s="389"/>
      <c r="JUD55" s="389"/>
      <c r="JUM55" s="389"/>
      <c r="JUN55" s="389"/>
      <c r="JUW55" s="389"/>
      <c r="JUX55" s="389"/>
      <c r="JVG55" s="389"/>
      <c r="JVH55" s="389"/>
      <c r="JVQ55" s="389"/>
      <c r="JVR55" s="389"/>
      <c r="JWA55" s="389"/>
      <c r="JWB55" s="389"/>
      <c r="JWK55" s="389"/>
      <c r="JWL55" s="389"/>
      <c r="JWU55" s="389"/>
      <c r="JWV55" s="389"/>
      <c r="JXE55" s="389"/>
      <c r="JXF55" s="389"/>
      <c r="JXO55" s="389"/>
      <c r="JXP55" s="389"/>
      <c r="JXY55" s="389"/>
      <c r="JXZ55" s="389"/>
      <c r="JYI55" s="389"/>
      <c r="JYJ55" s="389"/>
      <c r="JYS55" s="389"/>
      <c r="JYT55" s="389"/>
      <c r="JZC55" s="389"/>
      <c r="JZD55" s="389"/>
      <c r="JZM55" s="389"/>
      <c r="JZN55" s="389"/>
      <c r="JZW55" s="389"/>
      <c r="JZX55" s="389"/>
      <c r="KAG55" s="389"/>
      <c r="KAH55" s="389"/>
      <c r="KAQ55" s="389"/>
      <c r="KAR55" s="389"/>
      <c r="KBA55" s="389"/>
      <c r="KBB55" s="389"/>
      <c r="KBK55" s="389"/>
      <c r="KBL55" s="389"/>
      <c r="KBU55" s="389"/>
      <c r="KBV55" s="389"/>
      <c r="KCE55" s="389"/>
      <c r="KCF55" s="389"/>
      <c r="KCO55" s="389"/>
      <c r="KCP55" s="389"/>
      <c r="KCY55" s="389"/>
      <c r="KCZ55" s="389"/>
      <c r="KDI55" s="389"/>
      <c r="KDJ55" s="389"/>
      <c r="KDS55" s="389"/>
      <c r="KDT55" s="389"/>
      <c r="KEC55" s="389"/>
      <c r="KED55" s="389"/>
      <c r="KEM55" s="389"/>
      <c r="KEN55" s="389"/>
      <c r="KEW55" s="389"/>
      <c r="KEX55" s="389"/>
      <c r="KFG55" s="389"/>
      <c r="KFH55" s="389"/>
      <c r="KFQ55" s="389"/>
      <c r="KFR55" s="389"/>
      <c r="KGA55" s="389"/>
      <c r="KGB55" s="389"/>
      <c r="KGK55" s="389"/>
      <c r="KGL55" s="389"/>
      <c r="KGU55" s="389"/>
      <c r="KGV55" s="389"/>
      <c r="KHE55" s="389"/>
      <c r="KHF55" s="389"/>
      <c r="KHO55" s="389"/>
      <c r="KHP55" s="389"/>
      <c r="KHY55" s="389"/>
      <c r="KHZ55" s="389"/>
      <c r="KII55" s="389"/>
      <c r="KIJ55" s="389"/>
      <c r="KIS55" s="389"/>
      <c r="KIT55" s="389"/>
      <c r="KJC55" s="389"/>
      <c r="KJD55" s="389"/>
      <c r="KJM55" s="389"/>
      <c r="KJN55" s="389"/>
      <c r="KJW55" s="389"/>
      <c r="KJX55" s="389"/>
      <c r="KKG55" s="389"/>
      <c r="KKH55" s="389"/>
      <c r="KKQ55" s="389"/>
      <c r="KKR55" s="389"/>
      <c r="KLA55" s="389"/>
      <c r="KLB55" s="389"/>
      <c r="KLK55" s="389"/>
      <c r="KLL55" s="389"/>
      <c r="KLU55" s="389"/>
      <c r="KLV55" s="389"/>
      <c r="KME55" s="389"/>
      <c r="KMF55" s="389"/>
      <c r="KMO55" s="389"/>
      <c r="KMP55" s="389"/>
      <c r="KMY55" s="389"/>
      <c r="KMZ55" s="389"/>
      <c r="KNI55" s="389"/>
      <c r="KNJ55" s="389"/>
      <c r="KNS55" s="389"/>
      <c r="KNT55" s="389"/>
      <c r="KOC55" s="389"/>
      <c r="KOD55" s="389"/>
      <c r="KOM55" s="389"/>
      <c r="KON55" s="389"/>
      <c r="KOW55" s="389"/>
      <c r="KOX55" s="389"/>
      <c r="KPG55" s="389"/>
      <c r="KPH55" s="389"/>
      <c r="KPQ55" s="389"/>
      <c r="KPR55" s="389"/>
      <c r="KQA55" s="389"/>
      <c r="KQB55" s="389"/>
      <c r="KQK55" s="389"/>
      <c r="KQL55" s="389"/>
      <c r="KQU55" s="389"/>
      <c r="KQV55" s="389"/>
      <c r="KRE55" s="389"/>
      <c r="KRF55" s="389"/>
      <c r="KRO55" s="389"/>
      <c r="KRP55" s="389"/>
      <c r="KRY55" s="389"/>
      <c r="KRZ55" s="389"/>
      <c r="KSI55" s="389"/>
      <c r="KSJ55" s="389"/>
      <c r="KSS55" s="389"/>
      <c r="KST55" s="389"/>
      <c r="KTC55" s="389"/>
      <c r="KTD55" s="389"/>
      <c r="KTM55" s="389"/>
      <c r="KTN55" s="389"/>
      <c r="KTW55" s="389"/>
      <c r="KTX55" s="389"/>
      <c r="KUG55" s="389"/>
      <c r="KUH55" s="389"/>
      <c r="KUQ55" s="389"/>
      <c r="KUR55" s="389"/>
      <c r="KVA55" s="389"/>
      <c r="KVB55" s="389"/>
      <c r="KVK55" s="389"/>
      <c r="KVL55" s="389"/>
      <c r="KVU55" s="389"/>
      <c r="KVV55" s="389"/>
      <c r="KWE55" s="389"/>
      <c r="KWF55" s="389"/>
      <c r="KWO55" s="389"/>
      <c r="KWP55" s="389"/>
      <c r="KWY55" s="389"/>
      <c r="KWZ55" s="389"/>
      <c r="KXI55" s="389"/>
      <c r="KXJ55" s="389"/>
      <c r="KXS55" s="389"/>
      <c r="KXT55" s="389"/>
      <c r="KYC55" s="389"/>
      <c r="KYD55" s="389"/>
      <c r="KYM55" s="389"/>
      <c r="KYN55" s="389"/>
      <c r="KYW55" s="389"/>
      <c r="KYX55" s="389"/>
      <c r="KZG55" s="389"/>
      <c r="KZH55" s="389"/>
      <c r="KZQ55" s="389"/>
      <c r="KZR55" s="389"/>
      <c r="LAA55" s="389"/>
      <c r="LAB55" s="389"/>
      <c r="LAK55" s="389"/>
      <c r="LAL55" s="389"/>
      <c r="LAU55" s="389"/>
      <c r="LAV55" s="389"/>
      <c r="LBE55" s="389"/>
      <c r="LBF55" s="389"/>
      <c r="LBO55" s="389"/>
      <c r="LBP55" s="389"/>
      <c r="LBY55" s="389"/>
      <c r="LBZ55" s="389"/>
      <c r="LCI55" s="389"/>
      <c r="LCJ55" s="389"/>
      <c r="LCS55" s="389"/>
      <c r="LCT55" s="389"/>
      <c r="LDC55" s="389"/>
      <c r="LDD55" s="389"/>
      <c r="LDM55" s="389"/>
      <c r="LDN55" s="389"/>
      <c r="LDW55" s="389"/>
      <c r="LDX55" s="389"/>
      <c r="LEG55" s="389"/>
      <c r="LEH55" s="389"/>
      <c r="LEQ55" s="389"/>
      <c r="LER55" s="389"/>
      <c r="LFA55" s="389"/>
      <c r="LFB55" s="389"/>
      <c r="LFK55" s="389"/>
      <c r="LFL55" s="389"/>
      <c r="LFU55" s="389"/>
      <c r="LFV55" s="389"/>
      <c r="LGE55" s="389"/>
      <c r="LGF55" s="389"/>
      <c r="LGO55" s="389"/>
      <c r="LGP55" s="389"/>
      <c r="LGY55" s="389"/>
      <c r="LGZ55" s="389"/>
      <c r="LHI55" s="389"/>
      <c r="LHJ55" s="389"/>
      <c r="LHS55" s="389"/>
      <c r="LHT55" s="389"/>
      <c r="LIC55" s="389"/>
      <c r="LID55" s="389"/>
      <c r="LIM55" s="389"/>
      <c r="LIN55" s="389"/>
      <c r="LIW55" s="389"/>
      <c r="LIX55" s="389"/>
      <c r="LJG55" s="389"/>
      <c r="LJH55" s="389"/>
      <c r="LJQ55" s="389"/>
      <c r="LJR55" s="389"/>
      <c r="LKA55" s="389"/>
      <c r="LKB55" s="389"/>
      <c r="LKK55" s="389"/>
      <c r="LKL55" s="389"/>
      <c r="LKU55" s="389"/>
      <c r="LKV55" s="389"/>
      <c r="LLE55" s="389"/>
      <c r="LLF55" s="389"/>
      <c r="LLO55" s="389"/>
      <c r="LLP55" s="389"/>
      <c r="LLY55" s="389"/>
      <c r="LLZ55" s="389"/>
      <c r="LMI55" s="389"/>
      <c r="LMJ55" s="389"/>
      <c r="LMS55" s="389"/>
      <c r="LMT55" s="389"/>
      <c r="LNC55" s="389"/>
      <c r="LND55" s="389"/>
      <c r="LNM55" s="389"/>
      <c r="LNN55" s="389"/>
      <c r="LNW55" s="389"/>
      <c r="LNX55" s="389"/>
      <c r="LOG55" s="389"/>
      <c r="LOH55" s="389"/>
      <c r="LOQ55" s="389"/>
      <c r="LOR55" s="389"/>
      <c r="LPA55" s="389"/>
      <c r="LPB55" s="389"/>
      <c r="LPK55" s="389"/>
      <c r="LPL55" s="389"/>
      <c r="LPU55" s="389"/>
      <c r="LPV55" s="389"/>
      <c r="LQE55" s="389"/>
      <c r="LQF55" s="389"/>
      <c r="LQO55" s="389"/>
      <c r="LQP55" s="389"/>
      <c r="LQY55" s="389"/>
      <c r="LQZ55" s="389"/>
      <c r="LRI55" s="389"/>
      <c r="LRJ55" s="389"/>
      <c r="LRS55" s="389"/>
      <c r="LRT55" s="389"/>
      <c r="LSC55" s="389"/>
      <c r="LSD55" s="389"/>
      <c r="LSM55" s="389"/>
      <c r="LSN55" s="389"/>
      <c r="LSW55" s="389"/>
      <c r="LSX55" s="389"/>
      <c r="LTG55" s="389"/>
      <c r="LTH55" s="389"/>
      <c r="LTQ55" s="389"/>
      <c r="LTR55" s="389"/>
      <c r="LUA55" s="389"/>
      <c r="LUB55" s="389"/>
      <c r="LUK55" s="389"/>
      <c r="LUL55" s="389"/>
      <c r="LUU55" s="389"/>
      <c r="LUV55" s="389"/>
      <c r="LVE55" s="389"/>
      <c r="LVF55" s="389"/>
      <c r="LVO55" s="389"/>
      <c r="LVP55" s="389"/>
      <c r="LVY55" s="389"/>
      <c r="LVZ55" s="389"/>
      <c r="LWI55" s="389"/>
      <c r="LWJ55" s="389"/>
      <c r="LWS55" s="389"/>
      <c r="LWT55" s="389"/>
      <c r="LXC55" s="389"/>
      <c r="LXD55" s="389"/>
      <c r="LXM55" s="389"/>
      <c r="LXN55" s="389"/>
      <c r="LXW55" s="389"/>
      <c r="LXX55" s="389"/>
      <c r="LYG55" s="389"/>
      <c r="LYH55" s="389"/>
      <c r="LYQ55" s="389"/>
      <c r="LYR55" s="389"/>
      <c r="LZA55" s="389"/>
      <c r="LZB55" s="389"/>
      <c r="LZK55" s="389"/>
      <c r="LZL55" s="389"/>
      <c r="LZU55" s="389"/>
      <c r="LZV55" s="389"/>
      <c r="MAE55" s="389"/>
      <c r="MAF55" s="389"/>
      <c r="MAO55" s="389"/>
      <c r="MAP55" s="389"/>
      <c r="MAY55" s="389"/>
      <c r="MAZ55" s="389"/>
      <c r="MBI55" s="389"/>
      <c r="MBJ55" s="389"/>
      <c r="MBS55" s="389"/>
      <c r="MBT55" s="389"/>
      <c r="MCC55" s="389"/>
      <c r="MCD55" s="389"/>
      <c r="MCM55" s="389"/>
      <c r="MCN55" s="389"/>
      <c r="MCW55" s="389"/>
      <c r="MCX55" s="389"/>
      <c r="MDG55" s="389"/>
      <c r="MDH55" s="389"/>
      <c r="MDQ55" s="389"/>
      <c r="MDR55" s="389"/>
      <c r="MEA55" s="389"/>
      <c r="MEB55" s="389"/>
      <c r="MEK55" s="389"/>
      <c r="MEL55" s="389"/>
      <c r="MEU55" s="389"/>
      <c r="MEV55" s="389"/>
      <c r="MFE55" s="389"/>
      <c r="MFF55" s="389"/>
      <c r="MFO55" s="389"/>
      <c r="MFP55" s="389"/>
      <c r="MFY55" s="389"/>
      <c r="MFZ55" s="389"/>
      <c r="MGI55" s="389"/>
      <c r="MGJ55" s="389"/>
      <c r="MGS55" s="389"/>
      <c r="MGT55" s="389"/>
      <c r="MHC55" s="389"/>
      <c r="MHD55" s="389"/>
      <c r="MHM55" s="389"/>
      <c r="MHN55" s="389"/>
      <c r="MHW55" s="389"/>
      <c r="MHX55" s="389"/>
      <c r="MIG55" s="389"/>
      <c r="MIH55" s="389"/>
      <c r="MIQ55" s="389"/>
      <c r="MIR55" s="389"/>
      <c r="MJA55" s="389"/>
      <c r="MJB55" s="389"/>
      <c r="MJK55" s="389"/>
      <c r="MJL55" s="389"/>
      <c r="MJU55" s="389"/>
      <c r="MJV55" s="389"/>
      <c r="MKE55" s="389"/>
      <c r="MKF55" s="389"/>
      <c r="MKO55" s="389"/>
      <c r="MKP55" s="389"/>
      <c r="MKY55" s="389"/>
      <c r="MKZ55" s="389"/>
      <c r="MLI55" s="389"/>
      <c r="MLJ55" s="389"/>
      <c r="MLS55" s="389"/>
      <c r="MLT55" s="389"/>
      <c r="MMC55" s="389"/>
      <c r="MMD55" s="389"/>
      <c r="MMM55" s="389"/>
      <c r="MMN55" s="389"/>
      <c r="MMW55" s="389"/>
      <c r="MMX55" s="389"/>
      <c r="MNG55" s="389"/>
      <c r="MNH55" s="389"/>
      <c r="MNQ55" s="389"/>
      <c r="MNR55" s="389"/>
      <c r="MOA55" s="389"/>
      <c r="MOB55" s="389"/>
      <c r="MOK55" s="389"/>
      <c r="MOL55" s="389"/>
      <c r="MOU55" s="389"/>
      <c r="MOV55" s="389"/>
      <c r="MPE55" s="389"/>
      <c r="MPF55" s="389"/>
      <c r="MPO55" s="389"/>
      <c r="MPP55" s="389"/>
      <c r="MPY55" s="389"/>
      <c r="MPZ55" s="389"/>
      <c r="MQI55" s="389"/>
      <c r="MQJ55" s="389"/>
      <c r="MQS55" s="389"/>
      <c r="MQT55" s="389"/>
      <c r="MRC55" s="389"/>
      <c r="MRD55" s="389"/>
      <c r="MRM55" s="389"/>
      <c r="MRN55" s="389"/>
      <c r="MRW55" s="389"/>
      <c r="MRX55" s="389"/>
      <c r="MSG55" s="389"/>
      <c r="MSH55" s="389"/>
      <c r="MSQ55" s="389"/>
      <c r="MSR55" s="389"/>
      <c r="MTA55" s="389"/>
      <c r="MTB55" s="389"/>
      <c r="MTK55" s="389"/>
      <c r="MTL55" s="389"/>
      <c r="MTU55" s="389"/>
      <c r="MTV55" s="389"/>
      <c r="MUE55" s="389"/>
      <c r="MUF55" s="389"/>
      <c r="MUO55" s="389"/>
      <c r="MUP55" s="389"/>
      <c r="MUY55" s="389"/>
      <c r="MUZ55" s="389"/>
      <c r="MVI55" s="389"/>
      <c r="MVJ55" s="389"/>
      <c r="MVS55" s="389"/>
      <c r="MVT55" s="389"/>
      <c r="MWC55" s="389"/>
      <c r="MWD55" s="389"/>
      <c r="MWM55" s="389"/>
      <c r="MWN55" s="389"/>
      <c r="MWW55" s="389"/>
      <c r="MWX55" s="389"/>
      <c r="MXG55" s="389"/>
      <c r="MXH55" s="389"/>
      <c r="MXQ55" s="389"/>
      <c r="MXR55" s="389"/>
      <c r="MYA55" s="389"/>
      <c r="MYB55" s="389"/>
      <c r="MYK55" s="389"/>
      <c r="MYL55" s="389"/>
      <c r="MYU55" s="389"/>
      <c r="MYV55" s="389"/>
      <c r="MZE55" s="389"/>
      <c r="MZF55" s="389"/>
      <c r="MZO55" s="389"/>
      <c r="MZP55" s="389"/>
      <c r="MZY55" s="389"/>
      <c r="MZZ55" s="389"/>
      <c r="NAI55" s="389"/>
      <c r="NAJ55" s="389"/>
      <c r="NAS55" s="389"/>
      <c r="NAT55" s="389"/>
      <c r="NBC55" s="389"/>
      <c r="NBD55" s="389"/>
      <c r="NBM55" s="389"/>
      <c r="NBN55" s="389"/>
      <c r="NBW55" s="389"/>
      <c r="NBX55" s="389"/>
      <c r="NCG55" s="389"/>
      <c r="NCH55" s="389"/>
      <c r="NCQ55" s="389"/>
      <c r="NCR55" s="389"/>
      <c r="NDA55" s="389"/>
      <c r="NDB55" s="389"/>
      <c r="NDK55" s="389"/>
      <c r="NDL55" s="389"/>
      <c r="NDU55" s="389"/>
      <c r="NDV55" s="389"/>
      <c r="NEE55" s="389"/>
      <c r="NEF55" s="389"/>
      <c r="NEO55" s="389"/>
      <c r="NEP55" s="389"/>
      <c r="NEY55" s="389"/>
      <c r="NEZ55" s="389"/>
      <c r="NFI55" s="389"/>
      <c r="NFJ55" s="389"/>
      <c r="NFS55" s="389"/>
      <c r="NFT55" s="389"/>
      <c r="NGC55" s="389"/>
      <c r="NGD55" s="389"/>
      <c r="NGM55" s="389"/>
      <c r="NGN55" s="389"/>
      <c r="NGW55" s="389"/>
      <c r="NGX55" s="389"/>
      <c r="NHG55" s="389"/>
      <c r="NHH55" s="389"/>
      <c r="NHQ55" s="389"/>
      <c r="NHR55" s="389"/>
      <c r="NIA55" s="389"/>
      <c r="NIB55" s="389"/>
      <c r="NIK55" s="389"/>
      <c r="NIL55" s="389"/>
      <c r="NIU55" s="389"/>
      <c r="NIV55" s="389"/>
      <c r="NJE55" s="389"/>
      <c r="NJF55" s="389"/>
      <c r="NJO55" s="389"/>
      <c r="NJP55" s="389"/>
      <c r="NJY55" s="389"/>
      <c r="NJZ55" s="389"/>
      <c r="NKI55" s="389"/>
      <c r="NKJ55" s="389"/>
      <c r="NKS55" s="389"/>
      <c r="NKT55" s="389"/>
      <c r="NLC55" s="389"/>
      <c r="NLD55" s="389"/>
      <c r="NLM55" s="389"/>
      <c r="NLN55" s="389"/>
      <c r="NLW55" s="389"/>
      <c r="NLX55" s="389"/>
      <c r="NMG55" s="389"/>
      <c r="NMH55" s="389"/>
      <c r="NMQ55" s="389"/>
      <c r="NMR55" s="389"/>
      <c r="NNA55" s="389"/>
      <c r="NNB55" s="389"/>
      <c r="NNK55" s="389"/>
      <c r="NNL55" s="389"/>
      <c r="NNU55" s="389"/>
      <c r="NNV55" s="389"/>
      <c r="NOE55" s="389"/>
      <c r="NOF55" s="389"/>
      <c r="NOO55" s="389"/>
      <c r="NOP55" s="389"/>
      <c r="NOY55" s="389"/>
      <c r="NOZ55" s="389"/>
      <c r="NPI55" s="389"/>
      <c r="NPJ55" s="389"/>
      <c r="NPS55" s="389"/>
      <c r="NPT55" s="389"/>
      <c r="NQC55" s="389"/>
      <c r="NQD55" s="389"/>
      <c r="NQM55" s="389"/>
      <c r="NQN55" s="389"/>
      <c r="NQW55" s="389"/>
      <c r="NQX55" s="389"/>
      <c r="NRG55" s="389"/>
      <c r="NRH55" s="389"/>
      <c r="NRQ55" s="389"/>
      <c r="NRR55" s="389"/>
      <c r="NSA55" s="389"/>
      <c r="NSB55" s="389"/>
      <c r="NSK55" s="389"/>
      <c r="NSL55" s="389"/>
      <c r="NSU55" s="389"/>
      <c r="NSV55" s="389"/>
      <c r="NTE55" s="389"/>
      <c r="NTF55" s="389"/>
      <c r="NTO55" s="389"/>
      <c r="NTP55" s="389"/>
      <c r="NTY55" s="389"/>
      <c r="NTZ55" s="389"/>
      <c r="NUI55" s="389"/>
      <c r="NUJ55" s="389"/>
      <c r="NUS55" s="389"/>
      <c r="NUT55" s="389"/>
      <c r="NVC55" s="389"/>
      <c r="NVD55" s="389"/>
      <c r="NVM55" s="389"/>
      <c r="NVN55" s="389"/>
      <c r="NVW55" s="389"/>
      <c r="NVX55" s="389"/>
      <c r="NWG55" s="389"/>
      <c r="NWH55" s="389"/>
      <c r="NWQ55" s="389"/>
      <c r="NWR55" s="389"/>
      <c r="NXA55" s="389"/>
      <c r="NXB55" s="389"/>
      <c r="NXK55" s="389"/>
      <c r="NXL55" s="389"/>
      <c r="NXU55" s="389"/>
      <c r="NXV55" s="389"/>
      <c r="NYE55" s="389"/>
      <c r="NYF55" s="389"/>
      <c r="NYO55" s="389"/>
      <c r="NYP55" s="389"/>
      <c r="NYY55" s="389"/>
      <c r="NYZ55" s="389"/>
      <c r="NZI55" s="389"/>
      <c r="NZJ55" s="389"/>
      <c r="NZS55" s="389"/>
      <c r="NZT55" s="389"/>
      <c r="OAC55" s="389"/>
      <c r="OAD55" s="389"/>
      <c r="OAM55" s="389"/>
      <c r="OAN55" s="389"/>
      <c r="OAW55" s="389"/>
      <c r="OAX55" s="389"/>
      <c r="OBG55" s="389"/>
      <c r="OBH55" s="389"/>
      <c r="OBQ55" s="389"/>
      <c r="OBR55" s="389"/>
      <c r="OCA55" s="389"/>
      <c r="OCB55" s="389"/>
      <c r="OCK55" s="389"/>
      <c r="OCL55" s="389"/>
      <c r="OCU55" s="389"/>
      <c r="OCV55" s="389"/>
      <c r="ODE55" s="389"/>
      <c r="ODF55" s="389"/>
      <c r="ODO55" s="389"/>
      <c r="ODP55" s="389"/>
      <c r="ODY55" s="389"/>
      <c r="ODZ55" s="389"/>
      <c r="OEI55" s="389"/>
      <c r="OEJ55" s="389"/>
      <c r="OES55" s="389"/>
      <c r="OET55" s="389"/>
      <c r="OFC55" s="389"/>
      <c r="OFD55" s="389"/>
      <c r="OFM55" s="389"/>
      <c r="OFN55" s="389"/>
      <c r="OFW55" s="389"/>
      <c r="OFX55" s="389"/>
      <c r="OGG55" s="389"/>
      <c r="OGH55" s="389"/>
      <c r="OGQ55" s="389"/>
      <c r="OGR55" s="389"/>
      <c r="OHA55" s="389"/>
      <c r="OHB55" s="389"/>
      <c r="OHK55" s="389"/>
      <c r="OHL55" s="389"/>
      <c r="OHU55" s="389"/>
      <c r="OHV55" s="389"/>
      <c r="OIE55" s="389"/>
      <c r="OIF55" s="389"/>
      <c r="OIO55" s="389"/>
      <c r="OIP55" s="389"/>
      <c r="OIY55" s="389"/>
      <c r="OIZ55" s="389"/>
      <c r="OJI55" s="389"/>
      <c r="OJJ55" s="389"/>
      <c r="OJS55" s="389"/>
      <c r="OJT55" s="389"/>
      <c r="OKC55" s="389"/>
      <c r="OKD55" s="389"/>
      <c r="OKM55" s="389"/>
      <c r="OKN55" s="389"/>
      <c r="OKW55" s="389"/>
      <c r="OKX55" s="389"/>
      <c r="OLG55" s="389"/>
      <c r="OLH55" s="389"/>
      <c r="OLQ55" s="389"/>
      <c r="OLR55" s="389"/>
      <c r="OMA55" s="389"/>
      <c r="OMB55" s="389"/>
      <c r="OMK55" s="389"/>
      <c r="OML55" s="389"/>
      <c r="OMU55" s="389"/>
      <c r="OMV55" s="389"/>
      <c r="ONE55" s="389"/>
      <c r="ONF55" s="389"/>
      <c r="ONO55" s="389"/>
      <c r="ONP55" s="389"/>
      <c r="ONY55" s="389"/>
      <c r="ONZ55" s="389"/>
      <c r="OOI55" s="389"/>
      <c r="OOJ55" s="389"/>
      <c r="OOS55" s="389"/>
      <c r="OOT55" s="389"/>
      <c r="OPC55" s="389"/>
      <c r="OPD55" s="389"/>
      <c r="OPM55" s="389"/>
      <c r="OPN55" s="389"/>
      <c r="OPW55" s="389"/>
      <c r="OPX55" s="389"/>
      <c r="OQG55" s="389"/>
      <c r="OQH55" s="389"/>
      <c r="OQQ55" s="389"/>
      <c r="OQR55" s="389"/>
      <c r="ORA55" s="389"/>
      <c r="ORB55" s="389"/>
      <c r="ORK55" s="389"/>
      <c r="ORL55" s="389"/>
      <c r="ORU55" s="389"/>
      <c r="ORV55" s="389"/>
      <c r="OSE55" s="389"/>
      <c r="OSF55" s="389"/>
      <c r="OSO55" s="389"/>
      <c r="OSP55" s="389"/>
      <c r="OSY55" s="389"/>
      <c r="OSZ55" s="389"/>
      <c r="OTI55" s="389"/>
      <c r="OTJ55" s="389"/>
      <c r="OTS55" s="389"/>
      <c r="OTT55" s="389"/>
      <c r="OUC55" s="389"/>
      <c r="OUD55" s="389"/>
      <c r="OUM55" s="389"/>
      <c r="OUN55" s="389"/>
      <c r="OUW55" s="389"/>
      <c r="OUX55" s="389"/>
      <c r="OVG55" s="389"/>
      <c r="OVH55" s="389"/>
      <c r="OVQ55" s="389"/>
      <c r="OVR55" s="389"/>
      <c r="OWA55" s="389"/>
      <c r="OWB55" s="389"/>
      <c r="OWK55" s="389"/>
      <c r="OWL55" s="389"/>
      <c r="OWU55" s="389"/>
      <c r="OWV55" s="389"/>
      <c r="OXE55" s="389"/>
      <c r="OXF55" s="389"/>
      <c r="OXO55" s="389"/>
      <c r="OXP55" s="389"/>
      <c r="OXY55" s="389"/>
      <c r="OXZ55" s="389"/>
      <c r="OYI55" s="389"/>
      <c r="OYJ55" s="389"/>
      <c r="OYS55" s="389"/>
      <c r="OYT55" s="389"/>
      <c r="OZC55" s="389"/>
      <c r="OZD55" s="389"/>
      <c r="OZM55" s="389"/>
      <c r="OZN55" s="389"/>
      <c r="OZW55" s="389"/>
      <c r="OZX55" s="389"/>
      <c r="PAG55" s="389"/>
      <c r="PAH55" s="389"/>
      <c r="PAQ55" s="389"/>
      <c r="PAR55" s="389"/>
      <c r="PBA55" s="389"/>
      <c r="PBB55" s="389"/>
      <c r="PBK55" s="389"/>
      <c r="PBL55" s="389"/>
      <c r="PBU55" s="389"/>
      <c r="PBV55" s="389"/>
      <c r="PCE55" s="389"/>
      <c r="PCF55" s="389"/>
      <c r="PCO55" s="389"/>
      <c r="PCP55" s="389"/>
      <c r="PCY55" s="389"/>
      <c r="PCZ55" s="389"/>
      <c r="PDI55" s="389"/>
      <c r="PDJ55" s="389"/>
      <c r="PDS55" s="389"/>
      <c r="PDT55" s="389"/>
      <c r="PEC55" s="389"/>
      <c r="PED55" s="389"/>
      <c r="PEM55" s="389"/>
      <c r="PEN55" s="389"/>
      <c r="PEW55" s="389"/>
      <c r="PEX55" s="389"/>
      <c r="PFG55" s="389"/>
      <c r="PFH55" s="389"/>
      <c r="PFQ55" s="389"/>
      <c r="PFR55" s="389"/>
      <c r="PGA55" s="389"/>
      <c r="PGB55" s="389"/>
      <c r="PGK55" s="389"/>
      <c r="PGL55" s="389"/>
      <c r="PGU55" s="389"/>
      <c r="PGV55" s="389"/>
      <c r="PHE55" s="389"/>
      <c r="PHF55" s="389"/>
      <c r="PHO55" s="389"/>
      <c r="PHP55" s="389"/>
      <c r="PHY55" s="389"/>
      <c r="PHZ55" s="389"/>
      <c r="PII55" s="389"/>
      <c r="PIJ55" s="389"/>
      <c r="PIS55" s="389"/>
      <c r="PIT55" s="389"/>
      <c r="PJC55" s="389"/>
      <c r="PJD55" s="389"/>
      <c r="PJM55" s="389"/>
      <c r="PJN55" s="389"/>
      <c r="PJW55" s="389"/>
      <c r="PJX55" s="389"/>
      <c r="PKG55" s="389"/>
      <c r="PKH55" s="389"/>
      <c r="PKQ55" s="389"/>
      <c r="PKR55" s="389"/>
      <c r="PLA55" s="389"/>
      <c r="PLB55" s="389"/>
      <c r="PLK55" s="389"/>
      <c r="PLL55" s="389"/>
      <c r="PLU55" s="389"/>
      <c r="PLV55" s="389"/>
      <c r="PME55" s="389"/>
      <c r="PMF55" s="389"/>
      <c r="PMO55" s="389"/>
      <c r="PMP55" s="389"/>
      <c r="PMY55" s="389"/>
      <c r="PMZ55" s="389"/>
      <c r="PNI55" s="389"/>
      <c r="PNJ55" s="389"/>
      <c r="PNS55" s="389"/>
      <c r="PNT55" s="389"/>
      <c r="POC55" s="389"/>
      <c r="POD55" s="389"/>
      <c r="POM55" s="389"/>
      <c r="PON55" s="389"/>
      <c r="POW55" s="389"/>
      <c r="POX55" s="389"/>
      <c r="PPG55" s="389"/>
      <c r="PPH55" s="389"/>
      <c r="PPQ55" s="389"/>
      <c r="PPR55" s="389"/>
      <c r="PQA55" s="389"/>
      <c r="PQB55" s="389"/>
      <c r="PQK55" s="389"/>
      <c r="PQL55" s="389"/>
      <c r="PQU55" s="389"/>
      <c r="PQV55" s="389"/>
      <c r="PRE55" s="389"/>
      <c r="PRF55" s="389"/>
      <c r="PRO55" s="389"/>
      <c r="PRP55" s="389"/>
      <c r="PRY55" s="389"/>
      <c r="PRZ55" s="389"/>
      <c r="PSI55" s="389"/>
      <c r="PSJ55" s="389"/>
      <c r="PSS55" s="389"/>
      <c r="PST55" s="389"/>
      <c r="PTC55" s="389"/>
      <c r="PTD55" s="389"/>
      <c r="PTM55" s="389"/>
      <c r="PTN55" s="389"/>
      <c r="PTW55" s="389"/>
      <c r="PTX55" s="389"/>
      <c r="PUG55" s="389"/>
      <c r="PUH55" s="389"/>
      <c r="PUQ55" s="389"/>
      <c r="PUR55" s="389"/>
      <c r="PVA55" s="389"/>
      <c r="PVB55" s="389"/>
      <c r="PVK55" s="389"/>
      <c r="PVL55" s="389"/>
      <c r="PVU55" s="389"/>
      <c r="PVV55" s="389"/>
      <c r="PWE55" s="389"/>
      <c r="PWF55" s="389"/>
      <c r="PWO55" s="389"/>
      <c r="PWP55" s="389"/>
      <c r="PWY55" s="389"/>
      <c r="PWZ55" s="389"/>
      <c r="PXI55" s="389"/>
      <c r="PXJ55" s="389"/>
      <c r="PXS55" s="389"/>
      <c r="PXT55" s="389"/>
      <c r="PYC55" s="389"/>
      <c r="PYD55" s="389"/>
      <c r="PYM55" s="389"/>
      <c r="PYN55" s="389"/>
      <c r="PYW55" s="389"/>
      <c r="PYX55" s="389"/>
      <c r="PZG55" s="389"/>
      <c r="PZH55" s="389"/>
      <c r="PZQ55" s="389"/>
      <c r="PZR55" s="389"/>
      <c r="QAA55" s="389"/>
      <c r="QAB55" s="389"/>
      <c r="QAK55" s="389"/>
      <c r="QAL55" s="389"/>
      <c r="QAU55" s="389"/>
      <c r="QAV55" s="389"/>
      <c r="QBE55" s="389"/>
      <c r="QBF55" s="389"/>
      <c r="QBO55" s="389"/>
      <c r="QBP55" s="389"/>
      <c r="QBY55" s="389"/>
      <c r="QBZ55" s="389"/>
      <c r="QCI55" s="389"/>
      <c r="QCJ55" s="389"/>
      <c r="QCS55" s="389"/>
      <c r="QCT55" s="389"/>
      <c r="QDC55" s="389"/>
      <c r="QDD55" s="389"/>
      <c r="QDM55" s="389"/>
      <c r="QDN55" s="389"/>
      <c r="QDW55" s="389"/>
      <c r="QDX55" s="389"/>
      <c r="QEG55" s="389"/>
      <c r="QEH55" s="389"/>
      <c r="QEQ55" s="389"/>
      <c r="QER55" s="389"/>
      <c r="QFA55" s="389"/>
      <c r="QFB55" s="389"/>
      <c r="QFK55" s="389"/>
      <c r="QFL55" s="389"/>
      <c r="QFU55" s="389"/>
      <c r="QFV55" s="389"/>
      <c r="QGE55" s="389"/>
      <c r="QGF55" s="389"/>
      <c r="QGO55" s="389"/>
      <c r="QGP55" s="389"/>
      <c r="QGY55" s="389"/>
      <c r="QGZ55" s="389"/>
      <c r="QHI55" s="389"/>
      <c r="QHJ55" s="389"/>
      <c r="QHS55" s="389"/>
      <c r="QHT55" s="389"/>
      <c r="QIC55" s="389"/>
      <c r="QID55" s="389"/>
      <c r="QIM55" s="389"/>
      <c r="QIN55" s="389"/>
      <c r="QIW55" s="389"/>
      <c r="QIX55" s="389"/>
      <c r="QJG55" s="389"/>
      <c r="QJH55" s="389"/>
      <c r="QJQ55" s="389"/>
      <c r="QJR55" s="389"/>
      <c r="QKA55" s="389"/>
      <c r="QKB55" s="389"/>
      <c r="QKK55" s="389"/>
      <c r="QKL55" s="389"/>
      <c r="QKU55" s="389"/>
      <c r="QKV55" s="389"/>
      <c r="QLE55" s="389"/>
      <c r="QLF55" s="389"/>
      <c r="QLO55" s="389"/>
      <c r="QLP55" s="389"/>
      <c r="QLY55" s="389"/>
      <c r="QLZ55" s="389"/>
      <c r="QMI55" s="389"/>
      <c r="QMJ55" s="389"/>
      <c r="QMS55" s="389"/>
      <c r="QMT55" s="389"/>
      <c r="QNC55" s="389"/>
      <c r="QND55" s="389"/>
      <c r="QNM55" s="389"/>
      <c r="QNN55" s="389"/>
      <c r="QNW55" s="389"/>
      <c r="QNX55" s="389"/>
      <c r="QOG55" s="389"/>
      <c r="QOH55" s="389"/>
      <c r="QOQ55" s="389"/>
      <c r="QOR55" s="389"/>
      <c r="QPA55" s="389"/>
      <c r="QPB55" s="389"/>
      <c r="QPK55" s="389"/>
      <c r="QPL55" s="389"/>
      <c r="QPU55" s="389"/>
      <c r="QPV55" s="389"/>
      <c r="QQE55" s="389"/>
      <c r="QQF55" s="389"/>
      <c r="QQO55" s="389"/>
      <c r="QQP55" s="389"/>
      <c r="QQY55" s="389"/>
      <c r="QQZ55" s="389"/>
      <c r="QRI55" s="389"/>
      <c r="QRJ55" s="389"/>
      <c r="QRS55" s="389"/>
      <c r="QRT55" s="389"/>
      <c r="QSC55" s="389"/>
      <c r="QSD55" s="389"/>
      <c r="QSM55" s="389"/>
      <c r="QSN55" s="389"/>
      <c r="QSW55" s="389"/>
      <c r="QSX55" s="389"/>
      <c r="QTG55" s="389"/>
      <c r="QTH55" s="389"/>
      <c r="QTQ55" s="389"/>
      <c r="QTR55" s="389"/>
      <c r="QUA55" s="389"/>
      <c r="QUB55" s="389"/>
      <c r="QUK55" s="389"/>
      <c r="QUL55" s="389"/>
      <c r="QUU55" s="389"/>
      <c r="QUV55" s="389"/>
      <c r="QVE55" s="389"/>
      <c r="QVF55" s="389"/>
      <c r="QVO55" s="389"/>
      <c r="QVP55" s="389"/>
      <c r="QVY55" s="389"/>
      <c r="QVZ55" s="389"/>
      <c r="QWI55" s="389"/>
      <c r="QWJ55" s="389"/>
      <c r="QWS55" s="389"/>
      <c r="QWT55" s="389"/>
      <c r="QXC55" s="389"/>
      <c r="QXD55" s="389"/>
      <c r="QXM55" s="389"/>
      <c r="QXN55" s="389"/>
      <c r="QXW55" s="389"/>
      <c r="QXX55" s="389"/>
      <c r="QYG55" s="389"/>
      <c r="QYH55" s="389"/>
      <c r="QYQ55" s="389"/>
      <c r="QYR55" s="389"/>
      <c r="QZA55" s="389"/>
      <c r="QZB55" s="389"/>
      <c r="QZK55" s="389"/>
      <c r="QZL55" s="389"/>
      <c r="QZU55" s="389"/>
      <c r="QZV55" s="389"/>
      <c r="RAE55" s="389"/>
      <c r="RAF55" s="389"/>
      <c r="RAO55" s="389"/>
      <c r="RAP55" s="389"/>
      <c r="RAY55" s="389"/>
      <c r="RAZ55" s="389"/>
      <c r="RBI55" s="389"/>
      <c r="RBJ55" s="389"/>
      <c r="RBS55" s="389"/>
      <c r="RBT55" s="389"/>
      <c r="RCC55" s="389"/>
      <c r="RCD55" s="389"/>
      <c r="RCM55" s="389"/>
      <c r="RCN55" s="389"/>
      <c r="RCW55" s="389"/>
      <c r="RCX55" s="389"/>
      <c r="RDG55" s="389"/>
      <c r="RDH55" s="389"/>
      <c r="RDQ55" s="389"/>
      <c r="RDR55" s="389"/>
      <c r="REA55" s="389"/>
      <c r="REB55" s="389"/>
      <c r="REK55" s="389"/>
      <c r="REL55" s="389"/>
      <c r="REU55" s="389"/>
      <c r="REV55" s="389"/>
      <c r="RFE55" s="389"/>
      <c r="RFF55" s="389"/>
      <c r="RFO55" s="389"/>
      <c r="RFP55" s="389"/>
      <c r="RFY55" s="389"/>
      <c r="RFZ55" s="389"/>
      <c r="RGI55" s="389"/>
      <c r="RGJ55" s="389"/>
      <c r="RGS55" s="389"/>
      <c r="RGT55" s="389"/>
      <c r="RHC55" s="389"/>
      <c r="RHD55" s="389"/>
      <c r="RHM55" s="389"/>
      <c r="RHN55" s="389"/>
      <c r="RHW55" s="389"/>
      <c r="RHX55" s="389"/>
      <c r="RIG55" s="389"/>
      <c r="RIH55" s="389"/>
      <c r="RIQ55" s="389"/>
      <c r="RIR55" s="389"/>
      <c r="RJA55" s="389"/>
      <c r="RJB55" s="389"/>
      <c r="RJK55" s="389"/>
      <c r="RJL55" s="389"/>
      <c r="RJU55" s="389"/>
      <c r="RJV55" s="389"/>
      <c r="RKE55" s="389"/>
      <c r="RKF55" s="389"/>
      <c r="RKO55" s="389"/>
      <c r="RKP55" s="389"/>
      <c r="RKY55" s="389"/>
      <c r="RKZ55" s="389"/>
      <c r="RLI55" s="389"/>
      <c r="RLJ55" s="389"/>
      <c r="RLS55" s="389"/>
      <c r="RLT55" s="389"/>
      <c r="RMC55" s="389"/>
      <c r="RMD55" s="389"/>
      <c r="RMM55" s="389"/>
      <c r="RMN55" s="389"/>
      <c r="RMW55" s="389"/>
      <c r="RMX55" s="389"/>
      <c r="RNG55" s="389"/>
      <c r="RNH55" s="389"/>
      <c r="RNQ55" s="389"/>
      <c r="RNR55" s="389"/>
      <c r="ROA55" s="389"/>
      <c r="ROB55" s="389"/>
      <c r="ROK55" s="389"/>
      <c r="ROL55" s="389"/>
      <c r="ROU55" s="389"/>
      <c r="ROV55" s="389"/>
      <c r="RPE55" s="389"/>
      <c r="RPF55" s="389"/>
      <c r="RPO55" s="389"/>
      <c r="RPP55" s="389"/>
      <c r="RPY55" s="389"/>
      <c r="RPZ55" s="389"/>
      <c r="RQI55" s="389"/>
      <c r="RQJ55" s="389"/>
      <c r="RQS55" s="389"/>
      <c r="RQT55" s="389"/>
      <c r="RRC55" s="389"/>
      <c r="RRD55" s="389"/>
      <c r="RRM55" s="389"/>
      <c r="RRN55" s="389"/>
      <c r="RRW55" s="389"/>
      <c r="RRX55" s="389"/>
      <c r="RSG55" s="389"/>
      <c r="RSH55" s="389"/>
      <c r="RSQ55" s="389"/>
      <c r="RSR55" s="389"/>
      <c r="RTA55" s="389"/>
      <c r="RTB55" s="389"/>
      <c r="RTK55" s="389"/>
      <c r="RTL55" s="389"/>
      <c r="RTU55" s="389"/>
      <c r="RTV55" s="389"/>
      <c r="RUE55" s="389"/>
      <c r="RUF55" s="389"/>
      <c r="RUO55" s="389"/>
      <c r="RUP55" s="389"/>
      <c r="RUY55" s="389"/>
      <c r="RUZ55" s="389"/>
      <c r="RVI55" s="389"/>
      <c r="RVJ55" s="389"/>
      <c r="RVS55" s="389"/>
      <c r="RVT55" s="389"/>
      <c r="RWC55" s="389"/>
      <c r="RWD55" s="389"/>
      <c r="RWM55" s="389"/>
      <c r="RWN55" s="389"/>
      <c r="RWW55" s="389"/>
      <c r="RWX55" s="389"/>
      <c r="RXG55" s="389"/>
      <c r="RXH55" s="389"/>
      <c r="RXQ55" s="389"/>
      <c r="RXR55" s="389"/>
      <c r="RYA55" s="389"/>
      <c r="RYB55" s="389"/>
      <c r="RYK55" s="389"/>
      <c r="RYL55" s="389"/>
      <c r="RYU55" s="389"/>
      <c r="RYV55" s="389"/>
      <c r="RZE55" s="389"/>
      <c r="RZF55" s="389"/>
      <c r="RZO55" s="389"/>
      <c r="RZP55" s="389"/>
      <c r="RZY55" s="389"/>
      <c r="RZZ55" s="389"/>
      <c r="SAI55" s="389"/>
      <c r="SAJ55" s="389"/>
      <c r="SAS55" s="389"/>
      <c r="SAT55" s="389"/>
      <c r="SBC55" s="389"/>
      <c r="SBD55" s="389"/>
      <c r="SBM55" s="389"/>
      <c r="SBN55" s="389"/>
      <c r="SBW55" s="389"/>
      <c r="SBX55" s="389"/>
      <c r="SCG55" s="389"/>
      <c r="SCH55" s="389"/>
      <c r="SCQ55" s="389"/>
      <c r="SCR55" s="389"/>
      <c r="SDA55" s="389"/>
      <c r="SDB55" s="389"/>
      <c r="SDK55" s="389"/>
      <c r="SDL55" s="389"/>
      <c r="SDU55" s="389"/>
      <c r="SDV55" s="389"/>
      <c r="SEE55" s="389"/>
      <c r="SEF55" s="389"/>
      <c r="SEO55" s="389"/>
      <c r="SEP55" s="389"/>
      <c r="SEY55" s="389"/>
      <c r="SEZ55" s="389"/>
      <c r="SFI55" s="389"/>
      <c r="SFJ55" s="389"/>
      <c r="SFS55" s="389"/>
      <c r="SFT55" s="389"/>
      <c r="SGC55" s="389"/>
      <c r="SGD55" s="389"/>
      <c r="SGM55" s="389"/>
      <c r="SGN55" s="389"/>
      <c r="SGW55" s="389"/>
      <c r="SGX55" s="389"/>
      <c r="SHG55" s="389"/>
      <c r="SHH55" s="389"/>
      <c r="SHQ55" s="389"/>
      <c r="SHR55" s="389"/>
      <c r="SIA55" s="389"/>
      <c r="SIB55" s="389"/>
      <c r="SIK55" s="389"/>
      <c r="SIL55" s="389"/>
      <c r="SIU55" s="389"/>
      <c r="SIV55" s="389"/>
      <c r="SJE55" s="389"/>
      <c r="SJF55" s="389"/>
      <c r="SJO55" s="389"/>
      <c r="SJP55" s="389"/>
      <c r="SJY55" s="389"/>
      <c r="SJZ55" s="389"/>
      <c r="SKI55" s="389"/>
      <c r="SKJ55" s="389"/>
      <c r="SKS55" s="389"/>
      <c r="SKT55" s="389"/>
      <c r="SLC55" s="389"/>
      <c r="SLD55" s="389"/>
      <c r="SLM55" s="389"/>
      <c r="SLN55" s="389"/>
      <c r="SLW55" s="389"/>
      <c r="SLX55" s="389"/>
      <c r="SMG55" s="389"/>
      <c r="SMH55" s="389"/>
      <c r="SMQ55" s="389"/>
      <c r="SMR55" s="389"/>
      <c r="SNA55" s="389"/>
      <c r="SNB55" s="389"/>
      <c r="SNK55" s="389"/>
      <c r="SNL55" s="389"/>
      <c r="SNU55" s="389"/>
      <c r="SNV55" s="389"/>
      <c r="SOE55" s="389"/>
      <c r="SOF55" s="389"/>
      <c r="SOO55" s="389"/>
      <c r="SOP55" s="389"/>
      <c r="SOY55" s="389"/>
      <c r="SOZ55" s="389"/>
      <c r="SPI55" s="389"/>
      <c r="SPJ55" s="389"/>
      <c r="SPS55" s="389"/>
      <c r="SPT55" s="389"/>
      <c r="SQC55" s="389"/>
      <c r="SQD55" s="389"/>
      <c r="SQM55" s="389"/>
      <c r="SQN55" s="389"/>
      <c r="SQW55" s="389"/>
      <c r="SQX55" s="389"/>
      <c r="SRG55" s="389"/>
      <c r="SRH55" s="389"/>
      <c r="SRQ55" s="389"/>
      <c r="SRR55" s="389"/>
      <c r="SSA55" s="389"/>
      <c r="SSB55" s="389"/>
      <c r="SSK55" s="389"/>
      <c r="SSL55" s="389"/>
      <c r="SSU55" s="389"/>
      <c r="SSV55" s="389"/>
      <c r="STE55" s="389"/>
      <c r="STF55" s="389"/>
      <c r="STO55" s="389"/>
      <c r="STP55" s="389"/>
      <c r="STY55" s="389"/>
      <c r="STZ55" s="389"/>
      <c r="SUI55" s="389"/>
      <c r="SUJ55" s="389"/>
      <c r="SUS55" s="389"/>
      <c r="SUT55" s="389"/>
      <c r="SVC55" s="389"/>
      <c r="SVD55" s="389"/>
      <c r="SVM55" s="389"/>
      <c r="SVN55" s="389"/>
      <c r="SVW55" s="389"/>
      <c r="SVX55" s="389"/>
      <c r="SWG55" s="389"/>
      <c r="SWH55" s="389"/>
      <c r="SWQ55" s="389"/>
      <c r="SWR55" s="389"/>
      <c r="SXA55" s="389"/>
      <c r="SXB55" s="389"/>
      <c r="SXK55" s="389"/>
      <c r="SXL55" s="389"/>
      <c r="SXU55" s="389"/>
      <c r="SXV55" s="389"/>
      <c r="SYE55" s="389"/>
      <c r="SYF55" s="389"/>
      <c r="SYO55" s="389"/>
      <c r="SYP55" s="389"/>
      <c r="SYY55" s="389"/>
      <c r="SYZ55" s="389"/>
      <c r="SZI55" s="389"/>
      <c r="SZJ55" s="389"/>
      <c r="SZS55" s="389"/>
      <c r="SZT55" s="389"/>
      <c r="TAC55" s="389"/>
      <c r="TAD55" s="389"/>
      <c r="TAM55" s="389"/>
      <c r="TAN55" s="389"/>
      <c r="TAW55" s="389"/>
      <c r="TAX55" s="389"/>
      <c r="TBG55" s="389"/>
      <c r="TBH55" s="389"/>
      <c r="TBQ55" s="389"/>
      <c r="TBR55" s="389"/>
      <c r="TCA55" s="389"/>
      <c r="TCB55" s="389"/>
      <c r="TCK55" s="389"/>
      <c r="TCL55" s="389"/>
      <c r="TCU55" s="389"/>
      <c r="TCV55" s="389"/>
      <c r="TDE55" s="389"/>
      <c r="TDF55" s="389"/>
      <c r="TDO55" s="389"/>
      <c r="TDP55" s="389"/>
      <c r="TDY55" s="389"/>
      <c r="TDZ55" s="389"/>
      <c r="TEI55" s="389"/>
      <c r="TEJ55" s="389"/>
      <c r="TES55" s="389"/>
      <c r="TET55" s="389"/>
      <c r="TFC55" s="389"/>
      <c r="TFD55" s="389"/>
      <c r="TFM55" s="389"/>
      <c r="TFN55" s="389"/>
      <c r="TFW55" s="389"/>
      <c r="TFX55" s="389"/>
      <c r="TGG55" s="389"/>
      <c r="TGH55" s="389"/>
      <c r="TGQ55" s="389"/>
      <c r="TGR55" s="389"/>
      <c r="THA55" s="389"/>
      <c r="THB55" s="389"/>
      <c r="THK55" s="389"/>
      <c r="THL55" s="389"/>
      <c r="THU55" s="389"/>
      <c r="THV55" s="389"/>
      <c r="TIE55" s="389"/>
      <c r="TIF55" s="389"/>
      <c r="TIO55" s="389"/>
      <c r="TIP55" s="389"/>
      <c r="TIY55" s="389"/>
      <c r="TIZ55" s="389"/>
      <c r="TJI55" s="389"/>
      <c r="TJJ55" s="389"/>
      <c r="TJS55" s="389"/>
      <c r="TJT55" s="389"/>
      <c r="TKC55" s="389"/>
      <c r="TKD55" s="389"/>
      <c r="TKM55" s="389"/>
      <c r="TKN55" s="389"/>
      <c r="TKW55" s="389"/>
      <c r="TKX55" s="389"/>
      <c r="TLG55" s="389"/>
      <c r="TLH55" s="389"/>
      <c r="TLQ55" s="389"/>
      <c r="TLR55" s="389"/>
      <c r="TMA55" s="389"/>
      <c r="TMB55" s="389"/>
      <c r="TMK55" s="389"/>
      <c r="TML55" s="389"/>
      <c r="TMU55" s="389"/>
      <c r="TMV55" s="389"/>
      <c r="TNE55" s="389"/>
      <c r="TNF55" s="389"/>
      <c r="TNO55" s="389"/>
      <c r="TNP55" s="389"/>
      <c r="TNY55" s="389"/>
      <c r="TNZ55" s="389"/>
      <c r="TOI55" s="389"/>
      <c r="TOJ55" s="389"/>
      <c r="TOS55" s="389"/>
      <c r="TOT55" s="389"/>
      <c r="TPC55" s="389"/>
      <c r="TPD55" s="389"/>
      <c r="TPM55" s="389"/>
      <c r="TPN55" s="389"/>
      <c r="TPW55" s="389"/>
      <c r="TPX55" s="389"/>
      <c r="TQG55" s="389"/>
      <c r="TQH55" s="389"/>
      <c r="TQQ55" s="389"/>
      <c r="TQR55" s="389"/>
      <c r="TRA55" s="389"/>
      <c r="TRB55" s="389"/>
      <c r="TRK55" s="389"/>
      <c r="TRL55" s="389"/>
      <c r="TRU55" s="389"/>
      <c r="TRV55" s="389"/>
      <c r="TSE55" s="389"/>
      <c r="TSF55" s="389"/>
      <c r="TSO55" s="389"/>
      <c r="TSP55" s="389"/>
      <c r="TSY55" s="389"/>
      <c r="TSZ55" s="389"/>
      <c r="TTI55" s="389"/>
      <c r="TTJ55" s="389"/>
      <c r="TTS55" s="389"/>
      <c r="TTT55" s="389"/>
      <c r="TUC55" s="389"/>
      <c r="TUD55" s="389"/>
      <c r="TUM55" s="389"/>
      <c r="TUN55" s="389"/>
      <c r="TUW55" s="389"/>
      <c r="TUX55" s="389"/>
      <c r="TVG55" s="389"/>
      <c r="TVH55" s="389"/>
      <c r="TVQ55" s="389"/>
      <c r="TVR55" s="389"/>
      <c r="TWA55" s="389"/>
      <c r="TWB55" s="389"/>
      <c r="TWK55" s="389"/>
      <c r="TWL55" s="389"/>
      <c r="TWU55" s="389"/>
      <c r="TWV55" s="389"/>
      <c r="TXE55" s="389"/>
      <c r="TXF55" s="389"/>
      <c r="TXO55" s="389"/>
      <c r="TXP55" s="389"/>
      <c r="TXY55" s="389"/>
      <c r="TXZ55" s="389"/>
      <c r="TYI55" s="389"/>
      <c r="TYJ55" s="389"/>
      <c r="TYS55" s="389"/>
      <c r="TYT55" s="389"/>
      <c r="TZC55" s="389"/>
      <c r="TZD55" s="389"/>
      <c r="TZM55" s="389"/>
      <c r="TZN55" s="389"/>
      <c r="TZW55" s="389"/>
      <c r="TZX55" s="389"/>
      <c r="UAG55" s="389"/>
      <c r="UAH55" s="389"/>
      <c r="UAQ55" s="389"/>
      <c r="UAR55" s="389"/>
      <c r="UBA55" s="389"/>
      <c r="UBB55" s="389"/>
      <c r="UBK55" s="389"/>
      <c r="UBL55" s="389"/>
      <c r="UBU55" s="389"/>
      <c r="UBV55" s="389"/>
      <c r="UCE55" s="389"/>
      <c r="UCF55" s="389"/>
      <c r="UCO55" s="389"/>
      <c r="UCP55" s="389"/>
      <c r="UCY55" s="389"/>
      <c r="UCZ55" s="389"/>
      <c r="UDI55" s="389"/>
      <c r="UDJ55" s="389"/>
      <c r="UDS55" s="389"/>
      <c r="UDT55" s="389"/>
      <c r="UEC55" s="389"/>
      <c r="UED55" s="389"/>
      <c r="UEM55" s="389"/>
      <c r="UEN55" s="389"/>
      <c r="UEW55" s="389"/>
      <c r="UEX55" s="389"/>
      <c r="UFG55" s="389"/>
      <c r="UFH55" s="389"/>
      <c r="UFQ55" s="389"/>
      <c r="UFR55" s="389"/>
      <c r="UGA55" s="389"/>
      <c r="UGB55" s="389"/>
      <c r="UGK55" s="389"/>
      <c r="UGL55" s="389"/>
      <c r="UGU55" s="389"/>
      <c r="UGV55" s="389"/>
      <c r="UHE55" s="389"/>
      <c r="UHF55" s="389"/>
      <c r="UHO55" s="389"/>
      <c r="UHP55" s="389"/>
      <c r="UHY55" s="389"/>
      <c r="UHZ55" s="389"/>
      <c r="UII55" s="389"/>
      <c r="UIJ55" s="389"/>
      <c r="UIS55" s="389"/>
      <c r="UIT55" s="389"/>
      <c r="UJC55" s="389"/>
      <c r="UJD55" s="389"/>
      <c r="UJM55" s="389"/>
      <c r="UJN55" s="389"/>
      <c r="UJW55" s="389"/>
      <c r="UJX55" s="389"/>
      <c r="UKG55" s="389"/>
      <c r="UKH55" s="389"/>
      <c r="UKQ55" s="389"/>
      <c r="UKR55" s="389"/>
      <c r="ULA55" s="389"/>
      <c r="ULB55" s="389"/>
      <c r="ULK55" s="389"/>
      <c r="ULL55" s="389"/>
      <c r="ULU55" s="389"/>
      <c r="ULV55" s="389"/>
      <c r="UME55" s="389"/>
      <c r="UMF55" s="389"/>
      <c r="UMO55" s="389"/>
      <c r="UMP55" s="389"/>
      <c r="UMY55" s="389"/>
      <c r="UMZ55" s="389"/>
      <c r="UNI55" s="389"/>
      <c r="UNJ55" s="389"/>
      <c r="UNS55" s="389"/>
      <c r="UNT55" s="389"/>
      <c r="UOC55" s="389"/>
      <c r="UOD55" s="389"/>
      <c r="UOM55" s="389"/>
      <c r="UON55" s="389"/>
      <c r="UOW55" s="389"/>
      <c r="UOX55" s="389"/>
      <c r="UPG55" s="389"/>
      <c r="UPH55" s="389"/>
      <c r="UPQ55" s="389"/>
      <c r="UPR55" s="389"/>
      <c r="UQA55" s="389"/>
      <c r="UQB55" s="389"/>
      <c r="UQK55" s="389"/>
      <c r="UQL55" s="389"/>
      <c r="UQU55" s="389"/>
      <c r="UQV55" s="389"/>
      <c r="URE55" s="389"/>
      <c r="URF55" s="389"/>
      <c r="URO55" s="389"/>
      <c r="URP55" s="389"/>
      <c r="URY55" s="389"/>
      <c r="URZ55" s="389"/>
      <c r="USI55" s="389"/>
      <c r="USJ55" s="389"/>
      <c r="USS55" s="389"/>
      <c r="UST55" s="389"/>
      <c r="UTC55" s="389"/>
      <c r="UTD55" s="389"/>
      <c r="UTM55" s="389"/>
      <c r="UTN55" s="389"/>
      <c r="UTW55" s="389"/>
      <c r="UTX55" s="389"/>
      <c r="UUG55" s="389"/>
      <c r="UUH55" s="389"/>
      <c r="UUQ55" s="389"/>
      <c r="UUR55" s="389"/>
      <c r="UVA55" s="389"/>
      <c r="UVB55" s="389"/>
      <c r="UVK55" s="389"/>
      <c r="UVL55" s="389"/>
      <c r="UVU55" s="389"/>
      <c r="UVV55" s="389"/>
      <c r="UWE55" s="389"/>
      <c r="UWF55" s="389"/>
      <c r="UWO55" s="389"/>
      <c r="UWP55" s="389"/>
      <c r="UWY55" s="389"/>
      <c r="UWZ55" s="389"/>
      <c r="UXI55" s="389"/>
      <c r="UXJ55" s="389"/>
      <c r="UXS55" s="389"/>
      <c r="UXT55" s="389"/>
      <c r="UYC55" s="389"/>
      <c r="UYD55" s="389"/>
      <c r="UYM55" s="389"/>
      <c r="UYN55" s="389"/>
      <c r="UYW55" s="389"/>
      <c r="UYX55" s="389"/>
      <c r="UZG55" s="389"/>
      <c r="UZH55" s="389"/>
      <c r="UZQ55" s="389"/>
      <c r="UZR55" s="389"/>
      <c r="VAA55" s="389"/>
      <c r="VAB55" s="389"/>
      <c r="VAK55" s="389"/>
      <c r="VAL55" s="389"/>
      <c r="VAU55" s="389"/>
      <c r="VAV55" s="389"/>
      <c r="VBE55" s="389"/>
      <c r="VBF55" s="389"/>
      <c r="VBO55" s="389"/>
      <c r="VBP55" s="389"/>
      <c r="VBY55" s="389"/>
      <c r="VBZ55" s="389"/>
      <c r="VCI55" s="389"/>
      <c r="VCJ55" s="389"/>
      <c r="VCS55" s="389"/>
      <c r="VCT55" s="389"/>
      <c r="VDC55" s="389"/>
      <c r="VDD55" s="389"/>
      <c r="VDM55" s="389"/>
      <c r="VDN55" s="389"/>
      <c r="VDW55" s="389"/>
      <c r="VDX55" s="389"/>
      <c r="VEG55" s="389"/>
      <c r="VEH55" s="389"/>
      <c r="VEQ55" s="389"/>
      <c r="VER55" s="389"/>
      <c r="VFA55" s="389"/>
      <c r="VFB55" s="389"/>
      <c r="VFK55" s="389"/>
      <c r="VFL55" s="389"/>
      <c r="VFU55" s="389"/>
      <c r="VFV55" s="389"/>
      <c r="VGE55" s="389"/>
      <c r="VGF55" s="389"/>
      <c r="VGO55" s="389"/>
      <c r="VGP55" s="389"/>
      <c r="VGY55" s="389"/>
      <c r="VGZ55" s="389"/>
      <c r="VHI55" s="389"/>
      <c r="VHJ55" s="389"/>
      <c r="VHS55" s="389"/>
      <c r="VHT55" s="389"/>
      <c r="VIC55" s="389"/>
      <c r="VID55" s="389"/>
      <c r="VIM55" s="389"/>
      <c r="VIN55" s="389"/>
      <c r="VIW55" s="389"/>
      <c r="VIX55" s="389"/>
      <c r="VJG55" s="389"/>
      <c r="VJH55" s="389"/>
      <c r="VJQ55" s="389"/>
      <c r="VJR55" s="389"/>
      <c r="VKA55" s="389"/>
      <c r="VKB55" s="389"/>
      <c r="VKK55" s="389"/>
      <c r="VKL55" s="389"/>
      <c r="VKU55" s="389"/>
      <c r="VKV55" s="389"/>
      <c r="VLE55" s="389"/>
      <c r="VLF55" s="389"/>
      <c r="VLO55" s="389"/>
      <c r="VLP55" s="389"/>
      <c r="VLY55" s="389"/>
      <c r="VLZ55" s="389"/>
      <c r="VMI55" s="389"/>
      <c r="VMJ55" s="389"/>
      <c r="VMS55" s="389"/>
      <c r="VMT55" s="389"/>
      <c r="VNC55" s="389"/>
      <c r="VND55" s="389"/>
      <c r="VNM55" s="389"/>
      <c r="VNN55" s="389"/>
      <c r="VNW55" s="389"/>
      <c r="VNX55" s="389"/>
      <c r="VOG55" s="389"/>
      <c r="VOH55" s="389"/>
      <c r="VOQ55" s="389"/>
      <c r="VOR55" s="389"/>
      <c r="VPA55" s="389"/>
      <c r="VPB55" s="389"/>
      <c r="VPK55" s="389"/>
      <c r="VPL55" s="389"/>
      <c r="VPU55" s="389"/>
      <c r="VPV55" s="389"/>
      <c r="VQE55" s="389"/>
      <c r="VQF55" s="389"/>
      <c r="VQO55" s="389"/>
      <c r="VQP55" s="389"/>
      <c r="VQY55" s="389"/>
      <c r="VQZ55" s="389"/>
      <c r="VRI55" s="389"/>
      <c r="VRJ55" s="389"/>
      <c r="VRS55" s="389"/>
      <c r="VRT55" s="389"/>
      <c r="VSC55" s="389"/>
      <c r="VSD55" s="389"/>
      <c r="VSM55" s="389"/>
      <c r="VSN55" s="389"/>
      <c r="VSW55" s="389"/>
      <c r="VSX55" s="389"/>
      <c r="VTG55" s="389"/>
      <c r="VTH55" s="389"/>
      <c r="VTQ55" s="389"/>
      <c r="VTR55" s="389"/>
      <c r="VUA55" s="389"/>
      <c r="VUB55" s="389"/>
      <c r="VUK55" s="389"/>
      <c r="VUL55" s="389"/>
      <c r="VUU55" s="389"/>
      <c r="VUV55" s="389"/>
      <c r="VVE55" s="389"/>
      <c r="VVF55" s="389"/>
      <c r="VVO55" s="389"/>
      <c r="VVP55" s="389"/>
      <c r="VVY55" s="389"/>
      <c r="VVZ55" s="389"/>
      <c r="VWI55" s="389"/>
      <c r="VWJ55" s="389"/>
      <c r="VWS55" s="389"/>
      <c r="VWT55" s="389"/>
      <c r="VXC55" s="389"/>
      <c r="VXD55" s="389"/>
      <c r="VXM55" s="389"/>
      <c r="VXN55" s="389"/>
      <c r="VXW55" s="389"/>
      <c r="VXX55" s="389"/>
      <c r="VYG55" s="389"/>
      <c r="VYH55" s="389"/>
      <c r="VYQ55" s="389"/>
      <c r="VYR55" s="389"/>
      <c r="VZA55" s="389"/>
      <c r="VZB55" s="389"/>
      <c r="VZK55" s="389"/>
      <c r="VZL55" s="389"/>
      <c r="VZU55" s="389"/>
      <c r="VZV55" s="389"/>
      <c r="WAE55" s="389"/>
      <c r="WAF55" s="389"/>
      <c r="WAO55" s="389"/>
      <c r="WAP55" s="389"/>
      <c r="WAY55" s="389"/>
      <c r="WAZ55" s="389"/>
      <c r="WBI55" s="389"/>
      <c r="WBJ55" s="389"/>
      <c r="WBS55" s="389"/>
      <c r="WBT55" s="389"/>
      <c r="WCC55" s="389"/>
      <c r="WCD55" s="389"/>
      <c r="WCM55" s="389"/>
      <c r="WCN55" s="389"/>
      <c r="WCW55" s="389"/>
      <c r="WCX55" s="389"/>
      <c r="WDG55" s="389"/>
      <c r="WDH55" s="389"/>
      <c r="WDQ55" s="389"/>
      <c r="WDR55" s="389"/>
      <c r="WEA55" s="389"/>
      <c r="WEB55" s="389"/>
      <c r="WEK55" s="389"/>
      <c r="WEL55" s="389"/>
      <c r="WEU55" s="389"/>
      <c r="WEV55" s="389"/>
      <c r="WFE55" s="389"/>
      <c r="WFF55" s="389"/>
      <c r="WFO55" s="389"/>
      <c r="WFP55" s="389"/>
      <c r="WFY55" s="389"/>
      <c r="WFZ55" s="389"/>
      <c r="WGI55" s="389"/>
      <c r="WGJ55" s="389"/>
      <c r="WGS55" s="389"/>
      <c r="WGT55" s="389"/>
      <c r="WHC55" s="389"/>
      <c r="WHD55" s="389"/>
      <c r="WHM55" s="389"/>
      <c r="WHN55" s="389"/>
      <c r="WHW55" s="389"/>
      <c r="WHX55" s="389"/>
      <c r="WIG55" s="389"/>
      <c r="WIH55" s="389"/>
      <c r="WIQ55" s="389"/>
      <c r="WIR55" s="389"/>
      <c r="WJA55" s="389"/>
      <c r="WJB55" s="389"/>
      <c r="WJK55" s="389"/>
      <c r="WJL55" s="389"/>
      <c r="WJU55" s="389"/>
      <c r="WJV55" s="389"/>
      <c r="WKE55" s="389"/>
      <c r="WKF55" s="389"/>
      <c r="WKO55" s="389"/>
      <c r="WKP55" s="389"/>
      <c r="WKY55" s="389"/>
      <c r="WKZ55" s="389"/>
      <c r="WLI55" s="389"/>
      <c r="WLJ55" s="389"/>
      <c r="WLS55" s="389"/>
      <c r="WLT55" s="389"/>
      <c r="WMC55" s="389"/>
      <c r="WMD55" s="389"/>
      <c r="WMM55" s="389"/>
      <c r="WMN55" s="389"/>
      <c r="WMW55" s="389"/>
      <c r="WMX55" s="389"/>
      <c r="WNG55" s="389"/>
      <c r="WNH55" s="389"/>
      <c r="WNQ55" s="389"/>
      <c r="WNR55" s="389"/>
      <c r="WOA55" s="389"/>
      <c r="WOB55" s="389"/>
      <c r="WOK55" s="389"/>
      <c r="WOL55" s="389"/>
      <c r="WOU55" s="389"/>
      <c r="WOV55" s="389"/>
      <c r="WPE55" s="389"/>
      <c r="WPF55" s="389"/>
      <c r="WPO55" s="389"/>
      <c r="WPP55" s="389"/>
      <c r="WPY55" s="389"/>
      <c r="WPZ55" s="389"/>
      <c r="WQI55" s="389"/>
      <c r="WQJ55" s="389"/>
      <c r="WQS55" s="389"/>
      <c r="WQT55" s="389"/>
      <c r="WRC55" s="389"/>
      <c r="WRD55" s="389"/>
      <c r="WRM55" s="389"/>
      <c r="WRN55" s="389"/>
      <c r="WRW55" s="389"/>
      <c r="WRX55" s="389"/>
      <c r="WSG55" s="389"/>
      <c r="WSH55" s="389"/>
      <c r="WSQ55" s="389"/>
      <c r="WSR55" s="389"/>
      <c r="WTA55" s="389"/>
      <c r="WTB55" s="389"/>
      <c r="WTK55" s="389"/>
      <c r="WTL55" s="389"/>
      <c r="WTU55" s="389"/>
      <c r="WTV55" s="389"/>
      <c r="WUE55" s="389"/>
      <c r="WUF55" s="389"/>
      <c r="WUO55" s="389"/>
      <c r="WUP55" s="389"/>
      <c r="WUY55" s="389"/>
      <c r="WUZ55" s="389"/>
      <c r="WVI55" s="389"/>
      <c r="WVJ55" s="389"/>
      <c r="WVS55" s="389"/>
      <c r="WVT55" s="389"/>
      <c r="WWC55" s="389"/>
      <c r="WWD55" s="389"/>
      <c r="WWM55" s="389"/>
      <c r="WWN55" s="389"/>
      <c r="WWW55" s="389"/>
      <c r="WWX55" s="389"/>
      <c r="WXG55" s="389"/>
      <c r="WXH55" s="389"/>
      <c r="WXQ55" s="389"/>
      <c r="WXR55" s="389"/>
      <c r="WYA55" s="389"/>
      <c r="WYB55" s="389"/>
      <c r="WYK55" s="389"/>
      <c r="WYL55" s="389"/>
      <c r="WYU55" s="389"/>
      <c r="WYV55" s="389"/>
      <c r="WZE55" s="389"/>
      <c r="WZF55" s="389"/>
      <c r="WZO55" s="389"/>
      <c r="WZP55" s="389"/>
      <c r="WZY55" s="389"/>
      <c r="WZZ55" s="389"/>
      <c r="XAI55" s="389"/>
      <c r="XAJ55" s="389"/>
      <c r="XAS55" s="389"/>
      <c r="XAT55" s="389"/>
      <c r="XBC55" s="389"/>
      <c r="XBD55" s="389"/>
      <c r="XBM55" s="389"/>
      <c r="XBN55" s="389"/>
      <c r="XBW55" s="389"/>
      <c r="XBX55" s="389"/>
      <c r="XCG55" s="389"/>
      <c r="XCH55" s="389"/>
      <c r="XCQ55" s="389"/>
      <c r="XCR55" s="389"/>
      <c r="XDA55" s="389"/>
      <c r="XDB55" s="389"/>
      <c r="XDK55" s="389"/>
      <c r="XDL55" s="389"/>
      <c r="XDU55" s="389"/>
      <c r="XDV55" s="389"/>
      <c r="XEE55" s="389"/>
      <c r="XEF55" s="389"/>
      <c r="XEO55" s="389"/>
      <c r="XEP55" s="389"/>
      <c r="XEY55" s="389"/>
      <c r="XEZ55" s="389"/>
    </row>
    <row r="56" spans="1:1020 1029:2040 2049:3070 3079:4090 4099:5120 5129:6140 6149:7160 7169:8190 8199:9210 9219:10240 10249:11260 11269:12280 12289:13310 13319:14330 14339:15360 15369:16380" ht="60" customHeight="1" thickBot="1" x14ac:dyDescent="0.25">
      <c r="A56" s="1470" t="s">
        <v>4</v>
      </c>
      <c r="B56" s="1472" t="s">
        <v>306</v>
      </c>
      <c r="C56" s="1474" t="s">
        <v>264</v>
      </c>
      <c r="D56" s="1475"/>
      <c r="E56" s="1476" t="s">
        <v>373</v>
      </c>
      <c r="F56" s="1701" t="s">
        <v>276</v>
      </c>
      <c r="G56" s="1480" t="s">
        <v>27</v>
      </c>
      <c r="H56" s="1481"/>
      <c r="I56" s="1480" t="s">
        <v>563</v>
      </c>
      <c r="J56" s="1481"/>
      <c r="K56" s="1480" t="s">
        <v>560</v>
      </c>
      <c r="L56" s="1481"/>
      <c r="M56" s="427" t="s">
        <v>58</v>
      </c>
    </row>
    <row r="57" spans="1:1020 1029:2040 2049:3070 3079:4090 4099:5120 5129:6140 6149:7160 7169:8190 8199:9210 9219:10240 10249:11260 11269:12280 12289:13310 13319:14330 14339:15360 15369:16380" ht="60" customHeight="1" thickBot="1" x14ac:dyDescent="0.25">
      <c r="A57" s="1730"/>
      <c r="B57" s="1731"/>
      <c r="C57" s="427" t="s">
        <v>267</v>
      </c>
      <c r="D57" s="427" t="s">
        <v>275</v>
      </c>
      <c r="E57" s="1726"/>
      <c r="F57" s="1727"/>
      <c r="G57" s="1170" t="s">
        <v>561</v>
      </c>
      <c r="H57" s="1170" t="s">
        <v>562</v>
      </c>
      <c r="I57" s="1170" t="s">
        <v>561</v>
      </c>
      <c r="J57" s="1170" t="s">
        <v>562</v>
      </c>
      <c r="K57" s="1170" t="s">
        <v>561</v>
      </c>
      <c r="L57" s="1170" t="s">
        <v>562</v>
      </c>
      <c r="M57" s="427" t="s">
        <v>59</v>
      </c>
    </row>
    <row r="58" spans="1:1020 1029:2040 2049:3070 3079:4090 4099:5120 5129:6140 6149:7160 7169:8190 8199:9210 9219:10240 10249:11260 11269:12280 12289:13310 13319:14330 14339:15360 15369:16380" ht="27.95" customHeight="1" thickBot="1" x14ac:dyDescent="0.25">
      <c r="A58" s="1099">
        <v>1</v>
      </c>
      <c r="B58" s="1100" t="e">
        <f>'10 kg % (C)'!$I$8</f>
        <v>#N/A</v>
      </c>
      <c r="C58" s="1101" t="str">
        <f>'DATOS %'!B76</f>
        <v>10 kg</v>
      </c>
      <c r="D58" s="1102" t="e">
        <f>'10 kg % (C)'!$F$76</f>
        <v>#N/A</v>
      </c>
      <c r="E58" s="1102">
        <f>'DATOS %'!W150</f>
        <v>0.17</v>
      </c>
      <c r="F58" s="1102">
        <f>'DATOS %'!X150</f>
        <v>0.5</v>
      </c>
      <c r="G58" s="1103" t="e">
        <f>'gramo Max-Min %'!AA30</f>
        <v>#N/A</v>
      </c>
      <c r="H58" s="1103" t="e">
        <f>'gramo Max-Min %'!AA29</f>
        <v>#N/A</v>
      </c>
      <c r="I58" s="1103" t="e">
        <f>'gramo Max-Min %'!AB30</f>
        <v>#N/A</v>
      </c>
      <c r="J58" s="1104" t="e">
        <f>'gramo Max-Min %'!AB29</f>
        <v>#N/A</v>
      </c>
      <c r="K58" s="1104" t="e">
        <f>'gramo Max-Min %'!AC30</f>
        <v>#N/A</v>
      </c>
      <c r="L58" s="1104" t="e">
        <f>'gramo Max-Min %'!AC29</f>
        <v>#N/A</v>
      </c>
      <c r="M58" s="1105" t="e">
        <f>IF(ABS(D58)+E58&gt;=((F58)),"NO","SI")</f>
        <v>#N/A</v>
      </c>
    </row>
    <row r="59" spans="1:1020 1029:2040 2049:3070 3079:4090 4099:5120 5129:6140 6149:7160 7169:8190 8199:9210 9219:10240 10249:11260 11269:12280 12289:13310 13319:14330 14339:15360 15369:16380" ht="20.100000000000001" customHeight="1" x14ac:dyDescent="0.2">
      <c r="A59" s="1002"/>
      <c r="B59" s="1002"/>
      <c r="C59" s="1002"/>
      <c r="D59" s="1002"/>
      <c r="E59" s="1002"/>
      <c r="F59" s="1002"/>
      <c r="G59" s="1003"/>
      <c r="H59" s="1003"/>
      <c r="I59" s="1003"/>
      <c r="J59" s="1004"/>
    </row>
    <row r="60" spans="1:1020 1029:2040 2049:3070 3079:4090 4099:5120 5129:6140 6149:7160 7169:8190 8199:9210 9219:10240 10249:11260 11269:12280 12289:13310 13319:14330 14339:15360 15369:16380" ht="20.100000000000001" customHeight="1" x14ac:dyDescent="0.2">
      <c r="A60" s="1452" t="s">
        <v>456</v>
      </c>
      <c r="B60" s="1452"/>
      <c r="C60" s="1452"/>
      <c r="D60" s="1452"/>
      <c r="E60" s="1452"/>
      <c r="F60" s="1452"/>
      <c r="G60" s="1452"/>
      <c r="H60" s="1452"/>
      <c r="I60" s="1452"/>
      <c r="J60" s="1452"/>
      <c r="K60" s="1452"/>
      <c r="L60" s="1452"/>
      <c r="M60" s="1452"/>
    </row>
    <row r="61" spans="1:1020 1029:2040 2049:3070 3079:4090 4099:5120 5129:6140 6149:7160 7169:8190 8199:9210 9219:10240 10249:11260 11269:12280 12289:13310 13319:14330 14339:15360 15369:16380" ht="20.100000000000001" customHeight="1" x14ac:dyDescent="0.2">
      <c r="A61" s="1452"/>
      <c r="B61" s="1452"/>
      <c r="C61" s="1452"/>
      <c r="D61" s="1452"/>
      <c r="E61" s="1452"/>
      <c r="F61" s="1452"/>
      <c r="G61" s="1452"/>
      <c r="H61" s="1452"/>
      <c r="I61" s="1452"/>
      <c r="J61" s="1452"/>
      <c r="K61" s="1452"/>
      <c r="L61" s="1452"/>
      <c r="M61" s="1452"/>
    </row>
    <row r="62" spans="1:1020 1029:2040 2049:3070 3079:4090 4099:5120 5129:6140 6149:7160 7169:8190 8199:9210 9219:10240 10249:11260 11269:12280 12289:13310 13319:14330 14339:15360 15369:16380" ht="20.100000000000001" customHeight="1" x14ac:dyDescent="0.2">
      <c r="A62" s="1452"/>
      <c r="B62" s="1452"/>
      <c r="C62" s="1452"/>
      <c r="D62" s="1452"/>
      <c r="E62" s="1452"/>
      <c r="F62" s="1452"/>
      <c r="G62" s="1452"/>
      <c r="H62" s="1452"/>
      <c r="I62" s="1452"/>
      <c r="J62" s="1452"/>
      <c r="K62" s="1452"/>
      <c r="L62" s="1452"/>
      <c r="M62" s="1452"/>
    </row>
    <row r="63" spans="1:1020 1029:2040 2049:3070 3079:4090 4099:5120 5129:6140 6149:7160 7169:8190 8199:9210 9219:10240 10249:11260 11269:12280 12289:13310 13319:14330 14339:15360 15369:16380" ht="20.100000000000001" customHeight="1" x14ac:dyDescent="0.2">
      <c r="A63" s="1005"/>
      <c r="B63" s="1005"/>
      <c r="C63" s="1005"/>
      <c r="D63" s="1005"/>
      <c r="E63" s="1005"/>
      <c r="F63" s="1005"/>
      <c r="G63" s="1005"/>
      <c r="H63" s="1005"/>
      <c r="I63" s="1005"/>
      <c r="J63" s="1005"/>
    </row>
    <row r="64" spans="1:1020 1029:2040 2049:3070 3079:4090 4099:5120 5129:6140 6149:7160 7169:8190 8199:9210 9219:10240 10249:11260 11269:12280 12289:13310 13319:14330 14339:15360 15369:16380" ht="23.1" customHeight="1" x14ac:dyDescent="0.2">
      <c r="A64" s="1005"/>
      <c r="B64" s="1005"/>
      <c r="C64" s="1005"/>
      <c r="D64" s="1005"/>
      <c r="E64" s="1005"/>
      <c r="F64" s="1005"/>
      <c r="G64" s="1005"/>
      <c r="H64" s="1005"/>
      <c r="I64" s="1005"/>
      <c r="J64" s="1005"/>
    </row>
    <row r="65" spans="1:13" ht="125.1" customHeight="1" x14ac:dyDescent="0.2">
      <c r="A65" s="1006"/>
      <c r="B65" s="1006"/>
      <c r="C65" s="1006"/>
      <c r="D65" s="1006"/>
      <c r="E65" s="1006"/>
      <c r="F65" s="1006"/>
      <c r="G65" s="1006"/>
      <c r="H65" s="1006"/>
      <c r="I65" s="1006"/>
      <c r="J65" s="1006"/>
    </row>
    <row r="66" spans="1:13" ht="35.1" customHeight="1" x14ac:dyDescent="0.2">
      <c r="A66" s="1006"/>
      <c r="B66" s="1006"/>
      <c r="C66" s="1006"/>
      <c r="D66" s="1006"/>
      <c r="E66" s="1006"/>
      <c r="F66" s="1006"/>
      <c r="G66" s="1006"/>
      <c r="H66" s="1006"/>
      <c r="I66" s="1006"/>
      <c r="J66" s="1006"/>
    </row>
    <row r="67" spans="1:13" ht="35.1" customHeight="1" x14ac:dyDescent="0.2">
      <c r="A67" s="1006"/>
      <c r="B67" s="1006"/>
      <c r="C67" s="1006"/>
      <c r="D67" s="1006"/>
      <c r="E67" s="1006"/>
      <c r="F67" s="1006"/>
      <c r="J67" s="1446" t="s">
        <v>24</v>
      </c>
      <c r="K67" s="1446"/>
      <c r="L67" s="1447">
        <f>L3</f>
        <v>0</v>
      </c>
      <c r="M67" s="1447"/>
    </row>
    <row r="68" spans="1:13" ht="23.1" customHeight="1" x14ac:dyDescent="0.2">
      <c r="A68" s="1482" t="s">
        <v>251</v>
      </c>
      <c r="B68" s="1482"/>
      <c r="C68" s="1482"/>
      <c r="D68" s="1482"/>
    </row>
    <row r="69" spans="1:13" ht="20.100000000000001" customHeight="1" x14ac:dyDescent="0.2"/>
    <row r="70" spans="1:13" s="1007" customFormat="1" ht="33" customHeight="1" x14ac:dyDescent="0.25">
      <c r="A70" s="1169" t="s">
        <v>130</v>
      </c>
      <c r="B70" s="1438" t="s">
        <v>270</v>
      </c>
      <c r="C70" s="1438"/>
      <c r="D70" s="1438"/>
      <c r="E70" s="1438"/>
      <c r="F70" s="1438"/>
      <c r="G70" s="1438"/>
      <c r="H70" s="1438"/>
      <c r="I70" s="1438"/>
      <c r="J70" s="1438"/>
      <c r="K70" s="1438"/>
      <c r="L70" s="1438"/>
      <c r="M70" s="1438"/>
    </row>
    <row r="71" spans="1:13" s="1007" customFormat="1" ht="33" customHeight="1" x14ac:dyDescent="0.25">
      <c r="A71" s="1169" t="s">
        <v>130</v>
      </c>
      <c r="B71" s="1438" t="s">
        <v>271</v>
      </c>
      <c r="C71" s="1438"/>
      <c r="D71" s="1438"/>
      <c r="E71" s="1438"/>
      <c r="F71" s="1438"/>
      <c r="G71" s="1438"/>
      <c r="H71" s="1438"/>
      <c r="I71" s="1438"/>
      <c r="J71" s="1438"/>
      <c r="K71" s="1438"/>
      <c r="L71" s="1438"/>
      <c r="M71" s="1438"/>
    </row>
    <row r="72" spans="1:13" s="1007" customFormat="1" ht="33" customHeight="1" x14ac:dyDescent="0.25">
      <c r="A72" s="1169" t="s">
        <v>130</v>
      </c>
      <c r="B72" s="1438" t="s">
        <v>284</v>
      </c>
      <c r="C72" s="1438"/>
      <c r="D72" s="1438"/>
      <c r="E72" s="1438"/>
      <c r="F72" s="1438"/>
      <c r="G72" s="1438"/>
      <c r="H72" s="1438"/>
      <c r="I72" s="1438"/>
      <c r="J72" s="1438"/>
      <c r="K72" s="1438"/>
      <c r="L72" s="1438"/>
      <c r="M72" s="1438"/>
    </row>
    <row r="73" spans="1:13" s="1007" customFormat="1" ht="23.1" customHeight="1" x14ac:dyDescent="0.25">
      <c r="A73" s="1169" t="s">
        <v>130</v>
      </c>
      <c r="B73" s="1438" t="s">
        <v>317</v>
      </c>
      <c r="C73" s="1438"/>
      <c r="D73" s="1438"/>
      <c r="E73" s="1438"/>
      <c r="F73" s="1438"/>
      <c r="G73" s="1438"/>
      <c r="H73" s="1438"/>
      <c r="I73" s="1438"/>
      <c r="J73" s="1438"/>
      <c r="K73" s="1438"/>
      <c r="L73" s="1438"/>
      <c r="M73" s="1438"/>
    </row>
    <row r="74" spans="1:13" s="1007" customFormat="1" ht="23.1" customHeight="1" x14ac:dyDescent="0.25">
      <c r="A74" s="1169" t="s">
        <v>130</v>
      </c>
      <c r="B74" s="1438" t="s">
        <v>185</v>
      </c>
      <c r="C74" s="1438"/>
      <c r="D74" s="1438"/>
      <c r="E74" s="1438"/>
      <c r="F74" s="1438"/>
      <c r="G74" s="1438"/>
      <c r="H74" s="1438"/>
      <c r="I74" s="1438"/>
      <c r="J74" s="1438"/>
      <c r="K74" s="1438"/>
      <c r="L74" s="1438"/>
      <c r="M74" s="1438"/>
    </row>
    <row r="75" spans="1:13" s="1007" customFormat="1" ht="33" customHeight="1" x14ac:dyDescent="0.25">
      <c r="A75" s="1169" t="s">
        <v>130</v>
      </c>
      <c r="B75" s="1438" t="s">
        <v>272</v>
      </c>
      <c r="C75" s="1438"/>
      <c r="D75" s="1438"/>
      <c r="E75" s="1438"/>
      <c r="F75" s="1438"/>
      <c r="G75" s="1438"/>
      <c r="H75" s="1438"/>
      <c r="I75" s="1438"/>
      <c r="J75" s="1438"/>
      <c r="K75" s="1438"/>
      <c r="L75" s="1438"/>
      <c r="M75" s="1438"/>
    </row>
    <row r="76" spans="1:13" s="1007" customFormat="1" ht="23.1" customHeight="1" x14ac:dyDescent="0.25">
      <c r="A76" s="1169" t="s">
        <v>130</v>
      </c>
      <c r="B76" s="1438" t="s">
        <v>295</v>
      </c>
      <c r="C76" s="1438"/>
      <c r="D76" s="1438"/>
      <c r="E76" s="1438"/>
      <c r="F76" s="1438"/>
      <c r="G76" s="1438"/>
      <c r="H76" s="1438"/>
      <c r="I76" s="1438"/>
      <c r="J76" s="1438"/>
      <c r="K76" s="1438"/>
      <c r="L76" s="1438"/>
      <c r="M76" s="1438"/>
    </row>
    <row r="77" spans="1:13" s="1007" customFormat="1" ht="23.1" customHeight="1" x14ac:dyDescent="0.25">
      <c r="A77" s="1169" t="s">
        <v>130</v>
      </c>
      <c r="B77" s="1438" t="s">
        <v>285</v>
      </c>
      <c r="C77" s="1438"/>
      <c r="D77" s="1438"/>
      <c r="E77" s="1438"/>
      <c r="F77" s="1438"/>
      <c r="G77" s="1438"/>
      <c r="H77" s="1438"/>
      <c r="I77" s="1438"/>
      <c r="J77" s="1438"/>
      <c r="K77" s="1438"/>
      <c r="L77" s="1438"/>
      <c r="M77" s="1438"/>
    </row>
    <row r="78" spans="1:13" ht="23.1" customHeight="1" x14ac:dyDescent="0.2">
      <c r="A78" s="1169" t="s">
        <v>130</v>
      </c>
      <c r="B78" s="1438" t="s">
        <v>308</v>
      </c>
      <c r="C78" s="1438"/>
      <c r="D78" s="1438"/>
      <c r="E78" s="1438"/>
      <c r="F78" s="1438"/>
      <c r="G78" s="1438"/>
      <c r="H78" s="1438"/>
      <c r="I78" s="1438"/>
      <c r="J78" s="1438"/>
      <c r="K78" s="1438"/>
      <c r="L78" s="1438"/>
      <c r="M78" s="1438"/>
    </row>
    <row r="79" spans="1:13" ht="23.1" customHeight="1" x14ac:dyDescent="0.2">
      <c r="A79" s="1169" t="s">
        <v>130</v>
      </c>
      <c r="B79" s="1438" t="s">
        <v>349</v>
      </c>
      <c r="C79" s="1438"/>
      <c r="D79" s="1438"/>
      <c r="E79" s="1438"/>
      <c r="F79" s="1438"/>
      <c r="G79" s="1438"/>
      <c r="H79" s="1438"/>
      <c r="I79" s="1438"/>
      <c r="J79" s="1438"/>
      <c r="K79" s="1438"/>
      <c r="L79" s="1438"/>
      <c r="M79" s="1438"/>
    </row>
    <row r="80" spans="1:13" ht="33" customHeight="1" x14ac:dyDescent="0.2">
      <c r="A80" s="1169" t="s">
        <v>130</v>
      </c>
      <c r="B80" s="1438" t="s">
        <v>545</v>
      </c>
      <c r="C80" s="1438"/>
      <c r="D80" s="1438"/>
      <c r="E80" s="1438"/>
      <c r="F80" s="1438"/>
      <c r="G80" s="1438"/>
      <c r="H80" s="1438"/>
      <c r="I80" s="1438"/>
      <c r="J80" s="1438"/>
      <c r="K80" s="1438"/>
      <c r="L80" s="1438"/>
      <c r="M80" s="1438"/>
    </row>
    <row r="81" spans="1:13" ht="20.100000000000001" customHeight="1" x14ac:dyDescent="0.2">
      <c r="A81" s="395"/>
      <c r="B81" s="1738"/>
      <c r="C81" s="1738"/>
      <c r="D81" s="1738"/>
      <c r="E81" s="1738"/>
      <c r="F81" s="1738"/>
      <c r="G81" s="1738"/>
      <c r="H81" s="1738"/>
      <c r="I81" s="1738"/>
      <c r="J81" s="1738"/>
    </row>
    <row r="82" spans="1:13" ht="20.100000000000001" customHeight="1" x14ac:dyDescent="0.2"/>
    <row r="83" spans="1:13" ht="23.1" customHeight="1" x14ac:dyDescent="0.25">
      <c r="A83" s="1484" t="s">
        <v>16</v>
      </c>
      <c r="B83" s="1484"/>
      <c r="C83" s="1484"/>
      <c r="E83" s="396"/>
    </row>
    <row r="84" spans="1:13" ht="20.100000000000001" customHeight="1" x14ac:dyDescent="0.2"/>
    <row r="85" spans="1:13" ht="20.100000000000001" customHeight="1" x14ac:dyDescent="0.2">
      <c r="G85" s="1008"/>
      <c r="J85" s="984"/>
    </row>
    <row r="86" spans="1:13" ht="23.1" customHeight="1" thickBot="1" x14ac:dyDescent="0.3">
      <c r="A86" s="396"/>
      <c r="B86" s="1737"/>
      <c r="C86" s="1737"/>
      <c r="D86" s="1737"/>
      <c r="E86" s="1737"/>
      <c r="F86" s="397"/>
      <c r="I86" s="1009"/>
      <c r="J86" s="1009"/>
      <c r="K86" s="1009"/>
      <c r="L86" s="397"/>
    </row>
    <row r="87" spans="1:13" ht="23.1" customHeight="1" x14ac:dyDescent="0.2">
      <c r="B87" s="1442" t="s">
        <v>247</v>
      </c>
      <c r="C87" s="1442"/>
      <c r="D87" s="1442"/>
      <c r="E87" s="1442"/>
      <c r="F87" s="985"/>
      <c r="I87" s="1443" t="s">
        <v>127</v>
      </c>
      <c r="J87" s="1443"/>
      <c r="K87" s="1443"/>
      <c r="L87" s="1443"/>
    </row>
    <row r="88" spans="1:13" ht="23.1" customHeight="1" x14ac:dyDescent="0.25">
      <c r="A88" s="396"/>
      <c r="B88" s="1439" t="e">
        <f>VLOOKUP($F$86,'DATOS %'!$V$161:$Y$165,4,FALSE)</f>
        <v>#N/A</v>
      </c>
      <c r="C88" s="1439"/>
      <c r="D88" s="1439"/>
      <c r="E88" s="1439"/>
      <c r="F88" s="970"/>
      <c r="I88" s="1439" t="e">
        <f>VLOOKUP($L$86,'DATOS %'!V161:AA165,6,FALSE)</f>
        <v>#N/A</v>
      </c>
      <c r="J88" s="1439"/>
      <c r="K88" s="1439"/>
      <c r="L88" s="1439"/>
    </row>
    <row r="89" spans="1:13" ht="23.1" customHeight="1" x14ac:dyDescent="0.2">
      <c r="B89" s="1439" t="e">
        <f>VLOOKUP($F$86,'DATOS %'!$V$161:$Y$165,2,FALSE)</f>
        <v>#N/A</v>
      </c>
      <c r="C89" s="1439"/>
      <c r="D89" s="1439"/>
      <c r="E89" s="1439"/>
      <c r="F89" s="985"/>
      <c r="I89" s="1439" t="e">
        <f>VLOOKUP($L$86,'DATOS %'!$V$161:$AA$165,2,FALSE)</f>
        <v>#N/A</v>
      </c>
      <c r="J89" s="1439"/>
      <c r="K89" s="1439"/>
      <c r="L89" s="1439"/>
    </row>
    <row r="90" spans="1:13" x14ac:dyDescent="0.2">
      <c r="J90" s="984"/>
    </row>
    <row r="91" spans="1:13" ht="23.1" customHeight="1" x14ac:dyDescent="0.2">
      <c r="B91" s="1734" t="s">
        <v>296</v>
      </c>
      <c r="C91" s="1734"/>
      <c r="D91" s="1732"/>
      <c r="E91" s="1732"/>
      <c r="H91" s="1735" t="s">
        <v>350</v>
      </c>
      <c r="I91" s="1735"/>
      <c r="J91" s="1735"/>
      <c r="K91" s="1732"/>
      <c r="L91" s="1732"/>
    </row>
    <row r="92" spans="1:13" x14ac:dyDescent="0.2">
      <c r="J92" s="984"/>
    </row>
    <row r="93" spans="1:13" ht="23.1" customHeight="1" x14ac:dyDescent="0.25">
      <c r="A93" s="1436" t="s">
        <v>60</v>
      </c>
      <c r="B93" s="1436"/>
      <c r="C93" s="1436"/>
      <c r="D93" s="1436"/>
      <c r="E93" s="1436"/>
      <c r="F93" s="1436"/>
      <c r="G93" s="1436"/>
      <c r="H93" s="1436"/>
      <c r="I93" s="1436"/>
      <c r="J93" s="1436"/>
      <c r="K93" s="1436"/>
      <c r="L93" s="1436"/>
      <c r="M93" s="1436"/>
    </row>
  </sheetData>
  <sheetProtection password="CF5C" sheet="1" objects="1" scenarios="1"/>
  <mergeCells count="101">
    <mergeCell ref="A51:M52"/>
    <mergeCell ref="E36:F36"/>
    <mergeCell ref="A93:M93"/>
    <mergeCell ref="B87:E87"/>
    <mergeCell ref="I87:L87"/>
    <mergeCell ref="I88:L88"/>
    <mergeCell ref="B89:E89"/>
    <mergeCell ref="I89:L89"/>
    <mergeCell ref="A43:M43"/>
    <mergeCell ref="D91:E91"/>
    <mergeCell ref="K91:L91"/>
    <mergeCell ref="K56:L56"/>
    <mergeCell ref="B74:M74"/>
    <mergeCell ref="B75:M75"/>
    <mergeCell ref="B76:M76"/>
    <mergeCell ref="B77:M77"/>
    <mergeCell ref="A60:M62"/>
    <mergeCell ref="B70:M70"/>
    <mergeCell ref="B71:M71"/>
    <mergeCell ref="A68:D68"/>
    <mergeCell ref="A54:J54"/>
    <mergeCell ref="A56:A57"/>
    <mergeCell ref="B56:B57"/>
    <mergeCell ref="C56:D56"/>
    <mergeCell ref="B73:M73"/>
    <mergeCell ref="B79:M79"/>
    <mergeCell ref="B80:M80"/>
    <mergeCell ref="B78:M78"/>
    <mergeCell ref="B91:C91"/>
    <mergeCell ref="H91:J91"/>
    <mergeCell ref="G56:H56"/>
    <mergeCell ref="I56:J56"/>
    <mergeCell ref="B81:J81"/>
    <mergeCell ref="A83:C83"/>
    <mergeCell ref="B86:E86"/>
    <mergeCell ref="B72:M72"/>
    <mergeCell ref="E56:E57"/>
    <mergeCell ref="F56:F57"/>
    <mergeCell ref="A17:C17"/>
    <mergeCell ref="D17:E17"/>
    <mergeCell ref="F17:G17"/>
    <mergeCell ref="A19:E19"/>
    <mergeCell ref="F19:J19"/>
    <mergeCell ref="A21:F21"/>
    <mergeCell ref="B23:E23"/>
    <mergeCell ref="A24:D24"/>
    <mergeCell ref="E24:F24"/>
    <mergeCell ref="A26:J26"/>
    <mergeCell ref="A22:M22"/>
    <mergeCell ref="A28:M28"/>
    <mergeCell ref="J40:K40"/>
    <mergeCell ref="B35:C35"/>
    <mergeCell ref="D35:E35"/>
    <mergeCell ref="F35:G35"/>
    <mergeCell ref="A36:B36"/>
    <mergeCell ref="C36:D36"/>
    <mergeCell ref="A30:J30"/>
    <mergeCell ref="A31:J31"/>
    <mergeCell ref="B33:C34"/>
    <mergeCell ref="D33:E34"/>
    <mergeCell ref="F33:G34"/>
    <mergeCell ref="H33:K33"/>
    <mergeCell ref="H34:I34"/>
    <mergeCell ref="J34:K34"/>
    <mergeCell ref="G4:H4"/>
    <mergeCell ref="A15:C15"/>
    <mergeCell ref="D15:G15"/>
    <mergeCell ref="A16:C16"/>
    <mergeCell ref="D16:G16"/>
    <mergeCell ref="A7:B7"/>
    <mergeCell ref="D7:J7"/>
    <mergeCell ref="A8:B8"/>
    <mergeCell ref="D8:G8"/>
    <mergeCell ref="A10:C10"/>
    <mergeCell ref="D10:E10"/>
    <mergeCell ref="F10:H10"/>
    <mergeCell ref="I10:J10"/>
    <mergeCell ref="A1:M1"/>
    <mergeCell ref="L40:M40"/>
    <mergeCell ref="J67:K67"/>
    <mergeCell ref="L67:M67"/>
    <mergeCell ref="B88:E88"/>
    <mergeCell ref="A47:C47"/>
    <mergeCell ref="G47:H47"/>
    <mergeCell ref="I47:J47"/>
    <mergeCell ref="A49:J49"/>
    <mergeCell ref="A41:J41"/>
    <mergeCell ref="B45:D45"/>
    <mergeCell ref="H45:I45"/>
    <mergeCell ref="J45:K45"/>
    <mergeCell ref="B46:D46"/>
    <mergeCell ref="H46:I46"/>
    <mergeCell ref="J46:K46"/>
    <mergeCell ref="A6:B6"/>
    <mergeCell ref="D6:J6"/>
    <mergeCell ref="A12:J12"/>
    <mergeCell ref="A14:C14"/>
    <mergeCell ref="D14:J14"/>
    <mergeCell ref="J3:K3"/>
    <mergeCell ref="L3:M3"/>
    <mergeCell ref="A4:C4"/>
  </mergeCells>
  <dataValidations count="1">
    <dataValidation type="list" allowBlank="1" showInputMessage="1" showErrorMessage="1" sqref="F86" xr:uid="{00000000-0002-0000-2900-000000000000}">
      <formula1>$V$159:$V$163</formula1>
    </dataValidation>
  </dataValidations>
  <printOptions horizontalCentered="1"/>
  <pageMargins left="0.70866141732283472" right="0.70866141732283472" top="0.6692913385826772" bottom="0" header="0.31496062992125984" footer="0.31496062992125984"/>
  <pageSetup scale="65" orientation="portrait" r:id="rId1"/>
  <headerFooter>
    <oddHeader xml:space="preserve">&amp;C&amp;"-,Negrita"
           CERTIFICADO DE CALIBRACIÓN DE PESAS </oddHeader>
    <oddFooter>&amp;R
RT03-F16 Vr.13 (2021-05-21)
&amp;P de &amp;N</oddFooter>
  </headerFooter>
  <rowBreaks count="2" manualBreakCount="2">
    <brk id="37" max="12" man="1"/>
    <brk id="64" max="12" man="1"/>
  </rowBreaks>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2900-000001000000}">
          <x14:formula1>
            <xm:f>'DATOS %'!$V$161:$V$165</xm:f>
          </x14:formula1>
          <xm:sqref>L86</xm:sqref>
        </x14:dataValidation>
        <x14:dataValidation type="list" allowBlank="1" showInputMessage="1" showErrorMessage="1" xr:uid="{00000000-0002-0000-2900-000002000000}">
          <x14:formula1>
            <xm:f>'DATOS %'!$B$175:$B$187</xm:f>
          </x14:formula1>
          <xm:sqref>K32</xm:sqref>
        </x14:dataValidation>
      </x14:dataValidations>
    </ext>
  </extLs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rgb="FF7030A0"/>
  </sheetPr>
  <dimension ref="A1:U114"/>
  <sheetViews>
    <sheetView showGridLines="0" view="pageBreakPreview" zoomScale="80" zoomScaleNormal="60" zoomScaleSheetLayoutView="80" workbookViewId="0">
      <selection activeCell="C65" sqref="C65"/>
    </sheetView>
  </sheetViews>
  <sheetFormatPr baseColWidth="10" defaultColWidth="11.42578125" defaultRowHeight="31.5" customHeight="1" x14ac:dyDescent="0.2"/>
  <cols>
    <col min="1" max="1" width="14.7109375" style="37" customWidth="1"/>
    <col min="2" max="2" width="12" style="37" customWidth="1"/>
    <col min="3" max="3" width="15.7109375" style="37" customWidth="1"/>
    <col min="4" max="4" width="17" style="37" customWidth="1"/>
    <col min="5" max="5" width="15.5703125" style="37" customWidth="1"/>
    <col min="6" max="6" width="18.5703125" style="37" customWidth="1"/>
    <col min="7" max="7" width="15.7109375" style="37" customWidth="1"/>
    <col min="8" max="8" width="24.42578125" style="37" bestFit="1" customWidth="1"/>
    <col min="9" max="9" width="13.85546875" style="37" bestFit="1" customWidth="1"/>
    <col min="10" max="10" width="13.7109375" style="37" customWidth="1"/>
    <col min="11" max="19" width="11.42578125" style="8"/>
    <col min="20" max="20" width="15.85546875" style="8" bestFit="1" customWidth="1"/>
    <col min="21" max="21" width="14.42578125" style="8" bestFit="1" customWidth="1"/>
    <col min="22" max="16384" width="11.42578125" style="8"/>
  </cols>
  <sheetData>
    <row r="1" spans="1:16" ht="60" customHeight="1" thickBot="1" x14ac:dyDescent="0.25">
      <c r="A1" s="1257"/>
      <c r="B1" s="1258"/>
      <c r="C1" s="1259" t="s">
        <v>57</v>
      </c>
      <c r="D1" s="1260"/>
      <c r="E1" s="1260"/>
      <c r="F1" s="1260"/>
      <c r="G1" s="1260"/>
      <c r="H1" s="1260"/>
      <c r="I1" s="1260"/>
      <c r="J1" s="1260"/>
      <c r="K1" s="1260"/>
      <c r="L1" s="1260"/>
      <c r="M1" s="1261"/>
      <c r="N1" s="7"/>
      <c r="O1" s="7"/>
      <c r="P1" s="7"/>
    </row>
    <row r="2" spans="1:16" s="11" customFormat="1" ht="9.75" customHeight="1" thickBot="1" x14ac:dyDescent="0.25">
      <c r="A2" s="9"/>
      <c r="B2" s="9"/>
      <c r="C2" s="10"/>
      <c r="D2" s="10"/>
      <c r="E2" s="10"/>
      <c r="F2" s="10"/>
      <c r="G2" s="10"/>
      <c r="H2" s="10"/>
      <c r="K2" s="12"/>
      <c r="M2" s="7"/>
    </row>
    <row r="3" spans="1:16" s="12" customFormat="1" ht="35.25" customHeight="1" thickBot="1" x14ac:dyDescent="0.25">
      <c r="A3" s="13" t="s">
        <v>17</v>
      </c>
      <c r="B3" s="14" t="s">
        <v>55</v>
      </c>
      <c r="C3" s="15" t="s">
        <v>209</v>
      </c>
      <c r="D3" s="15" t="s">
        <v>56</v>
      </c>
      <c r="E3" s="15" t="s">
        <v>8</v>
      </c>
      <c r="F3" s="16" t="s">
        <v>18</v>
      </c>
      <c r="G3" s="16" t="s">
        <v>297</v>
      </c>
      <c r="H3" s="17" t="s">
        <v>24</v>
      </c>
      <c r="I3" s="1262"/>
      <c r="J3" s="1263"/>
      <c r="K3" s="11"/>
      <c r="M3" s="7"/>
    </row>
    <row r="4" spans="1:16" s="11" customFormat="1" ht="32.25" customHeight="1" thickBot="1" x14ac:dyDescent="0.25">
      <c r="A4" s="18" t="e">
        <f>VLOOKUP($I$3,'DATOS %'!B7:J40,2,FALSE)</f>
        <v>#N/A</v>
      </c>
      <c r="B4" s="212" t="e">
        <f>VLOOKUP($I$3,'DATOS %'!$B$7:$J$40,3,FALSE)</f>
        <v>#N/A</v>
      </c>
      <c r="C4" s="19" t="e">
        <f>VLOOKUP($I$3,'DATOS %'!$B$7:$J$40,8,FALSE)</f>
        <v>#N/A</v>
      </c>
      <c r="D4" s="19" t="e">
        <f>VLOOKUP($I$3,'DATOS %'!$B$7:$J$40,6,FALSE)</f>
        <v>#N/A</v>
      </c>
      <c r="E4" s="212" t="e">
        <f>VLOOKUP($I$3,'DATOS %'!$B$7:$J$40,7,FALSE)</f>
        <v>#N/A</v>
      </c>
      <c r="F4" s="18" t="e">
        <f>VLOOKUP($I$3,'DATOS %'!$B$7:$J$40,4,FALSE)</f>
        <v>#N/A</v>
      </c>
      <c r="G4" s="18" t="e">
        <f>VLOOKUP($I$3,'DATOS %'!$B$7:$J$40,5,FALSE)</f>
        <v>#N/A</v>
      </c>
      <c r="H4" s="19" t="e">
        <f>VLOOKUP($I$3,'DATOS %'!$B$7:$J$40,9,FALSE)</f>
        <v>#N/A</v>
      </c>
      <c r="I4" s="1264"/>
      <c r="J4" s="1265"/>
      <c r="K4" s="8"/>
      <c r="L4" s="20"/>
      <c r="M4" s="20"/>
    </row>
    <row r="5" spans="1:16" s="22" customFormat="1" ht="6.75" customHeight="1" thickBot="1" x14ac:dyDescent="0.25">
      <c r="A5" s="21"/>
      <c r="B5" s="21"/>
      <c r="C5" s="21"/>
      <c r="F5" s="21"/>
      <c r="G5" s="21"/>
      <c r="H5" s="21"/>
      <c r="K5" s="8"/>
    </row>
    <row r="6" spans="1:16" ht="31.5" customHeight="1" thickBot="1" x14ac:dyDescent="0.25">
      <c r="A6" s="1266" t="s">
        <v>19</v>
      </c>
      <c r="B6" s="1267"/>
      <c r="C6" s="1267"/>
      <c r="D6" s="1268"/>
      <c r="E6" s="4"/>
      <c r="F6" s="1266" t="s">
        <v>20</v>
      </c>
      <c r="G6" s="1267"/>
      <c r="H6" s="1267"/>
      <c r="I6" s="1268"/>
      <c r="J6" s="406">
        <f>I3</f>
        <v>0</v>
      </c>
    </row>
    <row r="7" spans="1:16" ht="31.5" customHeight="1" x14ac:dyDescent="0.2">
      <c r="A7" s="23" t="s">
        <v>21</v>
      </c>
      <c r="B7" s="24" t="e">
        <f>VLOOKUP($E$6,'DATOS %'!N11:AA113,2,FALSE)</f>
        <v>#N/A</v>
      </c>
      <c r="C7" s="25" t="s">
        <v>10</v>
      </c>
      <c r="D7" s="26" t="e">
        <f>VLOOKUP($E$6,'DATOS %'!N11:AA113,3,FALSE)</f>
        <v>#N/A</v>
      </c>
      <c r="E7" s="27"/>
      <c r="F7" s="23" t="s">
        <v>21</v>
      </c>
      <c r="G7" s="24" t="e">
        <f>VLOOKUP($J$6,'DATOS %'!B47:I79,2,FALSE)</f>
        <v>#N/A</v>
      </c>
      <c r="H7" s="28" t="s">
        <v>10</v>
      </c>
      <c r="I7" s="26" t="e">
        <f>VLOOKUP($J$6,'DATOS %'!B47:I79,3,FALSE)</f>
        <v>#N/A</v>
      </c>
      <c r="J7" s="29"/>
    </row>
    <row r="8" spans="1:16" ht="31.5" customHeight="1" x14ac:dyDescent="0.2">
      <c r="A8" s="30" t="s">
        <v>22</v>
      </c>
      <c r="B8" s="31" t="e">
        <f>VLOOKUP($E$6,'DATOS %'!N11:AA113,4,FALSE)</f>
        <v>#N/A</v>
      </c>
      <c r="C8" s="32" t="s">
        <v>23</v>
      </c>
      <c r="D8" s="33" t="e">
        <f>VLOOKUP($E$6,'DATOS %'!N11:AA113,5,FALSE)</f>
        <v>#N/A</v>
      </c>
      <c r="E8" s="27"/>
      <c r="F8" s="30" t="s">
        <v>22</v>
      </c>
      <c r="G8" s="31" t="e">
        <f>VLOOKUP($J$6,'DATOS %'!B47:I79,4,FALSE)</f>
        <v>#N/A</v>
      </c>
      <c r="H8" s="32" t="s">
        <v>23</v>
      </c>
      <c r="I8" s="297" t="e">
        <f>VLOOKUP($J$6,'DATOS %'!B47:I79,5,FALSE)</f>
        <v>#N/A</v>
      </c>
      <c r="J8" s="29"/>
    </row>
    <row r="9" spans="1:16" ht="31.5" customHeight="1" x14ac:dyDescent="0.2">
      <c r="A9" s="34" t="s">
        <v>24</v>
      </c>
      <c r="B9" s="31" t="e">
        <f>VLOOKUP($E$6,'DATOS %'!N11:AA113,6,FALSE)</f>
        <v>#N/A</v>
      </c>
      <c r="C9" s="35" t="s">
        <v>15</v>
      </c>
      <c r="D9" s="36" t="e">
        <f>VLOOKUP($E$6,'DATOS %'!N11:AA113,7,FALSE)</f>
        <v>#N/A</v>
      </c>
      <c r="F9" s="1252" t="s">
        <v>62</v>
      </c>
      <c r="G9" s="1253"/>
      <c r="H9" s="31" t="e">
        <f>VLOOKUP($J$6,'DATOS %'!B47:I79,6,FALSE)</f>
        <v>#N/A</v>
      </c>
      <c r="I9" s="33" t="s">
        <v>1</v>
      </c>
      <c r="J9" s="29"/>
      <c r="K9" s="208"/>
    </row>
    <row r="10" spans="1:16" s="38" customFormat="1" ht="31.5" customHeight="1" x14ac:dyDescent="0.25">
      <c r="A10" s="1252" t="s">
        <v>63</v>
      </c>
      <c r="B10" s="1253"/>
      <c r="C10" s="223" t="e">
        <f>VLOOKUP($E$6,'DATOS %'!N11:AA113,8,FALSE)</f>
        <v>#N/A</v>
      </c>
      <c r="D10" s="33" t="s">
        <v>1</v>
      </c>
      <c r="F10" s="1252" t="s">
        <v>64</v>
      </c>
      <c r="G10" s="1253"/>
      <c r="H10" s="213" t="e">
        <f>VLOOKUP($J$6,'DATOS %'!B47:I79,7,FALSE)</f>
        <v>#N/A</v>
      </c>
      <c r="I10" s="33" t="s">
        <v>76</v>
      </c>
      <c r="J10" s="39"/>
    </row>
    <row r="11" spans="1:16" s="38" customFormat="1" ht="31.5" customHeight="1" thickBot="1" x14ac:dyDescent="0.3">
      <c r="A11" s="1252" t="s">
        <v>65</v>
      </c>
      <c r="B11" s="1253"/>
      <c r="C11" s="31" t="e">
        <f>VLOOKUP($E$6,'DATOS %'!N11:AA113,9,FALSE)</f>
        <v>#N/A</v>
      </c>
      <c r="D11" s="33" t="s">
        <v>3</v>
      </c>
      <c r="E11" s="40"/>
      <c r="F11" s="1271" t="s">
        <v>66</v>
      </c>
      <c r="G11" s="1272"/>
      <c r="H11" s="41" t="e">
        <f>VLOOKUP($J$6,'DATOS %'!B47:I79,8,FALSE)</f>
        <v>#N/A</v>
      </c>
      <c r="I11" s="45" t="s">
        <v>76</v>
      </c>
      <c r="J11" s="39"/>
    </row>
    <row r="12" spans="1:16" s="38" customFormat="1" ht="31.5" customHeight="1" thickBot="1" x14ac:dyDescent="0.3">
      <c r="A12" s="1252" t="s">
        <v>67</v>
      </c>
      <c r="B12" s="1253"/>
      <c r="C12" s="31" t="e">
        <f>VLOOKUP($E$6,'DATOS %'!N11:AA113,10,FALSE)</f>
        <v>#N/A</v>
      </c>
      <c r="D12" s="33" t="s">
        <v>3</v>
      </c>
      <c r="E12" s="39"/>
      <c r="F12" s="39"/>
      <c r="G12" s="39"/>
      <c r="H12" s="39"/>
    </row>
    <row r="13" spans="1:16" s="38" customFormat="1" ht="31.5" customHeight="1" thickBot="1" x14ac:dyDescent="0.3">
      <c r="A13" s="1252" t="s">
        <v>68</v>
      </c>
      <c r="B13" s="1253"/>
      <c r="C13" s="213" t="e">
        <f>VLOOKUP($E$6,'DATOS %'!N11:AA113,11,FALSE)</f>
        <v>#N/A</v>
      </c>
      <c r="D13" s="33" t="s">
        <v>76</v>
      </c>
      <c r="E13" s="39"/>
      <c r="F13" s="1254" t="s">
        <v>559</v>
      </c>
      <c r="G13" s="1255"/>
      <c r="H13" s="1255"/>
      <c r="I13" s="1256"/>
      <c r="J13" s="5"/>
    </row>
    <row r="14" spans="1:16" s="38" customFormat="1" ht="31.5" customHeight="1" x14ac:dyDescent="0.2">
      <c r="A14" s="1252" t="s">
        <v>305</v>
      </c>
      <c r="B14" s="1253"/>
      <c r="C14" s="31" t="e">
        <f>VLOOKUP($E$6,'DATOS %'!N11:AA113,12,FALSE)</f>
        <v>#N/A</v>
      </c>
      <c r="D14" s="33" t="s">
        <v>76</v>
      </c>
      <c r="E14" s="39"/>
      <c r="F14" s="23" t="s">
        <v>10</v>
      </c>
      <c r="G14" s="24" t="e">
        <f>VLOOKUP($J$13,'DATOS %'!$V$119:$Y$126,2,FALSE)</f>
        <v>#N/A</v>
      </c>
      <c r="H14" s="28" t="s">
        <v>22</v>
      </c>
      <c r="I14" s="24" t="e">
        <f>VLOOKUP($J$13,'DATOS %'!$V$119:$Z$126,3,FALSE)</f>
        <v>#N/A</v>
      </c>
      <c r="J14" s="42"/>
      <c r="K14" s="8"/>
    </row>
    <row r="15" spans="1:16" ht="31.5" customHeight="1" thickBot="1" x14ac:dyDescent="0.25">
      <c r="A15" s="1277" t="s">
        <v>69</v>
      </c>
      <c r="B15" s="1278"/>
      <c r="C15" s="31" t="e">
        <f>VLOOKUP($E$6,'DATOS %'!N11:AA113,13,FALSE)</f>
        <v>#N/A</v>
      </c>
      <c r="D15" s="33" t="s">
        <v>76</v>
      </c>
      <c r="E15" s="29"/>
      <c r="F15" s="43" t="s">
        <v>61</v>
      </c>
      <c r="G15" s="41" t="e">
        <f>VLOOKUP($J$13,'DATOS %'!$V$119:$Y$126,4,FALSE)</f>
        <v>#N/A</v>
      </c>
      <c r="H15" s="41" t="s">
        <v>1</v>
      </c>
      <c r="I15" s="243" t="s">
        <v>210</v>
      </c>
      <c r="J15" s="45" t="e">
        <f>VLOOKUP($J$13,'DATOS %'!$V$119:$Z$126,5,FALSE)</f>
        <v>#N/A</v>
      </c>
      <c r="K15" s="22"/>
    </row>
    <row r="16" spans="1:16" ht="30.95" customHeight="1" thickBot="1" x14ac:dyDescent="0.25">
      <c r="A16" s="1279" t="s">
        <v>210</v>
      </c>
      <c r="B16" s="1280"/>
      <c r="C16" s="1281" t="e">
        <f>VLOOKUP($E$6,'DATOS %'!N11:AA113,14,FALSE)</f>
        <v>#N/A</v>
      </c>
      <c r="D16" s="1282"/>
      <c r="E16" s="29"/>
      <c r="F16" s="8"/>
      <c r="G16" s="8"/>
      <c r="H16" s="8"/>
      <c r="I16" s="8"/>
      <c r="J16" s="8"/>
    </row>
    <row r="17" spans="1:11" s="22" customFormat="1" ht="30.95" customHeight="1" thickBot="1" x14ac:dyDescent="0.25">
      <c r="A17" s="29"/>
      <c r="B17" s="29"/>
      <c r="C17" s="29"/>
      <c r="D17" s="29"/>
      <c r="E17" s="29"/>
      <c r="F17" s="29"/>
      <c r="G17" s="29"/>
      <c r="H17" s="29"/>
      <c r="I17" s="29"/>
      <c r="J17" s="29"/>
      <c r="K17" s="8"/>
    </row>
    <row r="18" spans="1:11" ht="31.5" customHeight="1" thickBot="1" x14ac:dyDescent="0.25">
      <c r="A18" s="1331" t="s">
        <v>26</v>
      </c>
      <c r="B18" s="1332"/>
      <c r="C18" s="1332"/>
      <c r="D18" s="1332"/>
      <c r="E18" s="1332"/>
      <c r="F18" s="1332"/>
      <c r="G18" s="1332"/>
      <c r="H18" s="1332"/>
      <c r="I18" s="1332"/>
      <c r="J18" s="1333"/>
    </row>
    <row r="19" spans="1:11" ht="46.5" customHeight="1" thickBot="1" x14ac:dyDescent="0.25">
      <c r="A19" s="407" t="s">
        <v>10</v>
      </c>
      <c r="B19" s="101" t="e">
        <f>VLOOKUP(J19,'DATOS %'!J174:W180,2,FALSE)</f>
        <v>#N/A</v>
      </c>
      <c r="C19" s="95" t="s">
        <v>7</v>
      </c>
      <c r="D19" s="408" t="e">
        <f>VLOOKUP(J19,'DATOS %'!J174:W180,3,FALSE)</f>
        <v>#N/A</v>
      </c>
      <c r="E19" s="409" t="s">
        <v>24</v>
      </c>
      <c r="F19" s="1286" t="e">
        <f>VLOOKUP(J19,'DATOS %'!J174:W180,5,FALSE)</f>
        <v>#N/A</v>
      </c>
      <c r="G19" s="1287"/>
      <c r="H19" s="95" t="s">
        <v>25</v>
      </c>
      <c r="I19" s="212" t="e">
        <f>VLOOKUP(J19,'DATOS %'!J174:W180,4,FALSE)</f>
        <v>#N/A</v>
      </c>
      <c r="J19" s="1374"/>
    </row>
    <row r="20" spans="1:11" ht="31.5" customHeight="1" thickBot="1" x14ac:dyDescent="0.25">
      <c r="A20" s="1290" t="s">
        <v>316</v>
      </c>
      <c r="B20" s="1291"/>
      <c r="C20" s="94" t="s">
        <v>27</v>
      </c>
      <c r="D20" s="101" t="e">
        <f>VLOOKUP(J19,'DATOS %'!J174:W180,6,FALSE)</f>
        <v>#N/A</v>
      </c>
      <c r="E20" s="1292" t="s">
        <v>307</v>
      </c>
      <c r="F20" s="1293"/>
      <c r="G20" s="101" t="e">
        <f>VLOOKUP(J19,'DATOS %'!J174:W180,7,FALSE)</f>
        <v>#N/A</v>
      </c>
      <c r="H20" s="95" t="s">
        <v>9</v>
      </c>
      <c r="I20" s="214" t="e">
        <f>VLOOKUP(J19,'DATOS %'!J174:W180,8,FALSE)</f>
        <v>#N/A</v>
      </c>
      <c r="J20" s="1289"/>
    </row>
    <row r="21" spans="1:11" s="46" customFormat="1" ht="15" customHeight="1" thickBot="1" x14ac:dyDescent="0.25">
      <c r="A21" s="47"/>
      <c r="B21" s="47"/>
      <c r="C21" s="47"/>
      <c r="D21" s="47"/>
      <c r="E21" s="47"/>
      <c r="F21" s="47"/>
      <c r="G21" s="47"/>
      <c r="H21" s="47"/>
      <c r="I21" s="47"/>
      <c r="J21" s="47"/>
      <c r="K21" s="8"/>
    </row>
    <row r="22" spans="1:11" s="48" customFormat="1" ht="31.5" customHeight="1" thickBot="1" x14ac:dyDescent="0.25">
      <c r="A22" s="1294" t="s">
        <v>28</v>
      </c>
      <c r="B22" s="1295"/>
      <c r="C22" s="1295"/>
      <c r="D22" s="1295"/>
      <c r="E22" s="1295"/>
      <c r="F22" s="1295"/>
      <c r="G22" s="1295"/>
      <c r="H22" s="1295"/>
      <c r="I22" s="1295"/>
      <c r="J22" s="1296"/>
      <c r="K22" s="47"/>
    </row>
    <row r="23" spans="1:11" s="47" customFormat="1" ht="2.25" customHeight="1" thickBot="1" x14ac:dyDescent="0.25">
      <c r="A23" s="49"/>
      <c r="B23" s="50"/>
      <c r="C23" s="50"/>
      <c r="D23" s="50"/>
      <c r="E23" s="50"/>
      <c r="F23" s="50"/>
      <c r="G23" s="50"/>
      <c r="H23" s="50"/>
      <c r="I23" s="50"/>
      <c r="J23" s="51"/>
      <c r="K23" s="48"/>
    </row>
    <row r="24" spans="1:11" s="48" customFormat="1" ht="31.5" customHeight="1" thickBot="1" x14ac:dyDescent="0.25">
      <c r="A24" s="52" t="s">
        <v>29</v>
      </c>
      <c r="B24" s="916"/>
      <c r="C24" s="1297" t="s">
        <v>27</v>
      </c>
      <c r="D24" s="1298"/>
      <c r="E24" s="1"/>
      <c r="F24" s="1299" t="s">
        <v>307</v>
      </c>
      <c r="G24" s="1300"/>
      <c r="H24" s="2"/>
      <c r="I24" s="224" t="s">
        <v>9</v>
      </c>
      <c r="J24" s="215"/>
      <c r="K24" s="46"/>
    </row>
    <row r="25" spans="1:11" s="46" customFormat="1" ht="15" customHeight="1" thickBot="1" x14ac:dyDescent="0.25">
      <c r="A25" s="47"/>
      <c r="B25" s="47"/>
      <c r="C25" s="47"/>
      <c r="D25" s="47"/>
      <c r="E25" s="47"/>
      <c r="F25" s="47"/>
      <c r="G25" s="47"/>
      <c r="H25" s="6"/>
      <c r="I25" s="47"/>
      <c r="K25" s="48"/>
    </row>
    <row r="26" spans="1:11" s="48" customFormat="1" ht="29.25" customHeight="1" thickBot="1" x14ac:dyDescent="0.25">
      <c r="A26" s="115" t="s">
        <v>129</v>
      </c>
      <c r="B26" s="105">
        <v>4</v>
      </c>
      <c r="C26" s="1301" t="s">
        <v>30</v>
      </c>
      <c r="D26" s="1302"/>
      <c r="E26" s="1302"/>
      <c r="F26" s="1303"/>
      <c r="G26" s="1304" t="s">
        <v>211</v>
      </c>
      <c r="H26" s="1305"/>
    </row>
    <row r="27" spans="1:11" s="48" customFormat="1" ht="31.5" customHeight="1" thickBot="1" x14ac:dyDescent="0.25">
      <c r="A27" s="1273" t="s">
        <v>31</v>
      </c>
      <c r="B27" s="1274"/>
      <c r="C27" s="242">
        <v>1</v>
      </c>
      <c r="D27" s="242">
        <v>2</v>
      </c>
      <c r="E27" s="242">
        <v>3</v>
      </c>
      <c r="F27" s="129">
        <v>4</v>
      </c>
      <c r="G27" s="1275" t="e">
        <f>VLOOKUP($H$25,'DATOS %'!$V$161:$AA$165,2,FALSE)</f>
        <v>#N/A</v>
      </c>
      <c r="H27" s="1276"/>
    </row>
    <row r="28" spans="1:11" s="48" customFormat="1" ht="31.5" customHeight="1" x14ac:dyDescent="0.2">
      <c r="A28" s="1310" t="s">
        <v>32</v>
      </c>
      <c r="B28" s="141" t="s">
        <v>0</v>
      </c>
      <c r="C28" s="318"/>
      <c r="D28" s="318"/>
      <c r="E28" s="318"/>
      <c r="F28" s="319"/>
      <c r="G28" s="47"/>
      <c r="H28" s="47"/>
      <c r="I28" s="47"/>
      <c r="J28" s="47"/>
    </row>
    <row r="29" spans="1:11" s="48" customFormat="1" ht="31.5" customHeight="1" x14ac:dyDescent="0.2">
      <c r="A29" s="1311"/>
      <c r="B29" s="104" t="s">
        <v>2</v>
      </c>
      <c r="C29" s="320"/>
      <c r="D29" s="320"/>
      <c r="E29" s="320"/>
      <c r="F29" s="321"/>
      <c r="G29" s="47"/>
      <c r="H29" s="47"/>
      <c r="I29" s="47"/>
      <c r="J29" s="47"/>
    </row>
    <row r="30" spans="1:11" s="48" customFormat="1" ht="31.5" customHeight="1" x14ac:dyDescent="0.2">
      <c r="A30" s="1311"/>
      <c r="B30" s="104" t="s">
        <v>2</v>
      </c>
      <c r="C30" s="320"/>
      <c r="D30" s="320"/>
      <c r="E30" s="320"/>
      <c r="F30" s="321"/>
      <c r="G30" s="47"/>
      <c r="H30" s="47"/>
      <c r="I30" s="47"/>
      <c r="J30" s="47"/>
    </row>
    <row r="31" spans="1:11" s="48" customFormat="1" ht="31.5" customHeight="1" thickBot="1" x14ac:dyDescent="0.25">
      <c r="A31" s="1312"/>
      <c r="B31" s="53" t="s">
        <v>0</v>
      </c>
      <c r="C31" s="322"/>
      <c r="D31" s="322"/>
      <c r="E31" s="322"/>
      <c r="F31" s="323"/>
      <c r="G31" s="47"/>
      <c r="H31" s="47"/>
      <c r="I31" s="47"/>
      <c r="J31" s="47"/>
      <c r="K31" s="46"/>
    </row>
    <row r="32" spans="1:11" s="46" customFormat="1" ht="15" customHeight="1" thickBot="1" x14ac:dyDescent="0.25">
      <c r="A32" s="47"/>
      <c r="B32" s="47"/>
      <c r="C32" s="47"/>
      <c r="D32" s="47"/>
      <c r="E32" s="47"/>
      <c r="F32" s="47"/>
      <c r="G32" s="47"/>
      <c r="H32" s="47"/>
      <c r="I32" s="47"/>
      <c r="J32" s="47"/>
      <c r="K32" s="48"/>
    </row>
    <row r="33" spans="1:11" s="48" customFormat="1" ht="31.5" customHeight="1" thickBot="1" x14ac:dyDescent="0.25">
      <c r="A33" s="54" t="s">
        <v>33</v>
      </c>
      <c r="B33" s="916"/>
      <c r="C33" s="1297" t="s">
        <v>27</v>
      </c>
      <c r="D33" s="1298"/>
      <c r="E33" s="1"/>
      <c r="F33" s="1299" t="s">
        <v>307</v>
      </c>
      <c r="G33" s="1300"/>
      <c r="H33" s="2"/>
      <c r="I33" s="225" t="s">
        <v>9</v>
      </c>
      <c r="J33" s="3"/>
      <c r="K33" s="46"/>
    </row>
    <row r="34" spans="1:11" s="46" customFormat="1" ht="12" customHeight="1" x14ac:dyDescent="0.2">
      <c r="A34" s="55"/>
      <c r="B34" s="55"/>
      <c r="C34" s="55"/>
      <c r="D34" s="55"/>
      <c r="E34" s="55"/>
      <c r="F34" s="55"/>
      <c r="G34" s="55"/>
      <c r="H34" s="55"/>
      <c r="I34" s="55"/>
      <c r="J34" s="55"/>
      <c r="K34" s="48"/>
    </row>
    <row r="35" spans="1:11" s="48" customFormat="1" ht="15" customHeight="1" thickBot="1" x14ac:dyDescent="0.25">
      <c r="A35" s="56"/>
      <c r="B35" s="56"/>
      <c r="C35" s="56"/>
      <c r="D35" s="56"/>
      <c r="E35" s="56"/>
      <c r="F35" s="56"/>
      <c r="G35" s="56"/>
      <c r="H35" s="56"/>
      <c r="I35" s="56"/>
      <c r="J35" s="56"/>
    </row>
    <row r="36" spans="1:11" s="48" customFormat="1" ht="32.25" customHeight="1" thickBot="1" x14ac:dyDescent="0.25">
      <c r="A36" s="1294" t="s">
        <v>34</v>
      </c>
      <c r="B36" s="1295"/>
      <c r="C36" s="1295"/>
      <c r="D36" s="1295"/>
      <c r="E36" s="1295"/>
      <c r="F36" s="1295"/>
      <c r="G36" s="1295"/>
      <c r="H36" s="1295"/>
      <c r="I36" s="1295"/>
      <c r="J36" s="1296"/>
    </row>
    <row r="37" spans="1:11" s="48" customFormat="1" ht="3.75" customHeight="1" thickBot="1" x14ac:dyDescent="0.25">
      <c r="A37" s="55"/>
      <c r="B37" s="47"/>
      <c r="C37" s="47"/>
      <c r="D37" s="47"/>
      <c r="E37" s="47"/>
      <c r="F37" s="47"/>
      <c r="G37" s="47"/>
      <c r="H37" s="47"/>
      <c r="I37" s="47"/>
      <c r="J37" s="55"/>
    </row>
    <row r="38" spans="1:11" s="48" customFormat="1" ht="31.5" customHeight="1" thickBot="1" x14ac:dyDescent="0.25">
      <c r="A38" s="47"/>
      <c r="B38" s="1316" t="s">
        <v>35</v>
      </c>
      <c r="C38" s="1317"/>
      <c r="D38" s="1317"/>
      <c r="E38" s="1317"/>
      <c r="F38" s="1318"/>
      <c r="G38" s="47"/>
      <c r="H38" s="1319" t="s">
        <v>236</v>
      </c>
      <c r="I38" s="1320"/>
      <c r="J38" s="1321"/>
    </row>
    <row r="39" spans="1:11" s="48" customFormat="1" ht="31.5" customHeight="1" thickBot="1" x14ac:dyDescent="0.25">
      <c r="A39" s="47"/>
      <c r="B39" s="57" t="s">
        <v>31</v>
      </c>
      <c r="C39" s="203">
        <v>1</v>
      </c>
      <c r="D39" s="141">
        <v>2</v>
      </c>
      <c r="E39" s="141">
        <v>3</v>
      </c>
      <c r="F39" s="204">
        <v>4</v>
      </c>
      <c r="G39" s="47"/>
      <c r="H39" s="1322"/>
      <c r="I39" s="1323"/>
      <c r="J39" s="1324"/>
    </row>
    <row r="40" spans="1:11" s="48" customFormat="1" ht="31.5" customHeight="1" x14ac:dyDescent="0.2">
      <c r="A40" s="58"/>
      <c r="B40" s="59"/>
      <c r="C40" s="271" t="e">
        <f>+AVERAGE(C28,C31)</f>
        <v>#DIV/0!</v>
      </c>
      <c r="D40" s="272" t="e">
        <f>+AVERAGE(D28,D31)</f>
        <v>#DIV/0!</v>
      </c>
      <c r="E40" s="272" t="e">
        <f>+AVERAGE(E28,E31)</f>
        <v>#DIV/0!</v>
      </c>
      <c r="F40" s="273" t="e">
        <f>+AVERAGE(F28,F31)</f>
        <v>#DIV/0!</v>
      </c>
      <c r="G40" s="47"/>
      <c r="H40" s="1325"/>
      <c r="I40" s="1326"/>
      <c r="J40" s="1327"/>
    </row>
    <row r="41" spans="1:11" s="48" customFormat="1" ht="31.5" customHeight="1" x14ac:dyDescent="0.2">
      <c r="A41" s="58"/>
      <c r="B41" s="60"/>
      <c r="C41" s="274" t="e">
        <f>+AVERAGE(C29:C30)</f>
        <v>#DIV/0!</v>
      </c>
      <c r="D41" s="275" t="e">
        <f>+AVERAGE(D29:D30)</f>
        <v>#DIV/0!</v>
      </c>
      <c r="E41" s="275" t="e">
        <f>+AVERAGE(E29:E30)</f>
        <v>#DIV/0!</v>
      </c>
      <c r="F41" s="276" t="e">
        <f>+AVERAGE(F29:F30)</f>
        <v>#DIV/0!</v>
      </c>
      <c r="G41" s="47"/>
      <c r="H41" s="1325"/>
      <c r="I41" s="1326"/>
      <c r="J41" s="1327"/>
    </row>
    <row r="42" spans="1:11" s="48" customFormat="1" ht="31.5" customHeight="1" thickBot="1" x14ac:dyDescent="0.25">
      <c r="A42" s="58"/>
      <c r="B42" s="62"/>
      <c r="C42" s="277" t="e">
        <f>+C41-C40</f>
        <v>#DIV/0!</v>
      </c>
      <c r="D42" s="278" t="e">
        <f>+D41-D40</f>
        <v>#DIV/0!</v>
      </c>
      <c r="E42" s="278" t="e">
        <f>+E41-E40</f>
        <v>#DIV/0!</v>
      </c>
      <c r="F42" s="279" t="e">
        <f>+F41-F40</f>
        <v>#DIV/0!</v>
      </c>
      <c r="G42" s="47"/>
      <c r="H42" s="1328"/>
      <c r="I42" s="1329"/>
      <c r="J42" s="1330"/>
    </row>
    <row r="43" spans="1:11" s="48" customFormat="1" ht="31.5" customHeight="1" thickBot="1" x14ac:dyDescent="0.25">
      <c r="A43" s="47"/>
      <c r="B43" s="63" t="s">
        <v>36</v>
      </c>
      <c r="C43" s="258" t="e">
        <f>+AVERAGE(C42:F42)</f>
        <v>#DIV/0!</v>
      </c>
      <c r="D43" s="280"/>
      <c r="E43" s="280"/>
      <c r="F43" s="280"/>
      <c r="G43" s="47"/>
      <c r="H43" s="47"/>
      <c r="I43" s="47"/>
      <c r="J43" s="47"/>
    </row>
    <row r="44" spans="1:11" s="48" customFormat="1" ht="31.5" customHeight="1" thickBot="1" x14ac:dyDescent="0.25">
      <c r="A44" s="47"/>
      <c r="B44" s="64" t="s">
        <v>77</v>
      </c>
      <c r="C44" s="324" t="e">
        <f>+STDEV(C42:F42)</f>
        <v>#DIV/0!</v>
      </c>
      <c r="D44" s="280"/>
      <c r="E44" s="280"/>
      <c r="F44" s="280"/>
      <c r="G44" s="47"/>
      <c r="H44" s="47"/>
      <c r="I44" s="47"/>
      <c r="J44" s="47"/>
      <c r="K44" s="46"/>
    </row>
    <row r="45" spans="1:11" s="46" customFormat="1" ht="15" customHeight="1" thickBot="1" x14ac:dyDescent="0.25">
      <c r="A45" s="47"/>
      <c r="B45" s="47"/>
      <c r="C45" s="47"/>
      <c r="D45" s="47"/>
      <c r="E45" s="47"/>
      <c r="F45" s="47"/>
      <c r="G45" s="65"/>
      <c r="H45" s="47"/>
      <c r="I45" s="47"/>
      <c r="J45" s="47"/>
      <c r="K45" s="48"/>
    </row>
    <row r="46" spans="1:11" s="48" customFormat="1" ht="31.5" customHeight="1" thickBot="1" x14ac:dyDescent="0.25">
      <c r="A46" s="1331" t="s">
        <v>37</v>
      </c>
      <c r="B46" s="1332"/>
      <c r="C46" s="1284"/>
      <c r="D46" s="1284"/>
      <c r="E46" s="1284"/>
      <c r="F46" s="1332"/>
      <c r="G46" s="1332"/>
      <c r="H46" s="1332"/>
      <c r="I46" s="1332"/>
      <c r="J46" s="1333"/>
    </row>
    <row r="47" spans="1:11" s="48" customFormat="1" ht="31.5" customHeight="1" thickBot="1" x14ac:dyDescent="0.25">
      <c r="A47" s="1375" t="s">
        <v>321</v>
      </c>
      <c r="B47" s="1376"/>
      <c r="C47" s="1338" t="s">
        <v>38</v>
      </c>
      <c r="D47" s="1339"/>
      <c r="E47" s="1340"/>
      <c r="F47" s="47"/>
      <c r="G47" s="47"/>
      <c r="H47" s="47"/>
      <c r="I47" s="47"/>
      <c r="J47" s="47"/>
    </row>
    <row r="48" spans="1:11" s="48" customFormat="1" ht="36.75" customHeight="1" thickBot="1" x14ac:dyDescent="0.25">
      <c r="A48" s="1377"/>
      <c r="B48" s="1378"/>
      <c r="C48" s="82" t="s">
        <v>27</v>
      </c>
      <c r="D48" s="93" t="s">
        <v>307</v>
      </c>
      <c r="E48" s="83" t="s">
        <v>9</v>
      </c>
      <c r="G48" s="1341" t="s">
        <v>70</v>
      </c>
      <c r="H48" s="1342"/>
      <c r="I48" s="102" t="e">
        <f>+(0.34848*E50-0.009*D50*EXP(0.061*C50))/(273.15+C50)</f>
        <v>#DIV/0!</v>
      </c>
      <c r="J48" s="103" t="s">
        <v>73</v>
      </c>
    </row>
    <row r="49" spans="1:21" s="48" customFormat="1" ht="33" customHeight="1" thickBot="1" x14ac:dyDescent="0.25">
      <c r="A49" s="1306" t="s">
        <v>39</v>
      </c>
      <c r="B49" s="1307"/>
      <c r="C49" s="90" t="e">
        <f>+AVERAGE(E33,E24)</f>
        <v>#DIV/0!</v>
      </c>
      <c r="D49" s="91" t="e">
        <f>+AVERAGE(H33,H24)</f>
        <v>#DIV/0!</v>
      </c>
      <c r="E49" s="92" t="e">
        <f>+AVERAGE(J33,J24)</f>
        <v>#DIV/0!</v>
      </c>
      <c r="G49" s="1308" t="s">
        <v>71</v>
      </c>
      <c r="H49" s="1309"/>
      <c r="I49" s="422" t="e">
        <f>I48*((0.0001)^2+(0.001*I20/2)^2+(-0.0034*D20/2)^2+(-0.01*G20/2)^2)^0.5</f>
        <v>#DIV/0!</v>
      </c>
      <c r="J49" s="66" t="s">
        <v>73</v>
      </c>
    </row>
    <row r="50" spans="1:21" s="48" customFormat="1" ht="36.75" customHeight="1" thickBot="1" x14ac:dyDescent="0.25">
      <c r="A50" s="1343" t="s">
        <v>322</v>
      </c>
      <c r="B50" s="1344"/>
      <c r="C50" s="84" t="e">
        <f>C49+(VLOOKUP(J19,'DATOS %'!J174:W180,9,FALSE))*C49+(VLOOKUP(J19,'DATOS %'!J174:W180,10,FALSE))</f>
        <v>#DIV/0!</v>
      </c>
      <c r="D50" s="85" t="e">
        <f>D49+(VLOOKUP(J19,'DATOS %'!J174:W180,11,FALSE))*D49+(VLOOKUP(J19,'DATOS %'!J174:W180,12,FALSE))</f>
        <v>#DIV/0!</v>
      </c>
      <c r="E50" s="86" t="e">
        <f>E49+(VLOOKUP(J19,'DATOS %'!J174:W180,13,FALSE))*E49+(VLOOKUP(J19,'DATOS %'!J174:W180,14,FALSE))</f>
        <v>#DIV/0!</v>
      </c>
      <c r="G50" s="1341" t="s">
        <v>72</v>
      </c>
      <c r="H50" s="1342"/>
      <c r="I50" s="67">
        <v>1.2</v>
      </c>
      <c r="J50" s="66" t="s">
        <v>73</v>
      </c>
    </row>
    <row r="51" spans="1:21" s="46" customFormat="1" ht="15" customHeight="1" thickBot="1" x14ac:dyDescent="0.25">
      <c r="A51" s="47"/>
      <c r="B51" s="47"/>
      <c r="C51" s="47"/>
      <c r="D51" s="47"/>
      <c r="E51" s="47"/>
      <c r="F51" s="47"/>
      <c r="G51" s="47"/>
      <c r="H51" s="47"/>
      <c r="I51" s="47"/>
      <c r="J51" s="47"/>
      <c r="K51" s="48"/>
    </row>
    <row r="52" spans="1:21" s="48" customFormat="1" ht="31.5" customHeight="1" thickBot="1" x14ac:dyDescent="0.25">
      <c r="A52" s="1331" t="s">
        <v>40</v>
      </c>
      <c r="B52" s="1332"/>
      <c r="C52" s="1332"/>
      <c r="D52" s="1332"/>
      <c r="E52" s="1332"/>
      <c r="F52" s="1332"/>
      <c r="G52" s="1332"/>
      <c r="H52" s="1332"/>
      <c r="I52" s="1332"/>
      <c r="J52" s="1333"/>
    </row>
    <row r="53" spans="1:21" s="48" customFormat="1" ht="31.5" customHeight="1" x14ac:dyDescent="0.35">
      <c r="A53" s="47"/>
      <c r="B53" s="68" t="s">
        <v>41</v>
      </c>
      <c r="C53" s="69"/>
      <c r="D53" s="1345" t="s">
        <v>74</v>
      </c>
      <c r="E53" s="1345"/>
      <c r="F53" s="70" t="s">
        <v>42</v>
      </c>
      <c r="G53" s="71" t="s">
        <v>43</v>
      </c>
      <c r="H53" s="1346" t="s">
        <v>44</v>
      </c>
      <c r="I53" s="1347"/>
      <c r="J53" s="47"/>
    </row>
    <row r="54" spans="1:21" s="48" customFormat="1" ht="31.5" customHeight="1" thickBot="1" x14ac:dyDescent="0.25">
      <c r="A54" s="47"/>
      <c r="B54" s="72" t="e">
        <f>+C43</f>
        <v>#DIV/0!</v>
      </c>
      <c r="C54" s="73" t="s">
        <v>1</v>
      </c>
      <c r="D54" s="261" t="e">
        <f>+C10+C11/1000</f>
        <v>#N/A</v>
      </c>
      <c r="E54" s="73" t="s">
        <v>1</v>
      </c>
      <c r="F54" s="410" t="e">
        <f>+(I48-I50)*(1/H10-1/C13)</f>
        <v>#DIV/0!</v>
      </c>
      <c r="G54" s="75"/>
      <c r="H54" s="67" t="e">
        <f>+(B54+D54*F54)*1000</f>
        <v>#DIV/0!</v>
      </c>
      <c r="I54" s="66" t="s">
        <v>3</v>
      </c>
      <c r="J54" s="47"/>
      <c r="K54" s="46"/>
    </row>
    <row r="55" spans="1:21" s="46" customFormat="1" ht="15" customHeight="1" x14ac:dyDescent="0.2">
      <c r="A55" s="47"/>
      <c r="B55" s="47"/>
      <c r="C55" s="47"/>
      <c r="D55" s="47"/>
      <c r="E55" s="47"/>
      <c r="F55" s="47"/>
      <c r="G55" s="47"/>
      <c r="H55" s="47"/>
      <c r="I55" s="47"/>
      <c r="J55" s="47"/>
      <c r="K55" s="48"/>
    </row>
    <row r="56" spans="1:21" s="48" customFormat="1" ht="31.5" customHeight="1" x14ac:dyDescent="0.2">
      <c r="A56" s="1348" t="s">
        <v>45</v>
      </c>
      <c r="B56" s="1349"/>
      <c r="C56" s="1349"/>
      <c r="D56" s="1349"/>
      <c r="E56" s="1349"/>
      <c r="F56" s="1349"/>
      <c r="G56" s="1349"/>
      <c r="H56" s="1349"/>
      <c r="I56" s="1349"/>
      <c r="J56" s="1349"/>
      <c r="K56" s="46"/>
    </row>
    <row r="57" spans="1:21" s="46" customFormat="1" ht="15" customHeight="1" thickBot="1" x14ac:dyDescent="0.25">
      <c r="A57" s="47"/>
      <c r="B57" s="47"/>
      <c r="C57" s="47"/>
      <c r="D57" s="47"/>
      <c r="E57" s="47"/>
      <c r="K57" s="48"/>
    </row>
    <row r="58" spans="1:21" s="48" customFormat="1" ht="31.5" customHeight="1" thickBot="1" x14ac:dyDescent="0.25">
      <c r="A58" s="1350" t="s">
        <v>38</v>
      </c>
      <c r="B58" s="1351"/>
      <c r="C58" s="1352" t="s">
        <v>46</v>
      </c>
      <c r="D58" s="1353"/>
      <c r="E58" s="1354" t="s">
        <v>238</v>
      </c>
      <c r="F58" s="1379"/>
      <c r="G58" s="1061" t="s">
        <v>553</v>
      </c>
      <c r="J58" s="114"/>
      <c r="L58" s="46"/>
      <c r="Q58" s="47"/>
      <c r="R58" s="47"/>
      <c r="S58" s="47"/>
      <c r="T58" s="47"/>
      <c r="U58" s="47"/>
    </row>
    <row r="59" spans="1:21" s="48" customFormat="1" ht="57.95" customHeight="1" thickBot="1" x14ac:dyDescent="0.25">
      <c r="A59" s="1024" t="s">
        <v>47</v>
      </c>
      <c r="B59" s="1025"/>
      <c r="C59" s="1026" t="e">
        <f>+C44/B26^0.5*1000</f>
        <v>#DIV/0!</v>
      </c>
      <c r="D59" s="1017" t="s">
        <v>3</v>
      </c>
      <c r="E59" s="1027" t="s">
        <v>240</v>
      </c>
      <c r="F59" s="139">
        <f>$B$26-1</f>
        <v>3</v>
      </c>
      <c r="G59" s="1111" t="e">
        <f>(C59/$G$70)^2</f>
        <v>#DIV/0!</v>
      </c>
      <c r="H59" s="47"/>
      <c r="K59" s="156">
        <v>0.3</v>
      </c>
      <c r="L59" s="157">
        <v>1.65</v>
      </c>
      <c r="M59" s="113"/>
    </row>
    <row r="60" spans="1:21" s="48" customFormat="1" ht="57.95" customHeight="1" thickBot="1" x14ac:dyDescent="0.25">
      <c r="A60" s="1019" t="s">
        <v>343</v>
      </c>
      <c r="B60" s="1020" t="s">
        <v>48</v>
      </c>
      <c r="C60" s="1021" t="e">
        <f>+C12/2</f>
        <v>#N/A</v>
      </c>
      <c r="D60" s="1022" t="s">
        <v>3</v>
      </c>
      <c r="E60" s="1023" t="s">
        <v>239</v>
      </c>
      <c r="F60" s="146" t="s">
        <v>265</v>
      </c>
      <c r="G60" s="1112"/>
      <c r="H60" s="1380" t="s">
        <v>241</v>
      </c>
      <c r="I60" s="1356"/>
      <c r="J60" s="1356"/>
      <c r="K60" s="1356"/>
      <c r="L60" s="1356"/>
      <c r="M60" s="1357"/>
    </row>
    <row r="61" spans="1:21" s="48" customFormat="1" ht="57.95" customHeight="1" thickBot="1" x14ac:dyDescent="0.25">
      <c r="A61" s="1028" t="s">
        <v>344</v>
      </c>
      <c r="B61" s="1029"/>
      <c r="C61" s="1030" t="e">
        <f>+C12/3^0.5</f>
        <v>#N/A</v>
      </c>
      <c r="D61" s="1031" t="s">
        <v>3</v>
      </c>
      <c r="E61" s="1032" t="s">
        <v>239</v>
      </c>
      <c r="F61" s="147" t="s">
        <v>265</v>
      </c>
      <c r="G61" s="1112"/>
      <c r="H61" s="132" t="s">
        <v>243</v>
      </c>
      <c r="I61" s="149" t="e">
        <f>MAX(C59:C62,C66:C67,C68)</f>
        <v>#DIV/0!</v>
      </c>
      <c r="J61" s="151" t="e">
        <f>IF((I62)&lt;=(K59),"1,65","2")</f>
        <v>#DIV/0!</v>
      </c>
      <c r="K61" s="152" t="s">
        <v>242</v>
      </c>
      <c r="L61" s="153" t="s">
        <v>237</v>
      </c>
      <c r="M61" s="360" t="s">
        <v>330</v>
      </c>
    </row>
    <row r="62" spans="1:21" s="48" customFormat="1" ht="57.95" customHeight="1" thickBot="1" x14ac:dyDescent="0.3">
      <c r="A62" s="1024" t="s">
        <v>49</v>
      </c>
      <c r="B62" s="1035"/>
      <c r="C62" s="1036" t="e">
        <f>+SQRT(SUMSQ(C60:C61))</f>
        <v>#N/A</v>
      </c>
      <c r="D62" s="1017" t="s">
        <v>3</v>
      </c>
      <c r="E62" s="1037" t="s">
        <v>240</v>
      </c>
      <c r="F62" s="139">
        <v>200</v>
      </c>
      <c r="G62" s="1112" t="e">
        <f>(C62/$G$70)^2</f>
        <v>#N/A</v>
      </c>
      <c r="H62" s="133" t="s">
        <v>244</v>
      </c>
      <c r="I62" s="150" t="e">
        <f>SQRT((C59)^2+(C66)^2+(C67)^2+(C68)^2)/I61</f>
        <v>#DIV/0!</v>
      </c>
      <c r="J62" s="126"/>
      <c r="K62" s="154" t="s">
        <v>242</v>
      </c>
      <c r="L62" s="155" t="s">
        <v>252</v>
      </c>
      <c r="M62" s="361" t="s">
        <v>329</v>
      </c>
    </row>
    <row r="63" spans="1:21" s="48" customFormat="1" ht="57.95" customHeight="1" x14ac:dyDescent="0.2">
      <c r="A63" s="1019" t="s">
        <v>345</v>
      </c>
      <c r="B63" s="1020"/>
      <c r="C63" s="1033" t="e">
        <f>+I49</f>
        <v>#DIV/0!</v>
      </c>
      <c r="D63" s="1021" t="s">
        <v>73</v>
      </c>
      <c r="E63" s="1034" t="s">
        <v>239</v>
      </c>
      <c r="F63" s="146" t="s">
        <v>265</v>
      </c>
      <c r="G63" s="1112"/>
      <c r="L63" s="46"/>
      <c r="T63" s="46"/>
      <c r="U63" s="46"/>
    </row>
    <row r="64" spans="1:21" s="48" customFormat="1" ht="57.95" customHeight="1" x14ac:dyDescent="0.2">
      <c r="A64" s="426" t="s">
        <v>50</v>
      </c>
      <c r="B64" s="1018"/>
      <c r="C64" s="425" t="e">
        <f>+H11/2</f>
        <v>#N/A</v>
      </c>
      <c r="D64" s="424" t="s">
        <v>73</v>
      </c>
      <c r="E64" s="423" t="s">
        <v>239</v>
      </c>
      <c r="F64" s="148" t="s">
        <v>265</v>
      </c>
      <c r="G64" s="1112"/>
      <c r="H64" s="130"/>
      <c r="J64" s="130"/>
      <c r="K64" s="130"/>
      <c r="L64" s="130"/>
      <c r="M64" s="130"/>
      <c r="Q64" s="47"/>
      <c r="R64" s="47"/>
      <c r="S64" s="47"/>
      <c r="T64" s="47"/>
      <c r="U64" s="47"/>
    </row>
    <row r="65" spans="1:21" s="48" customFormat="1" ht="57.95" customHeight="1" thickBot="1" x14ac:dyDescent="0.25">
      <c r="A65" s="1028" t="s">
        <v>346</v>
      </c>
      <c r="B65" s="1038"/>
      <c r="C65" s="1039" t="e">
        <f>+C14/2</f>
        <v>#N/A</v>
      </c>
      <c r="D65" s="1031" t="s">
        <v>73</v>
      </c>
      <c r="E65" s="1040" t="s">
        <v>239</v>
      </c>
      <c r="F65" s="147" t="s">
        <v>265</v>
      </c>
      <c r="G65" s="1112"/>
      <c r="H65" s="130"/>
      <c r="I65" s="130"/>
      <c r="J65" s="130"/>
      <c r="K65" s="130"/>
      <c r="L65" s="130"/>
      <c r="M65" s="130"/>
      <c r="Q65" s="46"/>
      <c r="R65" s="46"/>
      <c r="S65" s="46"/>
      <c r="T65" s="46"/>
      <c r="U65" s="46"/>
    </row>
    <row r="66" spans="1:21" s="48" customFormat="1" ht="57.95" customHeight="1" thickBot="1" x14ac:dyDescent="0.3">
      <c r="A66" s="1024" t="s">
        <v>347</v>
      </c>
      <c r="B66" s="1035"/>
      <c r="C66" s="1036" t="e">
        <f>+SQRT(ABS(((C10/1000+C11/1000000)*(C13-H10)/(C13*H10)*C63)^2+((C10/1000+C11/1000000)*(I48-I50))^2*C64^2/H10^4+(C10/1000+C11/1000000)^2*(I48-I50)*((I48-I50)-2*(C15-I50))*C65^2/C13^4))*1000000</f>
        <v>#N/A</v>
      </c>
      <c r="D66" s="1051" t="s">
        <v>3</v>
      </c>
      <c r="E66" s="1037" t="s">
        <v>240</v>
      </c>
      <c r="F66" s="139">
        <v>200</v>
      </c>
      <c r="G66" s="1112" t="e">
        <f>(C66/$G$70)^2</f>
        <v>#N/A</v>
      </c>
      <c r="H66" s="130"/>
      <c r="I66" s="1093" t="s">
        <v>554</v>
      </c>
      <c r="J66" s="1095" t="s">
        <v>556</v>
      </c>
      <c r="K66" s="1094" t="s">
        <v>555</v>
      </c>
      <c r="L66" s="130"/>
      <c r="M66" s="130"/>
      <c r="Q66" s="47"/>
      <c r="R66" s="47"/>
      <c r="S66" s="47"/>
      <c r="T66" s="47"/>
      <c r="U66" s="47"/>
    </row>
    <row r="67" spans="1:21" s="48" customFormat="1" ht="57.95" customHeight="1" thickBot="1" x14ac:dyDescent="0.3">
      <c r="A67" s="1047" t="s">
        <v>52</v>
      </c>
      <c r="B67" s="1048"/>
      <c r="C67" s="1049" t="e">
        <f>+(G15/2/3^0.5)*2^0.5*1000</f>
        <v>#N/A</v>
      </c>
      <c r="D67" s="1044" t="s">
        <v>3</v>
      </c>
      <c r="E67" s="1045" t="s">
        <v>239</v>
      </c>
      <c r="F67" s="1050">
        <v>200</v>
      </c>
      <c r="G67" s="1112" t="e">
        <f>(C67/$G$70)^2</f>
        <v>#N/A</v>
      </c>
      <c r="H67" s="130"/>
      <c r="I67" s="1096" t="e">
        <f>G70^4/((C59^4/F59)+(C62^4/F62)+(C66^4/F66)+(C67^4/F67)+(C68^4/F68))</f>
        <v>#DIV/0!</v>
      </c>
      <c r="J67" s="1097" t="e">
        <f>TINV(0.05,I67)</f>
        <v>#DIV/0!</v>
      </c>
      <c r="K67" s="1098" t="e">
        <f>1-TDIST(J67,I67,2)</f>
        <v>#DIV/0!</v>
      </c>
      <c r="L67" s="130"/>
      <c r="M67" s="130"/>
    </row>
    <row r="68" spans="1:21" s="46" customFormat="1" ht="65.25" customHeight="1" thickBot="1" x14ac:dyDescent="0.3">
      <c r="A68" s="1041" t="s">
        <v>551</v>
      </c>
      <c r="B68" s="1042"/>
      <c r="C68" s="1043">
        <f>0.37/SQRT(45)</f>
        <v>5.5156343444994808E-2</v>
      </c>
      <c r="D68" s="1044" t="s">
        <v>3</v>
      </c>
      <c r="E68" s="1045" t="s">
        <v>240</v>
      </c>
      <c r="F68" s="1046">
        <v>50</v>
      </c>
      <c r="G68" s="1113" t="e">
        <f>(C68/$G$70)^2</f>
        <v>#DIV/0!</v>
      </c>
      <c r="M68" s="130"/>
      <c r="S68" s="48"/>
      <c r="T68" s="48"/>
      <c r="U68" s="48"/>
    </row>
    <row r="69" spans="1:21" s="106" customFormat="1" ht="51.75" customHeight="1" thickBot="1" x14ac:dyDescent="0.25">
      <c r="G69" s="1114" t="e">
        <f>SUM(G59,G62,G66,G67,G68)</f>
        <v>#DIV/0!</v>
      </c>
      <c r="M69" s="130"/>
      <c r="S69" s="48"/>
      <c r="T69" s="48"/>
      <c r="U69" s="48"/>
    </row>
    <row r="70" spans="1:21" s="106" customFormat="1" ht="35.1" customHeight="1" thickBot="1" x14ac:dyDescent="0.3">
      <c r="D70" s="1306" t="s">
        <v>51</v>
      </c>
      <c r="E70" s="1307"/>
      <c r="F70" s="134"/>
      <c r="G70" s="140" t="e">
        <f>+SQRT(SUMSQ(C59,C62,C66,C67,C68))</f>
        <v>#DIV/0!</v>
      </c>
      <c r="H70" s="136" t="s">
        <v>3</v>
      </c>
      <c r="L70" s="130"/>
      <c r="O70" s="48"/>
      <c r="P70" s="48"/>
      <c r="Q70" s="48"/>
      <c r="R70" s="48"/>
      <c r="S70" s="48"/>
      <c r="T70" s="48"/>
      <c r="U70" s="48"/>
    </row>
    <row r="71" spans="1:21" s="106" customFormat="1" ht="33.75" customHeight="1" thickBot="1" x14ac:dyDescent="0.25">
      <c r="D71" s="1306" t="s">
        <v>53</v>
      </c>
      <c r="E71" s="1307"/>
      <c r="F71" s="135"/>
      <c r="G71" s="140" t="e">
        <f>+G70*2</f>
        <v>#DIV/0!</v>
      </c>
      <c r="H71" s="137" t="s">
        <v>3</v>
      </c>
      <c r="L71" s="110"/>
      <c r="O71" s="48"/>
      <c r="P71" s="48"/>
      <c r="Q71" s="48"/>
      <c r="R71" s="48"/>
      <c r="S71" s="48"/>
      <c r="T71" s="48"/>
      <c r="U71" s="48"/>
    </row>
    <row r="72" spans="1:21" s="106" customFormat="1" ht="35.1" customHeight="1" thickBot="1" x14ac:dyDescent="0.25">
      <c r="C72" s="1313" t="s">
        <v>54</v>
      </c>
      <c r="D72" s="1314"/>
      <c r="E72" s="1314"/>
      <c r="F72" s="1314"/>
      <c r="G72" s="1314"/>
      <c r="H72" s="1314"/>
      <c r="I72" s="1314"/>
      <c r="J72" s="1314"/>
      <c r="K72" s="1314"/>
      <c r="L72" s="1315"/>
      <c r="O72" s="48"/>
      <c r="P72" s="48"/>
      <c r="Q72" s="48"/>
      <c r="R72" s="48"/>
      <c r="S72" s="48"/>
      <c r="T72" s="48"/>
      <c r="U72" s="48"/>
    </row>
    <row r="73" spans="1:21" s="106" customFormat="1" ht="40.5" customHeight="1" thickBot="1" x14ac:dyDescent="0.25">
      <c r="C73" s="1368" t="s">
        <v>255</v>
      </c>
      <c r="D73" s="1369"/>
      <c r="E73" s="1369"/>
      <c r="F73" s="1370"/>
      <c r="G73" s="79"/>
      <c r="H73" s="80"/>
      <c r="I73" s="1371"/>
      <c r="J73" s="1372"/>
      <c r="K73" s="1372"/>
      <c r="L73" s="1373"/>
      <c r="O73" s="48"/>
      <c r="P73" s="48"/>
      <c r="Q73" s="48"/>
      <c r="R73" s="48"/>
      <c r="S73" s="48"/>
      <c r="T73" s="48"/>
      <c r="U73" s="48"/>
    </row>
    <row r="74" spans="1:21" s="106" customFormat="1" ht="35.1" customHeight="1" x14ac:dyDescent="0.2">
      <c r="C74" s="118"/>
      <c r="D74" s="362" t="s">
        <v>348</v>
      </c>
      <c r="E74" s="119" t="s">
        <v>253</v>
      </c>
      <c r="F74" s="120"/>
      <c r="G74" s="1358"/>
      <c r="H74" s="1358"/>
      <c r="I74" s="1359" t="s">
        <v>266</v>
      </c>
      <c r="J74" s="1381" t="s">
        <v>254</v>
      </c>
      <c r="K74" s="1381"/>
      <c r="L74" s="1382"/>
      <c r="O74" s="48"/>
      <c r="P74" s="48"/>
      <c r="Q74" s="48"/>
      <c r="R74" s="48"/>
      <c r="S74" s="48"/>
      <c r="T74" s="48"/>
      <c r="U74" s="48"/>
    </row>
    <row r="75" spans="1:21" s="106" customFormat="1" ht="35.1" customHeight="1" x14ac:dyDescent="0.2">
      <c r="C75" s="81" t="e">
        <f>C10</f>
        <v>#N/A</v>
      </c>
      <c r="D75" s="77" t="e">
        <f>C11</f>
        <v>#N/A</v>
      </c>
      <c r="E75" s="78" t="e">
        <f>H54</f>
        <v>#DIV/0!</v>
      </c>
      <c r="F75" s="216" t="e">
        <f>C75+(D75/1000)+(E75/1000)</f>
        <v>#N/A</v>
      </c>
      <c r="G75" s="296" t="e">
        <f>F75*1000-C75*1000</f>
        <v>#N/A</v>
      </c>
      <c r="H75" s="61"/>
      <c r="I75" s="1360"/>
      <c r="J75" s="282" t="e">
        <f>G71</f>
        <v>#DIV/0!</v>
      </c>
      <c r="K75" s="1364"/>
      <c r="L75" s="1365"/>
      <c r="O75" s="48"/>
      <c r="P75" s="48"/>
      <c r="Q75" s="48"/>
      <c r="R75" s="48"/>
      <c r="S75" s="48"/>
      <c r="T75" s="48"/>
      <c r="U75" s="48"/>
    </row>
    <row r="76" spans="1:21" s="106" customFormat="1" ht="35.1" customHeight="1" thickBot="1" x14ac:dyDescent="0.25">
      <c r="C76" s="87" t="e">
        <f>C75</f>
        <v>#N/A</v>
      </c>
      <c r="D76" s="88" t="e">
        <f>D75</f>
        <v>#N/A</v>
      </c>
      <c r="E76" s="88" t="e">
        <f>E75</f>
        <v>#DIV/0!</v>
      </c>
      <c r="F76" s="217" t="e">
        <f>C76+(D76/1000)+(E76/1000)</f>
        <v>#N/A</v>
      </c>
      <c r="G76" s="227" t="e">
        <f>G75/1000</f>
        <v>#N/A</v>
      </c>
      <c r="H76" s="89"/>
      <c r="I76" s="1361"/>
      <c r="J76" s="226" t="e">
        <f>J75/1000</f>
        <v>#DIV/0!</v>
      </c>
      <c r="K76" s="1366"/>
      <c r="L76" s="1367"/>
      <c r="O76" s="48"/>
      <c r="P76" s="48"/>
      <c r="Q76" s="48"/>
      <c r="R76" s="48"/>
      <c r="S76" s="48"/>
      <c r="T76" s="48"/>
      <c r="U76" s="48"/>
    </row>
    <row r="77" spans="1:21" s="106" customFormat="1" ht="35.1" customHeight="1" x14ac:dyDescent="0.2">
      <c r="O77" s="48"/>
      <c r="P77" s="48"/>
      <c r="Q77" s="48"/>
      <c r="R77" s="48"/>
      <c r="S77" s="48"/>
      <c r="T77" s="48"/>
      <c r="U77" s="48"/>
    </row>
    <row r="78" spans="1:21" s="106" customFormat="1" ht="35.1" customHeight="1" x14ac:dyDescent="0.2"/>
    <row r="79" spans="1:21" s="107" customFormat="1" ht="35.1" customHeight="1" x14ac:dyDescent="0.2">
      <c r="A79" s="109"/>
      <c r="B79" s="106"/>
    </row>
    <row r="80" spans="1:21" s="111" customFormat="1" ht="35.1" customHeight="1" x14ac:dyDescent="0.2">
      <c r="B80" s="106"/>
    </row>
    <row r="81" spans="3:11" s="106" customFormat="1" ht="61.5" customHeight="1" x14ac:dyDescent="0.2"/>
    <row r="82" spans="3:11" s="106" customFormat="1" ht="35.1" customHeight="1" x14ac:dyDescent="0.2"/>
    <row r="83" spans="3:11" s="106" customFormat="1" ht="35.1" customHeight="1" x14ac:dyDescent="0.2">
      <c r="G83" s="111"/>
      <c r="H83" s="111"/>
      <c r="I83" s="111"/>
      <c r="J83" s="111"/>
      <c r="K83" s="108"/>
    </row>
    <row r="84" spans="3:11" s="106" customFormat="1" ht="35.1" customHeight="1" x14ac:dyDescent="0.2"/>
    <row r="85" spans="3:11" s="106" customFormat="1" ht="50.1" customHeight="1" x14ac:dyDescent="0.2"/>
    <row r="86" spans="3:11" s="106" customFormat="1" ht="57.75" customHeight="1" x14ac:dyDescent="0.2">
      <c r="C86" s="112"/>
    </row>
    <row r="87" spans="3:11" s="106" customFormat="1" ht="35.1" customHeight="1" x14ac:dyDescent="0.2"/>
    <row r="88" spans="3:11" s="106" customFormat="1" ht="35.1" customHeight="1" x14ac:dyDescent="0.2"/>
    <row r="89" spans="3:11" s="106" customFormat="1" ht="35.1" customHeight="1" x14ac:dyDescent="0.2"/>
    <row r="90" spans="3:11" s="106" customFormat="1" ht="50.1" customHeight="1" x14ac:dyDescent="0.2"/>
    <row r="91" spans="3:11" s="106" customFormat="1" ht="55.5" customHeight="1" x14ac:dyDescent="0.2">
      <c r="J91" s="111"/>
    </row>
    <row r="92" spans="3:11" s="106" customFormat="1" ht="50.1" customHeight="1" x14ac:dyDescent="0.2">
      <c r="J92" s="111"/>
    </row>
    <row r="93" spans="3:11" s="107" customFormat="1" ht="31.5" customHeight="1" x14ac:dyDescent="0.2">
      <c r="J93" s="111"/>
    </row>
    <row r="94" spans="3:11" s="106" customFormat="1" ht="35.1" customHeight="1" x14ac:dyDescent="0.2">
      <c r="G94" s="111"/>
      <c r="H94" s="111"/>
      <c r="I94" s="111"/>
      <c r="J94" s="111"/>
    </row>
    <row r="95" spans="3:11" s="106" customFormat="1" ht="35.1" customHeight="1" x14ac:dyDescent="0.2">
      <c r="G95" s="111"/>
      <c r="H95" s="111"/>
      <c r="I95" s="111"/>
      <c r="J95" s="111"/>
    </row>
    <row r="96" spans="3:11" s="106" customFormat="1" ht="9.9499999999999993" customHeight="1" x14ac:dyDescent="0.2">
      <c r="G96" s="108"/>
      <c r="H96" s="108"/>
      <c r="I96" s="108"/>
      <c r="J96" s="108"/>
    </row>
    <row r="97" spans="1:12" s="106" customFormat="1" ht="35.1" customHeight="1" x14ac:dyDescent="0.2">
      <c r="J97" s="108"/>
      <c r="K97" s="108"/>
      <c r="L97" s="108"/>
    </row>
    <row r="98" spans="1:12" s="46" customFormat="1" ht="15" customHeight="1" x14ac:dyDescent="0.2">
      <c r="A98" s="47"/>
      <c r="G98" s="47"/>
      <c r="H98" s="47"/>
      <c r="I98" s="47"/>
      <c r="J98" s="47"/>
      <c r="K98" s="48"/>
    </row>
    <row r="99" spans="1:12" s="48" customFormat="1" ht="31.5" customHeight="1" x14ac:dyDescent="0.2">
      <c r="A99" s="47"/>
      <c r="B99" s="47"/>
      <c r="C99" s="47"/>
      <c r="D99" s="47"/>
      <c r="E99" s="47"/>
      <c r="F99" s="47"/>
      <c r="G99" s="47"/>
      <c r="H99" s="47"/>
      <c r="I99" s="47"/>
      <c r="J99" s="47"/>
    </row>
    <row r="100" spans="1:12" s="48" customFormat="1" ht="31.5" customHeight="1" x14ac:dyDescent="0.2"/>
    <row r="101" spans="1:12" s="48" customFormat="1" ht="31.5" customHeight="1" x14ac:dyDescent="0.2"/>
    <row r="102" spans="1:12" s="48" customFormat="1" ht="52.5" customHeight="1" x14ac:dyDescent="0.2"/>
    <row r="103" spans="1:12" s="48" customFormat="1" ht="31.5" customHeight="1" x14ac:dyDescent="0.2">
      <c r="K103" s="8"/>
    </row>
    <row r="104" spans="1:12" s="48" customFormat="1" ht="31.5" customHeight="1" x14ac:dyDescent="0.2">
      <c r="K104" s="8"/>
    </row>
    <row r="105" spans="1:12" ht="31.5" customHeight="1" x14ac:dyDescent="0.2">
      <c r="G105" s="76"/>
    </row>
    <row r="106" spans="1:12" ht="51" customHeight="1" x14ac:dyDescent="0.2"/>
    <row r="108" spans="1:12" ht="31.5" customHeight="1" x14ac:dyDescent="0.2">
      <c r="B108" s="29"/>
      <c r="C108" s="29"/>
      <c r="D108" s="29"/>
      <c r="E108" s="29"/>
      <c r="F108" s="29"/>
      <c r="G108" s="29"/>
      <c r="H108" s="29"/>
      <c r="I108" s="29"/>
      <c r="J108" s="29"/>
    </row>
    <row r="109" spans="1:12" ht="31.5" customHeight="1" x14ac:dyDescent="0.2">
      <c r="B109" s="29"/>
      <c r="C109" s="29"/>
      <c r="D109" s="29"/>
      <c r="E109" s="29"/>
      <c r="F109" s="29"/>
      <c r="G109" s="29"/>
      <c r="H109" s="29"/>
      <c r="I109" s="29"/>
      <c r="J109" s="29"/>
    </row>
    <row r="110" spans="1:12" ht="31.5" customHeight="1" x14ac:dyDescent="0.2">
      <c r="B110" s="29"/>
      <c r="C110" s="29"/>
      <c r="D110" s="29"/>
      <c r="E110" s="29"/>
      <c r="F110" s="29"/>
      <c r="G110" s="29"/>
      <c r="H110" s="29"/>
      <c r="I110" s="29"/>
      <c r="J110" s="29"/>
    </row>
    <row r="111" spans="1:12" ht="31.5" customHeight="1" x14ac:dyDescent="0.2">
      <c r="B111" s="29"/>
      <c r="C111" s="29"/>
      <c r="D111" s="29"/>
      <c r="E111" s="29"/>
      <c r="F111" s="29"/>
      <c r="G111" s="29"/>
      <c r="H111" s="29"/>
      <c r="I111" s="29"/>
      <c r="J111" s="29"/>
    </row>
    <row r="112" spans="1:12" ht="31.5" customHeight="1" x14ac:dyDescent="0.2">
      <c r="B112" s="29"/>
      <c r="C112" s="29"/>
      <c r="D112" s="29"/>
      <c r="E112" s="29"/>
      <c r="F112" s="29"/>
      <c r="G112" s="29"/>
      <c r="H112" s="29"/>
      <c r="I112" s="29"/>
      <c r="J112" s="29"/>
    </row>
    <row r="113" spans="2:10" ht="31.5" customHeight="1" x14ac:dyDescent="0.2">
      <c r="B113" s="29"/>
      <c r="C113" s="29"/>
      <c r="D113" s="29"/>
      <c r="E113" s="29"/>
      <c r="F113" s="29"/>
      <c r="G113" s="29"/>
      <c r="H113" s="29"/>
      <c r="I113" s="29"/>
      <c r="J113" s="29"/>
    </row>
    <row r="114" spans="2:10" ht="31.5" customHeight="1" x14ac:dyDescent="0.2">
      <c r="B114" s="29"/>
      <c r="C114" s="29"/>
      <c r="D114" s="29"/>
      <c r="E114" s="29"/>
      <c r="F114" s="29"/>
      <c r="G114" s="29"/>
      <c r="H114" s="29"/>
      <c r="I114" s="29"/>
      <c r="J114" s="29"/>
    </row>
  </sheetData>
  <sheetProtection password="CF5C" sheet="1" objects="1" scenarios="1"/>
  <mergeCells count="62">
    <mergeCell ref="D70:E70"/>
    <mergeCell ref="D71:E71"/>
    <mergeCell ref="C72:L72"/>
    <mergeCell ref="C73:F73"/>
    <mergeCell ref="I73:L73"/>
    <mergeCell ref="G74:H74"/>
    <mergeCell ref="I74:I76"/>
    <mergeCell ref="J74:L74"/>
    <mergeCell ref="K75:L75"/>
    <mergeCell ref="K76:L76"/>
    <mergeCell ref="A56:J56"/>
    <mergeCell ref="A58:B58"/>
    <mergeCell ref="C58:D58"/>
    <mergeCell ref="E58:F58"/>
    <mergeCell ref="H60:M60"/>
    <mergeCell ref="A50:B50"/>
    <mergeCell ref="G50:H50"/>
    <mergeCell ref="A52:J52"/>
    <mergeCell ref="D53:E53"/>
    <mergeCell ref="H53:I53"/>
    <mergeCell ref="A49:B49"/>
    <mergeCell ref="G49:H49"/>
    <mergeCell ref="A28:A31"/>
    <mergeCell ref="C33:D33"/>
    <mergeCell ref="F33:G33"/>
    <mergeCell ref="A36:J36"/>
    <mergeCell ref="B38:F38"/>
    <mergeCell ref="H38:J38"/>
    <mergeCell ref="H39:J42"/>
    <mergeCell ref="A46:J46"/>
    <mergeCell ref="A47:B48"/>
    <mergeCell ref="C47:E47"/>
    <mergeCell ref="G48:H48"/>
    <mergeCell ref="A27:B27"/>
    <mergeCell ref="G27:H27"/>
    <mergeCell ref="A14:B14"/>
    <mergeCell ref="A15:B15"/>
    <mergeCell ref="A16:B16"/>
    <mergeCell ref="A18:J18"/>
    <mergeCell ref="F19:G19"/>
    <mergeCell ref="J19:J20"/>
    <mergeCell ref="A20:B20"/>
    <mergeCell ref="E20:F20"/>
    <mergeCell ref="A22:J22"/>
    <mergeCell ref="C24:D24"/>
    <mergeCell ref="F24:G24"/>
    <mergeCell ref="C26:F26"/>
    <mergeCell ref="G26:H26"/>
    <mergeCell ref="C16:D16"/>
    <mergeCell ref="A13:B13"/>
    <mergeCell ref="F13:I13"/>
    <mergeCell ref="A1:B1"/>
    <mergeCell ref="C1:M1"/>
    <mergeCell ref="I3:J4"/>
    <mergeCell ref="A6:D6"/>
    <mergeCell ref="F6:I6"/>
    <mergeCell ref="F9:G9"/>
    <mergeCell ref="A10:B10"/>
    <mergeCell ref="F10:G10"/>
    <mergeCell ref="A11:B11"/>
    <mergeCell ref="F11:G11"/>
    <mergeCell ref="A12:B12"/>
  </mergeCells>
  <printOptions horizontalCentered="1"/>
  <pageMargins left="0.70866141732283472" right="0.70866141732283472" top="0.74803149606299213" bottom="0.74803149606299213" header="0.31496062992125984" footer="0.31496062992125984"/>
  <pageSetup scale="13" orientation="portrait" r:id="rId1"/>
  <headerFooter>
    <oddHeader xml:space="preserve">&amp;C
&amp;16   
</oddHeader>
    <oddFooter xml:space="preserve">&amp;RRT03-F13 Vr.14 (2021-05-21)
</oddFooter>
  </headerFooter>
  <rowBreaks count="1" manualBreakCount="1">
    <brk id="34" max="12" man="1"/>
  </rowBreaks>
  <drawing r:id="rId2"/>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2A00-000000000000}">
          <x14:formula1>
            <xm:f>'DATOS %'!$V$161:$V$165</xm:f>
          </x14:formula1>
          <xm:sqref>H25</xm:sqref>
        </x14:dataValidation>
        <x14:dataValidation type="list" allowBlank="1" showInputMessage="1" showErrorMessage="1" xr:uid="{00000000-0002-0000-2A00-000001000000}">
          <x14:formula1>
            <xm:f>'DATOS %'!$V$120:$V$126</xm:f>
          </x14:formula1>
          <xm:sqref>J13</xm:sqref>
        </x14:dataValidation>
        <x14:dataValidation type="list" allowBlank="1" showInputMessage="1" showErrorMessage="1" xr:uid="{00000000-0002-0000-2A00-000002000000}">
          <x14:formula1>
            <xm:f>'DATOS %'!$N$29:$N$113</xm:f>
          </x14:formula1>
          <xm:sqref>E6</xm:sqref>
        </x14:dataValidation>
        <x14:dataValidation type="list" allowBlank="1" showInputMessage="1" showErrorMessage="1" xr:uid="{00000000-0002-0000-2A00-000003000000}">
          <x14:formula1>
            <xm:f>'DATOS %'!$N$121:$N$166</xm:f>
          </x14:formula1>
          <xm:sqref>F48</xm:sqref>
        </x14:dataValidation>
        <x14:dataValidation type="list" allowBlank="1" showInputMessage="1" showErrorMessage="1" xr:uid="{00000000-0002-0000-2A00-000004000000}">
          <x14:formula1>
            <xm:f>'DATOS %'!$J$174:$J$179</xm:f>
          </x14:formula1>
          <xm:sqref>J19:J20</xm:sqref>
        </x14:dataValidation>
        <x14:dataValidation type="list" allowBlank="1" showInputMessage="1" showErrorMessage="1" xr:uid="{00000000-0002-0000-2A00-000005000000}">
          <x14:formula1>
            <xm:f>'DATOS %'!$B$7:$B$40</xm:f>
          </x14:formula1>
          <xm:sqref>I3:J4</xm:sqref>
        </x14:dataValidation>
      </x14:dataValidations>
    </ext>
  </extLs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theme="9" tint="-0.249977111117893"/>
  </sheetPr>
  <dimension ref="A1:XEZ93"/>
  <sheetViews>
    <sheetView showGridLines="0" view="pageBreakPreview" zoomScale="85" zoomScaleNormal="100" zoomScaleSheetLayoutView="85" workbookViewId="0">
      <selection activeCell="D14" sqref="D14:J14"/>
    </sheetView>
  </sheetViews>
  <sheetFormatPr baseColWidth="10" defaultColWidth="11.42578125" defaultRowHeight="15" x14ac:dyDescent="0.2"/>
  <cols>
    <col min="1" max="1" width="5.7109375" style="983" customWidth="1"/>
    <col min="2" max="2" width="15.42578125" style="983" customWidth="1"/>
    <col min="3" max="3" width="12.28515625" style="983" customWidth="1"/>
    <col min="4" max="4" width="10.140625" style="983" customWidth="1"/>
    <col min="5" max="5" width="15.28515625" style="983" customWidth="1"/>
    <col min="6" max="6" width="10.85546875" style="983" customWidth="1"/>
    <col min="7" max="13" width="9.7109375" style="983" customWidth="1"/>
    <col min="14" max="16384" width="11.42578125" style="983"/>
  </cols>
  <sheetData>
    <row r="1" spans="1:13" ht="125.1" customHeight="1" x14ac:dyDescent="0.2">
      <c r="A1" s="1707"/>
      <c r="B1" s="1707"/>
      <c r="C1" s="1707"/>
      <c r="D1" s="1707"/>
      <c r="E1" s="1707"/>
      <c r="F1" s="1707"/>
      <c r="G1" s="1707"/>
      <c r="H1" s="1707"/>
      <c r="I1" s="1707"/>
      <c r="J1" s="1707"/>
      <c r="K1" s="1707"/>
      <c r="L1" s="1707"/>
      <c r="M1" s="1707"/>
    </row>
    <row r="2" spans="1:13" ht="35.1" customHeight="1" x14ac:dyDescent="0.2">
      <c r="A2" s="984"/>
      <c r="B2" s="984"/>
      <c r="C2" s="984"/>
      <c r="D2" s="984"/>
      <c r="E2" s="984"/>
      <c r="F2" s="984"/>
    </row>
    <row r="3" spans="1:13" ht="35.1" customHeight="1" x14ac:dyDescent="0.2">
      <c r="A3" s="984"/>
      <c r="B3" s="984"/>
      <c r="C3" s="984"/>
      <c r="D3" s="984"/>
      <c r="E3" s="984"/>
      <c r="F3" s="984"/>
      <c r="J3" s="1446" t="s">
        <v>24</v>
      </c>
      <c r="K3" s="1446"/>
      <c r="L3" s="1447">
        <f>'DATOS %'!J27</f>
        <v>0</v>
      </c>
      <c r="M3" s="1447"/>
    </row>
    <row r="4" spans="1:13" ht="23.1" customHeight="1" x14ac:dyDescent="0.25">
      <c r="A4" s="1463" t="s">
        <v>6</v>
      </c>
      <c r="B4" s="1463"/>
      <c r="C4" s="1463"/>
      <c r="D4" s="985"/>
      <c r="E4" s="985"/>
      <c r="G4" s="1464"/>
      <c r="H4" s="1464"/>
    </row>
    <row r="5" spans="1:13" ht="15.95" customHeight="1" x14ac:dyDescent="0.2">
      <c r="A5" s="986"/>
      <c r="B5" s="985"/>
      <c r="C5" s="985"/>
      <c r="D5" s="985"/>
      <c r="E5" s="985"/>
      <c r="F5" s="985"/>
    </row>
    <row r="6" spans="1:13" ht="23.1" customHeight="1" x14ac:dyDescent="0.2">
      <c r="A6" s="1708" t="s">
        <v>286</v>
      </c>
      <c r="B6" s="1708"/>
      <c r="D6" s="1709">
        <f>('DATOS %'!E27)</f>
        <v>0</v>
      </c>
      <c r="E6" s="1709"/>
      <c r="F6" s="1709"/>
      <c r="G6" s="1709"/>
      <c r="H6" s="1709"/>
      <c r="I6" s="1709"/>
      <c r="J6" s="1709"/>
    </row>
    <row r="7" spans="1:13" ht="23.1" customHeight="1" x14ac:dyDescent="0.2">
      <c r="A7" s="1708" t="s">
        <v>287</v>
      </c>
      <c r="B7" s="1708"/>
      <c r="C7" s="987"/>
      <c r="D7" s="1709">
        <f>'DATOS %'!F27</f>
        <v>0</v>
      </c>
      <c r="E7" s="1709"/>
      <c r="F7" s="1709"/>
      <c r="G7" s="1709"/>
      <c r="H7" s="1709"/>
      <c r="I7" s="1709"/>
      <c r="J7" s="1709"/>
    </row>
    <row r="8" spans="1:13" ht="23.1" customHeight="1" x14ac:dyDescent="0.2">
      <c r="A8" s="1708" t="s">
        <v>288</v>
      </c>
      <c r="B8" s="1708"/>
      <c r="D8" s="1709" t="str">
        <f>PROPER('DATOS %'!C27)</f>
        <v>0</v>
      </c>
      <c r="E8" s="1709"/>
      <c r="F8" s="1709"/>
      <c r="G8" s="1709"/>
    </row>
    <row r="9" spans="1:13" ht="20.100000000000001" customHeight="1" x14ac:dyDescent="0.2">
      <c r="A9" s="988"/>
      <c r="B9" s="988"/>
      <c r="D9" s="988"/>
      <c r="E9" s="988"/>
      <c r="F9" s="985"/>
    </row>
    <row r="10" spans="1:13" ht="23.1" customHeight="1" x14ac:dyDescent="0.2">
      <c r="A10" s="1708" t="s">
        <v>289</v>
      </c>
      <c r="B10" s="1708"/>
      <c r="C10" s="1708"/>
      <c r="D10" s="1711">
        <f>'DATOS %'!D27</f>
        <v>0</v>
      </c>
      <c r="E10" s="1711"/>
      <c r="F10" s="1712" t="s">
        <v>290</v>
      </c>
      <c r="G10" s="1712"/>
      <c r="H10" s="1712"/>
      <c r="I10" s="1711" t="e">
        <f>'20 kg % (C)'!E4</f>
        <v>#N/A</v>
      </c>
      <c r="J10" s="1711"/>
    </row>
    <row r="11" spans="1:13" ht="20.100000000000001" customHeight="1" x14ac:dyDescent="0.2">
      <c r="A11" s="985"/>
      <c r="B11" s="985"/>
      <c r="C11" s="985"/>
      <c r="D11" s="985"/>
      <c r="E11" s="985"/>
      <c r="F11" s="985"/>
    </row>
    <row r="12" spans="1:13" ht="23.1" customHeight="1" x14ac:dyDescent="0.2">
      <c r="A12" s="1467" t="s">
        <v>245</v>
      </c>
      <c r="B12" s="1467"/>
      <c r="C12" s="1467"/>
      <c r="D12" s="1467"/>
      <c r="E12" s="1467"/>
      <c r="F12" s="1467"/>
      <c r="G12" s="1467"/>
      <c r="H12" s="1467"/>
      <c r="I12" s="1467"/>
      <c r="J12" s="1467"/>
    </row>
    <row r="13" spans="1:13" ht="15.95" customHeight="1" x14ac:dyDescent="0.2">
      <c r="A13" s="965"/>
      <c r="B13" s="965"/>
      <c r="C13" s="965"/>
      <c r="D13" s="965"/>
      <c r="E13" s="965"/>
      <c r="F13" s="985"/>
    </row>
    <row r="14" spans="1:13" ht="23.1" customHeight="1" x14ac:dyDescent="0.2">
      <c r="A14" s="1708" t="s">
        <v>291</v>
      </c>
      <c r="B14" s="1708"/>
      <c r="C14" s="1708"/>
      <c r="D14" s="1710" t="s">
        <v>323</v>
      </c>
      <c r="E14" s="1710"/>
      <c r="F14" s="1710"/>
      <c r="G14" s="1710"/>
      <c r="H14" s="1710"/>
      <c r="I14" s="1710"/>
      <c r="J14" s="1710"/>
    </row>
    <row r="15" spans="1:13" ht="23.1" customHeight="1" x14ac:dyDescent="0.2">
      <c r="A15" s="1708" t="s">
        <v>292</v>
      </c>
      <c r="B15" s="1708"/>
      <c r="C15" s="1708"/>
      <c r="D15" s="1713" t="str">
        <f>PROPER('DATOS %'!D79)</f>
        <v>0</v>
      </c>
      <c r="E15" s="1714"/>
      <c r="F15" s="1714"/>
      <c r="G15" s="1714"/>
      <c r="H15" s="986"/>
      <c r="I15" s="986"/>
      <c r="J15" s="986"/>
    </row>
    <row r="16" spans="1:13" ht="23.1" customHeight="1" x14ac:dyDescent="0.2">
      <c r="A16" s="1708" t="s">
        <v>293</v>
      </c>
      <c r="B16" s="1708"/>
      <c r="C16" s="1708"/>
      <c r="D16" s="1717">
        <f>'DATOS %'!E79</f>
        <v>0</v>
      </c>
      <c r="E16" s="1717"/>
      <c r="F16" s="1717"/>
      <c r="G16" s="1717"/>
      <c r="H16" s="986"/>
      <c r="I16" s="986"/>
      <c r="J16" s="986"/>
    </row>
    <row r="17" spans="1:13" ht="23.1" customHeight="1" x14ac:dyDescent="0.2">
      <c r="A17" s="1708" t="s">
        <v>11</v>
      </c>
      <c r="B17" s="1708"/>
      <c r="C17" s="1708"/>
      <c r="D17" s="1715">
        <f>'DATOS %'!C79</f>
        <v>0</v>
      </c>
      <c r="E17" s="1715"/>
      <c r="F17" s="1711"/>
      <c r="G17" s="1711"/>
    </row>
    <row r="18" spans="1:13" ht="20.100000000000001" customHeight="1" x14ac:dyDescent="0.2">
      <c r="A18" s="988"/>
      <c r="B18" s="988"/>
      <c r="C18" s="988"/>
      <c r="D18" s="989"/>
      <c r="E18" s="986"/>
      <c r="F18" s="986"/>
      <c r="G18" s="986"/>
    </row>
    <row r="19" spans="1:13" ht="23.1" customHeight="1" x14ac:dyDescent="0.2">
      <c r="A19" s="1708" t="s">
        <v>12</v>
      </c>
      <c r="B19" s="1708"/>
      <c r="C19" s="1708"/>
      <c r="D19" s="1708"/>
      <c r="E19" s="1708"/>
      <c r="F19" s="1708">
        <f>'DATOS %'!C80</f>
        <v>0</v>
      </c>
      <c r="G19" s="1708"/>
      <c r="H19" s="1708"/>
      <c r="I19" s="1708"/>
      <c r="J19" s="1708"/>
    </row>
    <row r="20" spans="1:13" ht="20.100000000000001" customHeight="1" x14ac:dyDescent="0.2">
      <c r="A20" s="988"/>
      <c r="B20" s="988"/>
      <c r="C20" s="988"/>
      <c r="D20" s="988"/>
      <c r="E20" s="988"/>
      <c r="F20" s="988"/>
      <c r="G20" s="985"/>
    </row>
    <row r="21" spans="1:13" ht="23.1" customHeight="1" x14ac:dyDescent="0.2">
      <c r="A21" s="1463" t="s">
        <v>205</v>
      </c>
      <c r="B21" s="1463"/>
      <c r="C21" s="1463"/>
      <c r="D21" s="1463"/>
      <c r="E21" s="1463"/>
      <c r="F21" s="1463"/>
    </row>
    <row r="22" spans="1:13" ht="23.1" customHeight="1" x14ac:dyDescent="0.2">
      <c r="A22" s="1459" t="str">
        <f>'DATOS %'!G8</f>
        <v>Laboratorio de calibración de masa y volumen, avenida carrera  50 # 26-55 Int 2,  piso 5.</v>
      </c>
      <c r="B22" s="1459"/>
      <c r="C22" s="1459"/>
      <c r="D22" s="1459"/>
      <c r="E22" s="1459"/>
      <c r="F22" s="1459"/>
      <c r="G22" s="1459"/>
      <c r="H22" s="1459"/>
      <c r="I22" s="1459"/>
      <c r="J22" s="1459"/>
      <c r="K22" s="1459"/>
      <c r="L22" s="1459"/>
      <c r="M22" s="1459"/>
    </row>
    <row r="23" spans="1:13" ht="20.100000000000001" customHeight="1" x14ac:dyDescent="0.2">
      <c r="B23" s="1463"/>
      <c r="C23" s="1463"/>
      <c r="D23" s="1463"/>
      <c r="E23" s="1463"/>
      <c r="F23" s="965"/>
      <c r="G23" s="986"/>
    </row>
    <row r="24" spans="1:13" ht="23.1" customHeight="1" x14ac:dyDescent="0.2">
      <c r="A24" s="1463" t="s">
        <v>206</v>
      </c>
      <c r="B24" s="1463"/>
      <c r="C24" s="1463"/>
      <c r="D24" s="1463"/>
      <c r="E24" s="1718">
        <f>'DATOS %'!I27</f>
        <v>0</v>
      </c>
      <c r="F24" s="1718"/>
      <c r="G24" s="990"/>
      <c r="H24" s="990"/>
    </row>
    <row r="25" spans="1:13" ht="20.100000000000001" customHeight="1" x14ac:dyDescent="0.25">
      <c r="A25" s="986"/>
      <c r="B25" s="986"/>
      <c r="C25" s="986"/>
      <c r="D25" s="986"/>
      <c r="E25" s="986"/>
      <c r="F25" s="986"/>
      <c r="G25" s="966"/>
      <c r="H25" s="966"/>
      <c r="I25" s="985"/>
      <c r="J25" s="985"/>
    </row>
    <row r="26" spans="1:13" ht="23.1" customHeight="1" x14ac:dyDescent="0.2">
      <c r="A26" s="1413" t="s">
        <v>248</v>
      </c>
      <c r="B26" s="1413"/>
      <c r="C26" s="1413"/>
      <c r="D26" s="1413"/>
      <c r="E26" s="1413"/>
      <c r="F26" s="1413"/>
      <c r="G26" s="1413"/>
      <c r="H26" s="1413"/>
      <c r="I26" s="1413"/>
      <c r="J26" s="1413"/>
    </row>
    <row r="27" spans="1:13" ht="20.100000000000001" customHeight="1" x14ac:dyDescent="0.2">
      <c r="A27" s="960"/>
      <c r="B27" s="960"/>
      <c r="C27" s="960"/>
      <c r="D27" s="960"/>
      <c r="G27" s="985"/>
    </row>
    <row r="28" spans="1:13" ht="33" customHeight="1" x14ac:dyDescent="0.2">
      <c r="A28" s="1459" t="s">
        <v>455</v>
      </c>
      <c r="B28" s="1459"/>
      <c r="C28" s="1459"/>
      <c r="D28" s="1459"/>
      <c r="E28" s="1459"/>
      <c r="F28" s="1459"/>
      <c r="G28" s="1459"/>
      <c r="H28" s="1459"/>
      <c r="I28" s="1459"/>
      <c r="J28" s="1459"/>
      <c r="K28" s="1459"/>
      <c r="L28" s="1459"/>
      <c r="M28" s="1459"/>
    </row>
    <row r="29" spans="1:13" ht="20.100000000000001" customHeight="1" x14ac:dyDescent="0.25">
      <c r="G29" s="966"/>
      <c r="H29" s="966"/>
      <c r="I29" s="991"/>
      <c r="J29" s="991"/>
    </row>
    <row r="30" spans="1:13" ht="23.1" customHeight="1" x14ac:dyDescent="0.2">
      <c r="A30" s="1413" t="s">
        <v>268</v>
      </c>
      <c r="B30" s="1413"/>
      <c r="C30" s="1413"/>
      <c r="D30" s="1413"/>
      <c r="E30" s="1413"/>
      <c r="F30" s="1413"/>
      <c r="G30" s="1413"/>
      <c r="H30" s="1413"/>
      <c r="I30" s="1413"/>
      <c r="J30" s="1413"/>
    </row>
    <row r="31" spans="1:13" ht="9.9499999999999993" customHeight="1" x14ac:dyDescent="0.2">
      <c r="A31" s="1719"/>
      <c r="B31" s="1719"/>
      <c r="C31" s="1719"/>
      <c r="D31" s="1719"/>
      <c r="E31" s="1719"/>
      <c r="F31" s="1719"/>
      <c r="G31" s="1719"/>
      <c r="H31" s="1719"/>
      <c r="I31" s="1719"/>
      <c r="J31" s="1719"/>
    </row>
    <row r="32" spans="1:13" ht="9.9499999999999993" customHeight="1" thickBot="1" x14ac:dyDescent="0.25">
      <c r="A32" s="992"/>
      <c r="B32" s="992"/>
      <c r="C32" s="992"/>
      <c r="D32" s="992"/>
      <c r="E32" s="992"/>
      <c r="F32" s="992"/>
      <c r="G32" s="992"/>
      <c r="K32" s="388"/>
    </row>
    <row r="33" spans="1:13" ht="21.75" customHeight="1" thickBot="1" x14ac:dyDescent="0.25">
      <c r="B33" s="1419" t="s">
        <v>256</v>
      </c>
      <c r="C33" s="1420"/>
      <c r="D33" s="1419" t="s">
        <v>218</v>
      </c>
      <c r="E33" s="1420"/>
      <c r="F33" s="1419" t="s">
        <v>219</v>
      </c>
      <c r="G33" s="1420"/>
      <c r="H33" s="1423" t="s">
        <v>220</v>
      </c>
      <c r="I33" s="1424"/>
      <c r="J33" s="1424"/>
      <c r="K33" s="1425"/>
    </row>
    <row r="34" spans="1:13" ht="33.75" customHeight="1" thickBot="1" x14ac:dyDescent="0.25">
      <c r="B34" s="1421"/>
      <c r="C34" s="1422"/>
      <c r="D34" s="1421"/>
      <c r="E34" s="1422"/>
      <c r="F34" s="1421"/>
      <c r="G34" s="1422"/>
      <c r="H34" s="1426" t="s">
        <v>221</v>
      </c>
      <c r="I34" s="1427"/>
      <c r="J34" s="1428" t="s">
        <v>325</v>
      </c>
      <c r="K34" s="1429"/>
    </row>
    <row r="35" spans="1:13" ht="39.950000000000003" customHeight="1" thickBot="1" x14ac:dyDescent="0.25">
      <c r="B35" s="1430" t="str">
        <f>D14</f>
        <v>Pesa de 20 kg</v>
      </c>
      <c r="C35" s="1431"/>
      <c r="D35" s="1432" t="s">
        <v>5</v>
      </c>
      <c r="E35" s="1433"/>
      <c r="F35" s="1720" t="e">
        <f>VLOOKUP($K$32,'DATOS %'!B175:G185,1,FALSE)</f>
        <v>#N/A</v>
      </c>
      <c r="G35" s="1721"/>
      <c r="H35" s="993" t="e">
        <f>VLOOKUP($K$32,'DATOS %'!B175:G186,3,FALSE)</f>
        <v>#N/A</v>
      </c>
      <c r="I35" s="994" t="s">
        <v>213</v>
      </c>
      <c r="J35" s="995" t="e">
        <f>VLOOKUP($K$32,'DATOS %'!B175:G185,5,FALSE)</f>
        <v>#N/A</v>
      </c>
      <c r="K35" s="996" t="s">
        <v>128</v>
      </c>
    </row>
    <row r="36" spans="1:13" ht="39.950000000000003" hidden="1" customHeight="1" thickBot="1" x14ac:dyDescent="0.25">
      <c r="A36" s="1722"/>
      <c r="B36" s="1723"/>
      <c r="C36" s="1722"/>
      <c r="D36" s="1724"/>
      <c r="E36" s="1725"/>
      <c r="F36" s="1723"/>
      <c r="G36" s="997"/>
      <c r="H36" s="998"/>
      <c r="I36" s="997"/>
      <c r="J36" s="999"/>
    </row>
    <row r="37" spans="1:13" ht="20.100000000000001" customHeight="1" x14ac:dyDescent="0.2"/>
    <row r="38" spans="1:13" ht="125.1" customHeight="1" x14ac:dyDescent="0.2"/>
    <row r="39" spans="1:13" ht="35.1" customHeight="1" x14ac:dyDescent="0.2"/>
    <row r="40" spans="1:13" ht="35.1" customHeight="1" x14ac:dyDescent="0.2">
      <c r="J40" s="1446" t="s">
        <v>24</v>
      </c>
      <c r="K40" s="1446"/>
      <c r="L40" s="1447">
        <f>L3</f>
        <v>0</v>
      </c>
      <c r="M40" s="1447"/>
    </row>
    <row r="41" spans="1:13" ht="23.1" customHeight="1" x14ac:dyDescent="0.2">
      <c r="A41" s="1413" t="s">
        <v>257</v>
      </c>
      <c r="B41" s="1413"/>
      <c r="C41" s="1413"/>
      <c r="D41" s="1413"/>
      <c r="E41" s="1413"/>
      <c r="F41" s="1413"/>
      <c r="G41" s="1413"/>
      <c r="H41" s="1413"/>
      <c r="I41" s="1413"/>
      <c r="J41" s="1413"/>
    </row>
    <row r="42" spans="1:13" ht="9.75" customHeight="1" x14ac:dyDescent="0.2">
      <c r="A42" s="389"/>
    </row>
    <row r="43" spans="1:13" s="1000" customFormat="1" ht="33" customHeight="1" x14ac:dyDescent="0.25">
      <c r="A43" s="1452" t="s">
        <v>246</v>
      </c>
      <c r="B43" s="1452"/>
      <c r="C43" s="1452"/>
      <c r="D43" s="1452"/>
      <c r="E43" s="1452"/>
      <c r="F43" s="1452"/>
      <c r="G43" s="1452"/>
      <c r="H43" s="1452"/>
      <c r="I43" s="1452"/>
      <c r="J43" s="1452"/>
      <c r="K43" s="1452"/>
      <c r="L43" s="1452"/>
      <c r="M43" s="1452"/>
    </row>
    <row r="44" spans="1:13" ht="20.100000000000001" customHeight="1" thickBot="1" x14ac:dyDescent="0.25">
      <c r="A44" s="1000"/>
      <c r="B44" s="1000"/>
      <c r="C44" s="1000"/>
      <c r="D44" s="1000"/>
      <c r="E44" s="1000"/>
      <c r="F44" s="1000"/>
      <c r="G44" s="1000"/>
      <c r="H44" s="1000"/>
      <c r="I44" s="1000"/>
      <c r="J44" s="1000"/>
    </row>
    <row r="45" spans="1:13" ht="45" customHeight="1" thickBot="1" x14ac:dyDescent="0.25">
      <c r="B45" s="1448" t="s">
        <v>13</v>
      </c>
      <c r="C45" s="1448"/>
      <c r="D45" s="1448"/>
      <c r="E45" s="963" t="s">
        <v>21</v>
      </c>
      <c r="F45" s="963" t="s">
        <v>10</v>
      </c>
      <c r="G45" s="390" t="s">
        <v>209</v>
      </c>
      <c r="H45" s="1448" t="s">
        <v>14</v>
      </c>
      <c r="I45" s="1448"/>
      <c r="J45" s="1448" t="s">
        <v>8</v>
      </c>
      <c r="K45" s="1448"/>
    </row>
    <row r="46" spans="1:13" ht="45" customHeight="1" thickBot="1" x14ac:dyDescent="0.25">
      <c r="B46" s="1449" t="str">
        <f>D14</f>
        <v>Pesa de 20 kg</v>
      </c>
      <c r="C46" s="1449"/>
      <c r="D46" s="1449"/>
      <c r="E46" s="391" t="e">
        <f>'20 kg % (C)'!B7</f>
        <v>#N/A</v>
      </c>
      <c r="F46" s="971" t="e">
        <f>'20 kg % (C)'!D7</f>
        <v>#N/A</v>
      </c>
      <c r="G46" s="392" t="e">
        <f>'20 kg % (C)'!C16</f>
        <v>#N/A</v>
      </c>
      <c r="H46" s="1450" t="e">
        <f>'20 kg % (C)'!B9</f>
        <v>#N/A</v>
      </c>
      <c r="I46" s="1450"/>
      <c r="J46" s="1451" t="e">
        <f>'20 kg % (C)'!D9</f>
        <v>#N/A</v>
      </c>
      <c r="K46" s="1451"/>
    </row>
    <row r="47" spans="1:13" ht="33" hidden="1" customHeight="1" thickBot="1" x14ac:dyDescent="0.25">
      <c r="A47" s="1729"/>
      <c r="B47" s="1729"/>
      <c r="C47" s="1729"/>
      <c r="D47" s="391"/>
      <c r="E47" s="971"/>
      <c r="F47" s="392"/>
      <c r="G47" s="1693"/>
      <c r="H47" s="1694"/>
      <c r="I47" s="1451"/>
      <c r="J47" s="1451"/>
    </row>
    <row r="48" spans="1:13" ht="20.100000000000001" customHeight="1" x14ac:dyDescent="0.2">
      <c r="A48" s="961"/>
      <c r="B48" s="961"/>
      <c r="C48" s="961"/>
      <c r="D48" s="393"/>
      <c r="E48" s="961"/>
      <c r="F48" s="961"/>
      <c r="G48" s="961"/>
      <c r="H48" s="961"/>
      <c r="I48" s="394"/>
      <c r="J48" s="394"/>
    </row>
    <row r="49" spans="1:1020 1029:2040 2049:3070 3079:4090 4099:5120 5129:6140 6149:7160 7169:8190 8199:9210 9219:10240 10249:11260 11269:12280 12289:13310 13319:14330 14339:15360 15369:16380" ht="23.1" customHeight="1" x14ac:dyDescent="0.2">
      <c r="A49" s="1418" t="s">
        <v>249</v>
      </c>
      <c r="B49" s="1418"/>
      <c r="C49" s="1418"/>
      <c r="D49" s="1418"/>
      <c r="E49" s="1418"/>
      <c r="F49" s="1418"/>
      <c r="G49" s="1418"/>
      <c r="H49" s="1418"/>
      <c r="I49" s="1418"/>
      <c r="J49" s="1418"/>
    </row>
    <row r="50" spans="1:1020 1029:2040 2049:3070 3079:4090 4099:5120 5129:6140 6149:7160 7169:8190 8199:9210 9219:10240 10249:11260 11269:12280 12289:13310 13319:14330 14339:15360 15369:16380" ht="20.100000000000001" customHeight="1" x14ac:dyDescent="0.2">
      <c r="A50" s="389"/>
      <c r="B50" s="389"/>
    </row>
    <row r="51" spans="1:1020 1029:2040 2049:3070 3079:4090 4099:5120 5129:6140 6149:7160 7169:8190 8199:9210 9219:10240 10249:11260 11269:12280 12289:13310 13319:14330 14339:15360 15369:16380" ht="16.5" customHeight="1" x14ac:dyDescent="0.2">
      <c r="A51" s="1453" t="s">
        <v>269</v>
      </c>
      <c r="B51" s="1453"/>
      <c r="C51" s="1453"/>
      <c r="D51" s="1453"/>
      <c r="E51" s="1453"/>
      <c r="F51" s="1453"/>
      <c r="G51" s="1453"/>
      <c r="H51" s="1453"/>
      <c r="I51" s="1453"/>
      <c r="J51" s="1453"/>
      <c r="K51" s="1453"/>
      <c r="L51" s="1453"/>
      <c r="M51" s="1453"/>
    </row>
    <row r="52" spans="1:1020 1029:2040 2049:3070 3079:4090 4099:5120 5129:6140 6149:7160 7169:8190 8199:9210 9219:10240 10249:11260 11269:12280 12289:13310 13319:14330 14339:15360 15369:16380" ht="30" customHeight="1" x14ac:dyDescent="0.2">
      <c r="A52" s="1453"/>
      <c r="B52" s="1453"/>
      <c r="C52" s="1453"/>
      <c r="D52" s="1453"/>
      <c r="E52" s="1453"/>
      <c r="F52" s="1453"/>
      <c r="G52" s="1453"/>
      <c r="H52" s="1453"/>
      <c r="I52" s="1453"/>
      <c r="J52" s="1453"/>
      <c r="K52" s="1453"/>
      <c r="L52" s="1453"/>
      <c r="M52" s="1453"/>
    </row>
    <row r="53" spans="1:1020 1029:2040 2049:3070 3079:4090 4099:5120 5129:6140 6149:7160 7169:8190 8199:9210 9219:10240 10249:11260 11269:12280 12289:13310 13319:14330 14339:15360 15369:16380" ht="18" customHeight="1" x14ac:dyDescent="0.2">
      <c r="A53" s="1001"/>
      <c r="B53" s="1001"/>
      <c r="C53" s="1001"/>
      <c r="D53" s="1001"/>
      <c r="E53" s="1001"/>
      <c r="F53" s="1001"/>
      <c r="G53" s="1001"/>
      <c r="H53" s="1001"/>
      <c r="I53" s="1001"/>
      <c r="J53" s="1001"/>
    </row>
    <row r="54" spans="1:1020 1029:2040 2049:3070 3079:4090 4099:5120 5129:6140 6149:7160 7169:8190 8199:9210 9219:10240 10249:11260 11269:12280 12289:13310 13319:14330 14339:15360 15369:16380" ht="23.1" customHeight="1" x14ac:dyDescent="0.2">
      <c r="A54" s="1418" t="s">
        <v>250</v>
      </c>
      <c r="B54" s="1418"/>
      <c r="C54" s="1418"/>
      <c r="D54" s="1418"/>
      <c r="E54" s="1418"/>
      <c r="F54" s="1418"/>
      <c r="G54" s="1418"/>
      <c r="H54" s="1418"/>
      <c r="I54" s="1418"/>
      <c r="J54" s="1418"/>
    </row>
    <row r="55" spans="1:1020 1029:2040 2049:3070 3079:4090 4099:5120 5129:6140 6149:7160 7169:8190 8199:9210 9219:10240 10249:11260 11269:12280 12289:13310 13319:14330 14339:15360 15369:16380" ht="20.100000000000001" customHeight="1" thickBot="1" x14ac:dyDescent="0.25">
      <c r="A55" s="389"/>
      <c r="B55" s="389"/>
      <c r="S55" s="389"/>
      <c r="T55" s="389"/>
      <c r="AC55" s="389"/>
      <c r="AD55" s="389"/>
      <c r="AM55" s="389"/>
      <c r="AN55" s="389"/>
      <c r="AW55" s="389"/>
      <c r="AX55" s="389"/>
      <c r="BG55" s="389"/>
      <c r="BH55" s="389"/>
      <c r="BQ55" s="389"/>
      <c r="BR55" s="389"/>
      <c r="CA55" s="389"/>
      <c r="CB55" s="389"/>
      <c r="CK55" s="389"/>
      <c r="CL55" s="389"/>
      <c r="CU55" s="389"/>
      <c r="CV55" s="389"/>
      <c r="DE55" s="389"/>
      <c r="DF55" s="389"/>
      <c r="DO55" s="389"/>
      <c r="DP55" s="389"/>
      <c r="DY55" s="389"/>
      <c r="DZ55" s="389"/>
      <c r="EI55" s="389"/>
      <c r="EJ55" s="389"/>
      <c r="ES55" s="389"/>
      <c r="ET55" s="389"/>
      <c r="FC55" s="389"/>
      <c r="FD55" s="389"/>
      <c r="FM55" s="389"/>
      <c r="FN55" s="389"/>
      <c r="FW55" s="389"/>
      <c r="FX55" s="389"/>
      <c r="GG55" s="389"/>
      <c r="GH55" s="389"/>
      <c r="GQ55" s="389"/>
      <c r="GR55" s="389"/>
      <c r="HA55" s="389"/>
      <c r="HB55" s="389"/>
      <c r="HK55" s="389"/>
      <c r="HL55" s="389"/>
      <c r="HU55" s="389"/>
      <c r="HV55" s="389"/>
      <c r="IE55" s="389"/>
      <c r="IF55" s="389"/>
      <c r="IO55" s="389"/>
      <c r="IP55" s="389"/>
      <c r="IY55" s="389"/>
      <c r="IZ55" s="389"/>
      <c r="JI55" s="389"/>
      <c r="JJ55" s="389"/>
      <c r="JS55" s="389"/>
      <c r="JT55" s="389"/>
      <c r="KC55" s="389"/>
      <c r="KD55" s="389"/>
      <c r="KM55" s="389"/>
      <c r="KN55" s="389"/>
      <c r="KW55" s="389"/>
      <c r="KX55" s="389"/>
      <c r="LG55" s="389"/>
      <c r="LH55" s="389"/>
      <c r="LQ55" s="389"/>
      <c r="LR55" s="389"/>
      <c r="MA55" s="389"/>
      <c r="MB55" s="389"/>
      <c r="MK55" s="389"/>
      <c r="ML55" s="389"/>
      <c r="MU55" s="389"/>
      <c r="MV55" s="389"/>
      <c r="NE55" s="389"/>
      <c r="NF55" s="389"/>
      <c r="NO55" s="389"/>
      <c r="NP55" s="389"/>
      <c r="NY55" s="389"/>
      <c r="NZ55" s="389"/>
      <c r="OI55" s="389"/>
      <c r="OJ55" s="389"/>
      <c r="OS55" s="389"/>
      <c r="OT55" s="389"/>
      <c r="PC55" s="389"/>
      <c r="PD55" s="389"/>
      <c r="PM55" s="389"/>
      <c r="PN55" s="389"/>
      <c r="PW55" s="389"/>
      <c r="PX55" s="389"/>
      <c r="QG55" s="389"/>
      <c r="QH55" s="389"/>
      <c r="QQ55" s="389"/>
      <c r="QR55" s="389"/>
      <c r="RA55" s="389"/>
      <c r="RB55" s="389"/>
      <c r="RK55" s="389"/>
      <c r="RL55" s="389"/>
      <c r="RU55" s="389"/>
      <c r="RV55" s="389"/>
      <c r="SE55" s="389"/>
      <c r="SF55" s="389"/>
      <c r="SO55" s="389"/>
      <c r="SP55" s="389"/>
      <c r="SY55" s="389"/>
      <c r="SZ55" s="389"/>
      <c r="TI55" s="389"/>
      <c r="TJ55" s="389"/>
      <c r="TS55" s="389"/>
      <c r="TT55" s="389"/>
      <c r="UC55" s="389"/>
      <c r="UD55" s="389"/>
      <c r="UM55" s="389"/>
      <c r="UN55" s="389"/>
      <c r="UW55" s="389"/>
      <c r="UX55" s="389"/>
      <c r="VG55" s="389"/>
      <c r="VH55" s="389"/>
      <c r="VQ55" s="389"/>
      <c r="VR55" s="389"/>
      <c r="WA55" s="389"/>
      <c r="WB55" s="389"/>
      <c r="WK55" s="389"/>
      <c r="WL55" s="389"/>
      <c r="WU55" s="389"/>
      <c r="WV55" s="389"/>
      <c r="XE55" s="389"/>
      <c r="XF55" s="389"/>
      <c r="XO55" s="389"/>
      <c r="XP55" s="389"/>
      <c r="XY55" s="389"/>
      <c r="XZ55" s="389"/>
      <c r="YI55" s="389"/>
      <c r="YJ55" s="389"/>
      <c r="YS55" s="389"/>
      <c r="YT55" s="389"/>
      <c r="ZC55" s="389"/>
      <c r="ZD55" s="389"/>
      <c r="ZM55" s="389"/>
      <c r="ZN55" s="389"/>
      <c r="ZW55" s="389"/>
      <c r="ZX55" s="389"/>
      <c r="AAG55" s="389"/>
      <c r="AAH55" s="389"/>
      <c r="AAQ55" s="389"/>
      <c r="AAR55" s="389"/>
      <c r="ABA55" s="389"/>
      <c r="ABB55" s="389"/>
      <c r="ABK55" s="389"/>
      <c r="ABL55" s="389"/>
      <c r="ABU55" s="389"/>
      <c r="ABV55" s="389"/>
      <c r="ACE55" s="389"/>
      <c r="ACF55" s="389"/>
      <c r="ACO55" s="389"/>
      <c r="ACP55" s="389"/>
      <c r="ACY55" s="389"/>
      <c r="ACZ55" s="389"/>
      <c r="ADI55" s="389"/>
      <c r="ADJ55" s="389"/>
      <c r="ADS55" s="389"/>
      <c r="ADT55" s="389"/>
      <c r="AEC55" s="389"/>
      <c r="AED55" s="389"/>
      <c r="AEM55" s="389"/>
      <c r="AEN55" s="389"/>
      <c r="AEW55" s="389"/>
      <c r="AEX55" s="389"/>
      <c r="AFG55" s="389"/>
      <c r="AFH55" s="389"/>
      <c r="AFQ55" s="389"/>
      <c r="AFR55" s="389"/>
      <c r="AGA55" s="389"/>
      <c r="AGB55" s="389"/>
      <c r="AGK55" s="389"/>
      <c r="AGL55" s="389"/>
      <c r="AGU55" s="389"/>
      <c r="AGV55" s="389"/>
      <c r="AHE55" s="389"/>
      <c r="AHF55" s="389"/>
      <c r="AHO55" s="389"/>
      <c r="AHP55" s="389"/>
      <c r="AHY55" s="389"/>
      <c r="AHZ55" s="389"/>
      <c r="AII55" s="389"/>
      <c r="AIJ55" s="389"/>
      <c r="AIS55" s="389"/>
      <c r="AIT55" s="389"/>
      <c r="AJC55" s="389"/>
      <c r="AJD55" s="389"/>
      <c r="AJM55" s="389"/>
      <c r="AJN55" s="389"/>
      <c r="AJW55" s="389"/>
      <c r="AJX55" s="389"/>
      <c r="AKG55" s="389"/>
      <c r="AKH55" s="389"/>
      <c r="AKQ55" s="389"/>
      <c r="AKR55" s="389"/>
      <c r="ALA55" s="389"/>
      <c r="ALB55" s="389"/>
      <c r="ALK55" s="389"/>
      <c r="ALL55" s="389"/>
      <c r="ALU55" s="389"/>
      <c r="ALV55" s="389"/>
      <c r="AME55" s="389"/>
      <c r="AMF55" s="389"/>
      <c r="AMO55" s="389"/>
      <c r="AMP55" s="389"/>
      <c r="AMY55" s="389"/>
      <c r="AMZ55" s="389"/>
      <c r="ANI55" s="389"/>
      <c r="ANJ55" s="389"/>
      <c r="ANS55" s="389"/>
      <c r="ANT55" s="389"/>
      <c r="AOC55" s="389"/>
      <c r="AOD55" s="389"/>
      <c r="AOM55" s="389"/>
      <c r="AON55" s="389"/>
      <c r="AOW55" s="389"/>
      <c r="AOX55" s="389"/>
      <c r="APG55" s="389"/>
      <c r="APH55" s="389"/>
      <c r="APQ55" s="389"/>
      <c r="APR55" s="389"/>
      <c r="AQA55" s="389"/>
      <c r="AQB55" s="389"/>
      <c r="AQK55" s="389"/>
      <c r="AQL55" s="389"/>
      <c r="AQU55" s="389"/>
      <c r="AQV55" s="389"/>
      <c r="ARE55" s="389"/>
      <c r="ARF55" s="389"/>
      <c r="ARO55" s="389"/>
      <c r="ARP55" s="389"/>
      <c r="ARY55" s="389"/>
      <c r="ARZ55" s="389"/>
      <c r="ASI55" s="389"/>
      <c r="ASJ55" s="389"/>
      <c r="ASS55" s="389"/>
      <c r="AST55" s="389"/>
      <c r="ATC55" s="389"/>
      <c r="ATD55" s="389"/>
      <c r="ATM55" s="389"/>
      <c r="ATN55" s="389"/>
      <c r="ATW55" s="389"/>
      <c r="ATX55" s="389"/>
      <c r="AUG55" s="389"/>
      <c r="AUH55" s="389"/>
      <c r="AUQ55" s="389"/>
      <c r="AUR55" s="389"/>
      <c r="AVA55" s="389"/>
      <c r="AVB55" s="389"/>
      <c r="AVK55" s="389"/>
      <c r="AVL55" s="389"/>
      <c r="AVU55" s="389"/>
      <c r="AVV55" s="389"/>
      <c r="AWE55" s="389"/>
      <c r="AWF55" s="389"/>
      <c r="AWO55" s="389"/>
      <c r="AWP55" s="389"/>
      <c r="AWY55" s="389"/>
      <c r="AWZ55" s="389"/>
      <c r="AXI55" s="389"/>
      <c r="AXJ55" s="389"/>
      <c r="AXS55" s="389"/>
      <c r="AXT55" s="389"/>
      <c r="AYC55" s="389"/>
      <c r="AYD55" s="389"/>
      <c r="AYM55" s="389"/>
      <c r="AYN55" s="389"/>
      <c r="AYW55" s="389"/>
      <c r="AYX55" s="389"/>
      <c r="AZG55" s="389"/>
      <c r="AZH55" s="389"/>
      <c r="AZQ55" s="389"/>
      <c r="AZR55" s="389"/>
      <c r="BAA55" s="389"/>
      <c r="BAB55" s="389"/>
      <c r="BAK55" s="389"/>
      <c r="BAL55" s="389"/>
      <c r="BAU55" s="389"/>
      <c r="BAV55" s="389"/>
      <c r="BBE55" s="389"/>
      <c r="BBF55" s="389"/>
      <c r="BBO55" s="389"/>
      <c r="BBP55" s="389"/>
      <c r="BBY55" s="389"/>
      <c r="BBZ55" s="389"/>
      <c r="BCI55" s="389"/>
      <c r="BCJ55" s="389"/>
      <c r="BCS55" s="389"/>
      <c r="BCT55" s="389"/>
      <c r="BDC55" s="389"/>
      <c r="BDD55" s="389"/>
      <c r="BDM55" s="389"/>
      <c r="BDN55" s="389"/>
      <c r="BDW55" s="389"/>
      <c r="BDX55" s="389"/>
      <c r="BEG55" s="389"/>
      <c r="BEH55" s="389"/>
      <c r="BEQ55" s="389"/>
      <c r="BER55" s="389"/>
      <c r="BFA55" s="389"/>
      <c r="BFB55" s="389"/>
      <c r="BFK55" s="389"/>
      <c r="BFL55" s="389"/>
      <c r="BFU55" s="389"/>
      <c r="BFV55" s="389"/>
      <c r="BGE55" s="389"/>
      <c r="BGF55" s="389"/>
      <c r="BGO55" s="389"/>
      <c r="BGP55" s="389"/>
      <c r="BGY55" s="389"/>
      <c r="BGZ55" s="389"/>
      <c r="BHI55" s="389"/>
      <c r="BHJ55" s="389"/>
      <c r="BHS55" s="389"/>
      <c r="BHT55" s="389"/>
      <c r="BIC55" s="389"/>
      <c r="BID55" s="389"/>
      <c r="BIM55" s="389"/>
      <c r="BIN55" s="389"/>
      <c r="BIW55" s="389"/>
      <c r="BIX55" s="389"/>
      <c r="BJG55" s="389"/>
      <c r="BJH55" s="389"/>
      <c r="BJQ55" s="389"/>
      <c r="BJR55" s="389"/>
      <c r="BKA55" s="389"/>
      <c r="BKB55" s="389"/>
      <c r="BKK55" s="389"/>
      <c r="BKL55" s="389"/>
      <c r="BKU55" s="389"/>
      <c r="BKV55" s="389"/>
      <c r="BLE55" s="389"/>
      <c r="BLF55" s="389"/>
      <c r="BLO55" s="389"/>
      <c r="BLP55" s="389"/>
      <c r="BLY55" s="389"/>
      <c r="BLZ55" s="389"/>
      <c r="BMI55" s="389"/>
      <c r="BMJ55" s="389"/>
      <c r="BMS55" s="389"/>
      <c r="BMT55" s="389"/>
      <c r="BNC55" s="389"/>
      <c r="BND55" s="389"/>
      <c r="BNM55" s="389"/>
      <c r="BNN55" s="389"/>
      <c r="BNW55" s="389"/>
      <c r="BNX55" s="389"/>
      <c r="BOG55" s="389"/>
      <c r="BOH55" s="389"/>
      <c r="BOQ55" s="389"/>
      <c r="BOR55" s="389"/>
      <c r="BPA55" s="389"/>
      <c r="BPB55" s="389"/>
      <c r="BPK55" s="389"/>
      <c r="BPL55" s="389"/>
      <c r="BPU55" s="389"/>
      <c r="BPV55" s="389"/>
      <c r="BQE55" s="389"/>
      <c r="BQF55" s="389"/>
      <c r="BQO55" s="389"/>
      <c r="BQP55" s="389"/>
      <c r="BQY55" s="389"/>
      <c r="BQZ55" s="389"/>
      <c r="BRI55" s="389"/>
      <c r="BRJ55" s="389"/>
      <c r="BRS55" s="389"/>
      <c r="BRT55" s="389"/>
      <c r="BSC55" s="389"/>
      <c r="BSD55" s="389"/>
      <c r="BSM55" s="389"/>
      <c r="BSN55" s="389"/>
      <c r="BSW55" s="389"/>
      <c r="BSX55" s="389"/>
      <c r="BTG55" s="389"/>
      <c r="BTH55" s="389"/>
      <c r="BTQ55" s="389"/>
      <c r="BTR55" s="389"/>
      <c r="BUA55" s="389"/>
      <c r="BUB55" s="389"/>
      <c r="BUK55" s="389"/>
      <c r="BUL55" s="389"/>
      <c r="BUU55" s="389"/>
      <c r="BUV55" s="389"/>
      <c r="BVE55" s="389"/>
      <c r="BVF55" s="389"/>
      <c r="BVO55" s="389"/>
      <c r="BVP55" s="389"/>
      <c r="BVY55" s="389"/>
      <c r="BVZ55" s="389"/>
      <c r="BWI55" s="389"/>
      <c r="BWJ55" s="389"/>
      <c r="BWS55" s="389"/>
      <c r="BWT55" s="389"/>
      <c r="BXC55" s="389"/>
      <c r="BXD55" s="389"/>
      <c r="BXM55" s="389"/>
      <c r="BXN55" s="389"/>
      <c r="BXW55" s="389"/>
      <c r="BXX55" s="389"/>
      <c r="BYG55" s="389"/>
      <c r="BYH55" s="389"/>
      <c r="BYQ55" s="389"/>
      <c r="BYR55" s="389"/>
      <c r="BZA55" s="389"/>
      <c r="BZB55" s="389"/>
      <c r="BZK55" s="389"/>
      <c r="BZL55" s="389"/>
      <c r="BZU55" s="389"/>
      <c r="BZV55" s="389"/>
      <c r="CAE55" s="389"/>
      <c r="CAF55" s="389"/>
      <c r="CAO55" s="389"/>
      <c r="CAP55" s="389"/>
      <c r="CAY55" s="389"/>
      <c r="CAZ55" s="389"/>
      <c r="CBI55" s="389"/>
      <c r="CBJ55" s="389"/>
      <c r="CBS55" s="389"/>
      <c r="CBT55" s="389"/>
      <c r="CCC55" s="389"/>
      <c r="CCD55" s="389"/>
      <c r="CCM55" s="389"/>
      <c r="CCN55" s="389"/>
      <c r="CCW55" s="389"/>
      <c r="CCX55" s="389"/>
      <c r="CDG55" s="389"/>
      <c r="CDH55" s="389"/>
      <c r="CDQ55" s="389"/>
      <c r="CDR55" s="389"/>
      <c r="CEA55" s="389"/>
      <c r="CEB55" s="389"/>
      <c r="CEK55" s="389"/>
      <c r="CEL55" s="389"/>
      <c r="CEU55" s="389"/>
      <c r="CEV55" s="389"/>
      <c r="CFE55" s="389"/>
      <c r="CFF55" s="389"/>
      <c r="CFO55" s="389"/>
      <c r="CFP55" s="389"/>
      <c r="CFY55" s="389"/>
      <c r="CFZ55" s="389"/>
      <c r="CGI55" s="389"/>
      <c r="CGJ55" s="389"/>
      <c r="CGS55" s="389"/>
      <c r="CGT55" s="389"/>
      <c r="CHC55" s="389"/>
      <c r="CHD55" s="389"/>
      <c r="CHM55" s="389"/>
      <c r="CHN55" s="389"/>
      <c r="CHW55" s="389"/>
      <c r="CHX55" s="389"/>
      <c r="CIG55" s="389"/>
      <c r="CIH55" s="389"/>
      <c r="CIQ55" s="389"/>
      <c r="CIR55" s="389"/>
      <c r="CJA55" s="389"/>
      <c r="CJB55" s="389"/>
      <c r="CJK55" s="389"/>
      <c r="CJL55" s="389"/>
      <c r="CJU55" s="389"/>
      <c r="CJV55" s="389"/>
      <c r="CKE55" s="389"/>
      <c r="CKF55" s="389"/>
      <c r="CKO55" s="389"/>
      <c r="CKP55" s="389"/>
      <c r="CKY55" s="389"/>
      <c r="CKZ55" s="389"/>
      <c r="CLI55" s="389"/>
      <c r="CLJ55" s="389"/>
      <c r="CLS55" s="389"/>
      <c r="CLT55" s="389"/>
      <c r="CMC55" s="389"/>
      <c r="CMD55" s="389"/>
      <c r="CMM55" s="389"/>
      <c r="CMN55" s="389"/>
      <c r="CMW55" s="389"/>
      <c r="CMX55" s="389"/>
      <c r="CNG55" s="389"/>
      <c r="CNH55" s="389"/>
      <c r="CNQ55" s="389"/>
      <c r="CNR55" s="389"/>
      <c r="COA55" s="389"/>
      <c r="COB55" s="389"/>
      <c r="COK55" s="389"/>
      <c r="COL55" s="389"/>
      <c r="COU55" s="389"/>
      <c r="COV55" s="389"/>
      <c r="CPE55" s="389"/>
      <c r="CPF55" s="389"/>
      <c r="CPO55" s="389"/>
      <c r="CPP55" s="389"/>
      <c r="CPY55" s="389"/>
      <c r="CPZ55" s="389"/>
      <c r="CQI55" s="389"/>
      <c r="CQJ55" s="389"/>
      <c r="CQS55" s="389"/>
      <c r="CQT55" s="389"/>
      <c r="CRC55" s="389"/>
      <c r="CRD55" s="389"/>
      <c r="CRM55" s="389"/>
      <c r="CRN55" s="389"/>
      <c r="CRW55" s="389"/>
      <c r="CRX55" s="389"/>
      <c r="CSG55" s="389"/>
      <c r="CSH55" s="389"/>
      <c r="CSQ55" s="389"/>
      <c r="CSR55" s="389"/>
      <c r="CTA55" s="389"/>
      <c r="CTB55" s="389"/>
      <c r="CTK55" s="389"/>
      <c r="CTL55" s="389"/>
      <c r="CTU55" s="389"/>
      <c r="CTV55" s="389"/>
      <c r="CUE55" s="389"/>
      <c r="CUF55" s="389"/>
      <c r="CUO55" s="389"/>
      <c r="CUP55" s="389"/>
      <c r="CUY55" s="389"/>
      <c r="CUZ55" s="389"/>
      <c r="CVI55" s="389"/>
      <c r="CVJ55" s="389"/>
      <c r="CVS55" s="389"/>
      <c r="CVT55" s="389"/>
      <c r="CWC55" s="389"/>
      <c r="CWD55" s="389"/>
      <c r="CWM55" s="389"/>
      <c r="CWN55" s="389"/>
      <c r="CWW55" s="389"/>
      <c r="CWX55" s="389"/>
      <c r="CXG55" s="389"/>
      <c r="CXH55" s="389"/>
      <c r="CXQ55" s="389"/>
      <c r="CXR55" s="389"/>
      <c r="CYA55" s="389"/>
      <c r="CYB55" s="389"/>
      <c r="CYK55" s="389"/>
      <c r="CYL55" s="389"/>
      <c r="CYU55" s="389"/>
      <c r="CYV55" s="389"/>
      <c r="CZE55" s="389"/>
      <c r="CZF55" s="389"/>
      <c r="CZO55" s="389"/>
      <c r="CZP55" s="389"/>
      <c r="CZY55" s="389"/>
      <c r="CZZ55" s="389"/>
      <c r="DAI55" s="389"/>
      <c r="DAJ55" s="389"/>
      <c r="DAS55" s="389"/>
      <c r="DAT55" s="389"/>
      <c r="DBC55" s="389"/>
      <c r="DBD55" s="389"/>
      <c r="DBM55" s="389"/>
      <c r="DBN55" s="389"/>
      <c r="DBW55" s="389"/>
      <c r="DBX55" s="389"/>
      <c r="DCG55" s="389"/>
      <c r="DCH55" s="389"/>
      <c r="DCQ55" s="389"/>
      <c r="DCR55" s="389"/>
      <c r="DDA55" s="389"/>
      <c r="DDB55" s="389"/>
      <c r="DDK55" s="389"/>
      <c r="DDL55" s="389"/>
      <c r="DDU55" s="389"/>
      <c r="DDV55" s="389"/>
      <c r="DEE55" s="389"/>
      <c r="DEF55" s="389"/>
      <c r="DEO55" s="389"/>
      <c r="DEP55" s="389"/>
      <c r="DEY55" s="389"/>
      <c r="DEZ55" s="389"/>
      <c r="DFI55" s="389"/>
      <c r="DFJ55" s="389"/>
      <c r="DFS55" s="389"/>
      <c r="DFT55" s="389"/>
      <c r="DGC55" s="389"/>
      <c r="DGD55" s="389"/>
      <c r="DGM55" s="389"/>
      <c r="DGN55" s="389"/>
      <c r="DGW55" s="389"/>
      <c r="DGX55" s="389"/>
      <c r="DHG55" s="389"/>
      <c r="DHH55" s="389"/>
      <c r="DHQ55" s="389"/>
      <c r="DHR55" s="389"/>
      <c r="DIA55" s="389"/>
      <c r="DIB55" s="389"/>
      <c r="DIK55" s="389"/>
      <c r="DIL55" s="389"/>
      <c r="DIU55" s="389"/>
      <c r="DIV55" s="389"/>
      <c r="DJE55" s="389"/>
      <c r="DJF55" s="389"/>
      <c r="DJO55" s="389"/>
      <c r="DJP55" s="389"/>
      <c r="DJY55" s="389"/>
      <c r="DJZ55" s="389"/>
      <c r="DKI55" s="389"/>
      <c r="DKJ55" s="389"/>
      <c r="DKS55" s="389"/>
      <c r="DKT55" s="389"/>
      <c r="DLC55" s="389"/>
      <c r="DLD55" s="389"/>
      <c r="DLM55" s="389"/>
      <c r="DLN55" s="389"/>
      <c r="DLW55" s="389"/>
      <c r="DLX55" s="389"/>
      <c r="DMG55" s="389"/>
      <c r="DMH55" s="389"/>
      <c r="DMQ55" s="389"/>
      <c r="DMR55" s="389"/>
      <c r="DNA55" s="389"/>
      <c r="DNB55" s="389"/>
      <c r="DNK55" s="389"/>
      <c r="DNL55" s="389"/>
      <c r="DNU55" s="389"/>
      <c r="DNV55" s="389"/>
      <c r="DOE55" s="389"/>
      <c r="DOF55" s="389"/>
      <c r="DOO55" s="389"/>
      <c r="DOP55" s="389"/>
      <c r="DOY55" s="389"/>
      <c r="DOZ55" s="389"/>
      <c r="DPI55" s="389"/>
      <c r="DPJ55" s="389"/>
      <c r="DPS55" s="389"/>
      <c r="DPT55" s="389"/>
      <c r="DQC55" s="389"/>
      <c r="DQD55" s="389"/>
      <c r="DQM55" s="389"/>
      <c r="DQN55" s="389"/>
      <c r="DQW55" s="389"/>
      <c r="DQX55" s="389"/>
      <c r="DRG55" s="389"/>
      <c r="DRH55" s="389"/>
      <c r="DRQ55" s="389"/>
      <c r="DRR55" s="389"/>
      <c r="DSA55" s="389"/>
      <c r="DSB55" s="389"/>
      <c r="DSK55" s="389"/>
      <c r="DSL55" s="389"/>
      <c r="DSU55" s="389"/>
      <c r="DSV55" s="389"/>
      <c r="DTE55" s="389"/>
      <c r="DTF55" s="389"/>
      <c r="DTO55" s="389"/>
      <c r="DTP55" s="389"/>
      <c r="DTY55" s="389"/>
      <c r="DTZ55" s="389"/>
      <c r="DUI55" s="389"/>
      <c r="DUJ55" s="389"/>
      <c r="DUS55" s="389"/>
      <c r="DUT55" s="389"/>
      <c r="DVC55" s="389"/>
      <c r="DVD55" s="389"/>
      <c r="DVM55" s="389"/>
      <c r="DVN55" s="389"/>
      <c r="DVW55" s="389"/>
      <c r="DVX55" s="389"/>
      <c r="DWG55" s="389"/>
      <c r="DWH55" s="389"/>
      <c r="DWQ55" s="389"/>
      <c r="DWR55" s="389"/>
      <c r="DXA55" s="389"/>
      <c r="DXB55" s="389"/>
      <c r="DXK55" s="389"/>
      <c r="DXL55" s="389"/>
      <c r="DXU55" s="389"/>
      <c r="DXV55" s="389"/>
      <c r="DYE55" s="389"/>
      <c r="DYF55" s="389"/>
      <c r="DYO55" s="389"/>
      <c r="DYP55" s="389"/>
      <c r="DYY55" s="389"/>
      <c r="DYZ55" s="389"/>
      <c r="DZI55" s="389"/>
      <c r="DZJ55" s="389"/>
      <c r="DZS55" s="389"/>
      <c r="DZT55" s="389"/>
      <c r="EAC55" s="389"/>
      <c r="EAD55" s="389"/>
      <c r="EAM55" s="389"/>
      <c r="EAN55" s="389"/>
      <c r="EAW55" s="389"/>
      <c r="EAX55" s="389"/>
      <c r="EBG55" s="389"/>
      <c r="EBH55" s="389"/>
      <c r="EBQ55" s="389"/>
      <c r="EBR55" s="389"/>
      <c r="ECA55" s="389"/>
      <c r="ECB55" s="389"/>
      <c r="ECK55" s="389"/>
      <c r="ECL55" s="389"/>
      <c r="ECU55" s="389"/>
      <c r="ECV55" s="389"/>
      <c r="EDE55" s="389"/>
      <c r="EDF55" s="389"/>
      <c r="EDO55" s="389"/>
      <c r="EDP55" s="389"/>
      <c r="EDY55" s="389"/>
      <c r="EDZ55" s="389"/>
      <c r="EEI55" s="389"/>
      <c r="EEJ55" s="389"/>
      <c r="EES55" s="389"/>
      <c r="EET55" s="389"/>
      <c r="EFC55" s="389"/>
      <c r="EFD55" s="389"/>
      <c r="EFM55" s="389"/>
      <c r="EFN55" s="389"/>
      <c r="EFW55" s="389"/>
      <c r="EFX55" s="389"/>
      <c r="EGG55" s="389"/>
      <c r="EGH55" s="389"/>
      <c r="EGQ55" s="389"/>
      <c r="EGR55" s="389"/>
      <c r="EHA55" s="389"/>
      <c r="EHB55" s="389"/>
      <c r="EHK55" s="389"/>
      <c r="EHL55" s="389"/>
      <c r="EHU55" s="389"/>
      <c r="EHV55" s="389"/>
      <c r="EIE55" s="389"/>
      <c r="EIF55" s="389"/>
      <c r="EIO55" s="389"/>
      <c r="EIP55" s="389"/>
      <c r="EIY55" s="389"/>
      <c r="EIZ55" s="389"/>
      <c r="EJI55" s="389"/>
      <c r="EJJ55" s="389"/>
      <c r="EJS55" s="389"/>
      <c r="EJT55" s="389"/>
      <c r="EKC55" s="389"/>
      <c r="EKD55" s="389"/>
      <c r="EKM55" s="389"/>
      <c r="EKN55" s="389"/>
      <c r="EKW55" s="389"/>
      <c r="EKX55" s="389"/>
      <c r="ELG55" s="389"/>
      <c r="ELH55" s="389"/>
      <c r="ELQ55" s="389"/>
      <c r="ELR55" s="389"/>
      <c r="EMA55" s="389"/>
      <c r="EMB55" s="389"/>
      <c r="EMK55" s="389"/>
      <c r="EML55" s="389"/>
      <c r="EMU55" s="389"/>
      <c r="EMV55" s="389"/>
      <c r="ENE55" s="389"/>
      <c r="ENF55" s="389"/>
      <c r="ENO55" s="389"/>
      <c r="ENP55" s="389"/>
      <c r="ENY55" s="389"/>
      <c r="ENZ55" s="389"/>
      <c r="EOI55" s="389"/>
      <c r="EOJ55" s="389"/>
      <c r="EOS55" s="389"/>
      <c r="EOT55" s="389"/>
      <c r="EPC55" s="389"/>
      <c r="EPD55" s="389"/>
      <c r="EPM55" s="389"/>
      <c r="EPN55" s="389"/>
      <c r="EPW55" s="389"/>
      <c r="EPX55" s="389"/>
      <c r="EQG55" s="389"/>
      <c r="EQH55" s="389"/>
      <c r="EQQ55" s="389"/>
      <c r="EQR55" s="389"/>
      <c r="ERA55" s="389"/>
      <c r="ERB55" s="389"/>
      <c r="ERK55" s="389"/>
      <c r="ERL55" s="389"/>
      <c r="ERU55" s="389"/>
      <c r="ERV55" s="389"/>
      <c r="ESE55" s="389"/>
      <c r="ESF55" s="389"/>
      <c r="ESO55" s="389"/>
      <c r="ESP55" s="389"/>
      <c r="ESY55" s="389"/>
      <c r="ESZ55" s="389"/>
      <c r="ETI55" s="389"/>
      <c r="ETJ55" s="389"/>
      <c r="ETS55" s="389"/>
      <c r="ETT55" s="389"/>
      <c r="EUC55" s="389"/>
      <c r="EUD55" s="389"/>
      <c r="EUM55" s="389"/>
      <c r="EUN55" s="389"/>
      <c r="EUW55" s="389"/>
      <c r="EUX55" s="389"/>
      <c r="EVG55" s="389"/>
      <c r="EVH55" s="389"/>
      <c r="EVQ55" s="389"/>
      <c r="EVR55" s="389"/>
      <c r="EWA55" s="389"/>
      <c r="EWB55" s="389"/>
      <c r="EWK55" s="389"/>
      <c r="EWL55" s="389"/>
      <c r="EWU55" s="389"/>
      <c r="EWV55" s="389"/>
      <c r="EXE55" s="389"/>
      <c r="EXF55" s="389"/>
      <c r="EXO55" s="389"/>
      <c r="EXP55" s="389"/>
      <c r="EXY55" s="389"/>
      <c r="EXZ55" s="389"/>
      <c r="EYI55" s="389"/>
      <c r="EYJ55" s="389"/>
      <c r="EYS55" s="389"/>
      <c r="EYT55" s="389"/>
      <c r="EZC55" s="389"/>
      <c r="EZD55" s="389"/>
      <c r="EZM55" s="389"/>
      <c r="EZN55" s="389"/>
      <c r="EZW55" s="389"/>
      <c r="EZX55" s="389"/>
      <c r="FAG55" s="389"/>
      <c r="FAH55" s="389"/>
      <c r="FAQ55" s="389"/>
      <c r="FAR55" s="389"/>
      <c r="FBA55" s="389"/>
      <c r="FBB55" s="389"/>
      <c r="FBK55" s="389"/>
      <c r="FBL55" s="389"/>
      <c r="FBU55" s="389"/>
      <c r="FBV55" s="389"/>
      <c r="FCE55" s="389"/>
      <c r="FCF55" s="389"/>
      <c r="FCO55" s="389"/>
      <c r="FCP55" s="389"/>
      <c r="FCY55" s="389"/>
      <c r="FCZ55" s="389"/>
      <c r="FDI55" s="389"/>
      <c r="FDJ55" s="389"/>
      <c r="FDS55" s="389"/>
      <c r="FDT55" s="389"/>
      <c r="FEC55" s="389"/>
      <c r="FED55" s="389"/>
      <c r="FEM55" s="389"/>
      <c r="FEN55" s="389"/>
      <c r="FEW55" s="389"/>
      <c r="FEX55" s="389"/>
      <c r="FFG55" s="389"/>
      <c r="FFH55" s="389"/>
      <c r="FFQ55" s="389"/>
      <c r="FFR55" s="389"/>
      <c r="FGA55" s="389"/>
      <c r="FGB55" s="389"/>
      <c r="FGK55" s="389"/>
      <c r="FGL55" s="389"/>
      <c r="FGU55" s="389"/>
      <c r="FGV55" s="389"/>
      <c r="FHE55" s="389"/>
      <c r="FHF55" s="389"/>
      <c r="FHO55" s="389"/>
      <c r="FHP55" s="389"/>
      <c r="FHY55" s="389"/>
      <c r="FHZ55" s="389"/>
      <c r="FII55" s="389"/>
      <c r="FIJ55" s="389"/>
      <c r="FIS55" s="389"/>
      <c r="FIT55" s="389"/>
      <c r="FJC55" s="389"/>
      <c r="FJD55" s="389"/>
      <c r="FJM55" s="389"/>
      <c r="FJN55" s="389"/>
      <c r="FJW55" s="389"/>
      <c r="FJX55" s="389"/>
      <c r="FKG55" s="389"/>
      <c r="FKH55" s="389"/>
      <c r="FKQ55" s="389"/>
      <c r="FKR55" s="389"/>
      <c r="FLA55" s="389"/>
      <c r="FLB55" s="389"/>
      <c r="FLK55" s="389"/>
      <c r="FLL55" s="389"/>
      <c r="FLU55" s="389"/>
      <c r="FLV55" s="389"/>
      <c r="FME55" s="389"/>
      <c r="FMF55" s="389"/>
      <c r="FMO55" s="389"/>
      <c r="FMP55" s="389"/>
      <c r="FMY55" s="389"/>
      <c r="FMZ55" s="389"/>
      <c r="FNI55" s="389"/>
      <c r="FNJ55" s="389"/>
      <c r="FNS55" s="389"/>
      <c r="FNT55" s="389"/>
      <c r="FOC55" s="389"/>
      <c r="FOD55" s="389"/>
      <c r="FOM55" s="389"/>
      <c r="FON55" s="389"/>
      <c r="FOW55" s="389"/>
      <c r="FOX55" s="389"/>
      <c r="FPG55" s="389"/>
      <c r="FPH55" s="389"/>
      <c r="FPQ55" s="389"/>
      <c r="FPR55" s="389"/>
      <c r="FQA55" s="389"/>
      <c r="FQB55" s="389"/>
      <c r="FQK55" s="389"/>
      <c r="FQL55" s="389"/>
      <c r="FQU55" s="389"/>
      <c r="FQV55" s="389"/>
      <c r="FRE55" s="389"/>
      <c r="FRF55" s="389"/>
      <c r="FRO55" s="389"/>
      <c r="FRP55" s="389"/>
      <c r="FRY55" s="389"/>
      <c r="FRZ55" s="389"/>
      <c r="FSI55" s="389"/>
      <c r="FSJ55" s="389"/>
      <c r="FSS55" s="389"/>
      <c r="FST55" s="389"/>
      <c r="FTC55" s="389"/>
      <c r="FTD55" s="389"/>
      <c r="FTM55" s="389"/>
      <c r="FTN55" s="389"/>
      <c r="FTW55" s="389"/>
      <c r="FTX55" s="389"/>
      <c r="FUG55" s="389"/>
      <c r="FUH55" s="389"/>
      <c r="FUQ55" s="389"/>
      <c r="FUR55" s="389"/>
      <c r="FVA55" s="389"/>
      <c r="FVB55" s="389"/>
      <c r="FVK55" s="389"/>
      <c r="FVL55" s="389"/>
      <c r="FVU55" s="389"/>
      <c r="FVV55" s="389"/>
      <c r="FWE55" s="389"/>
      <c r="FWF55" s="389"/>
      <c r="FWO55" s="389"/>
      <c r="FWP55" s="389"/>
      <c r="FWY55" s="389"/>
      <c r="FWZ55" s="389"/>
      <c r="FXI55" s="389"/>
      <c r="FXJ55" s="389"/>
      <c r="FXS55" s="389"/>
      <c r="FXT55" s="389"/>
      <c r="FYC55" s="389"/>
      <c r="FYD55" s="389"/>
      <c r="FYM55" s="389"/>
      <c r="FYN55" s="389"/>
      <c r="FYW55" s="389"/>
      <c r="FYX55" s="389"/>
      <c r="FZG55" s="389"/>
      <c r="FZH55" s="389"/>
      <c r="FZQ55" s="389"/>
      <c r="FZR55" s="389"/>
      <c r="GAA55" s="389"/>
      <c r="GAB55" s="389"/>
      <c r="GAK55" s="389"/>
      <c r="GAL55" s="389"/>
      <c r="GAU55" s="389"/>
      <c r="GAV55" s="389"/>
      <c r="GBE55" s="389"/>
      <c r="GBF55" s="389"/>
      <c r="GBO55" s="389"/>
      <c r="GBP55" s="389"/>
      <c r="GBY55" s="389"/>
      <c r="GBZ55" s="389"/>
      <c r="GCI55" s="389"/>
      <c r="GCJ55" s="389"/>
      <c r="GCS55" s="389"/>
      <c r="GCT55" s="389"/>
      <c r="GDC55" s="389"/>
      <c r="GDD55" s="389"/>
      <c r="GDM55" s="389"/>
      <c r="GDN55" s="389"/>
      <c r="GDW55" s="389"/>
      <c r="GDX55" s="389"/>
      <c r="GEG55" s="389"/>
      <c r="GEH55" s="389"/>
      <c r="GEQ55" s="389"/>
      <c r="GER55" s="389"/>
      <c r="GFA55" s="389"/>
      <c r="GFB55" s="389"/>
      <c r="GFK55" s="389"/>
      <c r="GFL55" s="389"/>
      <c r="GFU55" s="389"/>
      <c r="GFV55" s="389"/>
      <c r="GGE55" s="389"/>
      <c r="GGF55" s="389"/>
      <c r="GGO55" s="389"/>
      <c r="GGP55" s="389"/>
      <c r="GGY55" s="389"/>
      <c r="GGZ55" s="389"/>
      <c r="GHI55" s="389"/>
      <c r="GHJ55" s="389"/>
      <c r="GHS55" s="389"/>
      <c r="GHT55" s="389"/>
      <c r="GIC55" s="389"/>
      <c r="GID55" s="389"/>
      <c r="GIM55" s="389"/>
      <c r="GIN55" s="389"/>
      <c r="GIW55" s="389"/>
      <c r="GIX55" s="389"/>
      <c r="GJG55" s="389"/>
      <c r="GJH55" s="389"/>
      <c r="GJQ55" s="389"/>
      <c r="GJR55" s="389"/>
      <c r="GKA55" s="389"/>
      <c r="GKB55" s="389"/>
      <c r="GKK55" s="389"/>
      <c r="GKL55" s="389"/>
      <c r="GKU55" s="389"/>
      <c r="GKV55" s="389"/>
      <c r="GLE55" s="389"/>
      <c r="GLF55" s="389"/>
      <c r="GLO55" s="389"/>
      <c r="GLP55" s="389"/>
      <c r="GLY55" s="389"/>
      <c r="GLZ55" s="389"/>
      <c r="GMI55" s="389"/>
      <c r="GMJ55" s="389"/>
      <c r="GMS55" s="389"/>
      <c r="GMT55" s="389"/>
      <c r="GNC55" s="389"/>
      <c r="GND55" s="389"/>
      <c r="GNM55" s="389"/>
      <c r="GNN55" s="389"/>
      <c r="GNW55" s="389"/>
      <c r="GNX55" s="389"/>
      <c r="GOG55" s="389"/>
      <c r="GOH55" s="389"/>
      <c r="GOQ55" s="389"/>
      <c r="GOR55" s="389"/>
      <c r="GPA55" s="389"/>
      <c r="GPB55" s="389"/>
      <c r="GPK55" s="389"/>
      <c r="GPL55" s="389"/>
      <c r="GPU55" s="389"/>
      <c r="GPV55" s="389"/>
      <c r="GQE55" s="389"/>
      <c r="GQF55" s="389"/>
      <c r="GQO55" s="389"/>
      <c r="GQP55" s="389"/>
      <c r="GQY55" s="389"/>
      <c r="GQZ55" s="389"/>
      <c r="GRI55" s="389"/>
      <c r="GRJ55" s="389"/>
      <c r="GRS55" s="389"/>
      <c r="GRT55" s="389"/>
      <c r="GSC55" s="389"/>
      <c r="GSD55" s="389"/>
      <c r="GSM55" s="389"/>
      <c r="GSN55" s="389"/>
      <c r="GSW55" s="389"/>
      <c r="GSX55" s="389"/>
      <c r="GTG55" s="389"/>
      <c r="GTH55" s="389"/>
      <c r="GTQ55" s="389"/>
      <c r="GTR55" s="389"/>
      <c r="GUA55" s="389"/>
      <c r="GUB55" s="389"/>
      <c r="GUK55" s="389"/>
      <c r="GUL55" s="389"/>
      <c r="GUU55" s="389"/>
      <c r="GUV55" s="389"/>
      <c r="GVE55" s="389"/>
      <c r="GVF55" s="389"/>
      <c r="GVO55" s="389"/>
      <c r="GVP55" s="389"/>
      <c r="GVY55" s="389"/>
      <c r="GVZ55" s="389"/>
      <c r="GWI55" s="389"/>
      <c r="GWJ55" s="389"/>
      <c r="GWS55" s="389"/>
      <c r="GWT55" s="389"/>
      <c r="GXC55" s="389"/>
      <c r="GXD55" s="389"/>
      <c r="GXM55" s="389"/>
      <c r="GXN55" s="389"/>
      <c r="GXW55" s="389"/>
      <c r="GXX55" s="389"/>
      <c r="GYG55" s="389"/>
      <c r="GYH55" s="389"/>
      <c r="GYQ55" s="389"/>
      <c r="GYR55" s="389"/>
      <c r="GZA55" s="389"/>
      <c r="GZB55" s="389"/>
      <c r="GZK55" s="389"/>
      <c r="GZL55" s="389"/>
      <c r="GZU55" s="389"/>
      <c r="GZV55" s="389"/>
      <c r="HAE55" s="389"/>
      <c r="HAF55" s="389"/>
      <c r="HAO55" s="389"/>
      <c r="HAP55" s="389"/>
      <c r="HAY55" s="389"/>
      <c r="HAZ55" s="389"/>
      <c r="HBI55" s="389"/>
      <c r="HBJ55" s="389"/>
      <c r="HBS55" s="389"/>
      <c r="HBT55" s="389"/>
      <c r="HCC55" s="389"/>
      <c r="HCD55" s="389"/>
      <c r="HCM55" s="389"/>
      <c r="HCN55" s="389"/>
      <c r="HCW55" s="389"/>
      <c r="HCX55" s="389"/>
      <c r="HDG55" s="389"/>
      <c r="HDH55" s="389"/>
      <c r="HDQ55" s="389"/>
      <c r="HDR55" s="389"/>
      <c r="HEA55" s="389"/>
      <c r="HEB55" s="389"/>
      <c r="HEK55" s="389"/>
      <c r="HEL55" s="389"/>
      <c r="HEU55" s="389"/>
      <c r="HEV55" s="389"/>
      <c r="HFE55" s="389"/>
      <c r="HFF55" s="389"/>
      <c r="HFO55" s="389"/>
      <c r="HFP55" s="389"/>
      <c r="HFY55" s="389"/>
      <c r="HFZ55" s="389"/>
      <c r="HGI55" s="389"/>
      <c r="HGJ55" s="389"/>
      <c r="HGS55" s="389"/>
      <c r="HGT55" s="389"/>
      <c r="HHC55" s="389"/>
      <c r="HHD55" s="389"/>
      <c r="HHM55" s="389"/>
      <c r="HHN55" s="389"/>
      <c r="HHW55" s="389"/>
      <c r="HHX55" s="389"/>
      <c r="HIG55" s="389"/>
      <c r="HIH55" s="389"/>
      <c r="HIQ55" s="389"/>
      <c r="HIR55" s="389"/>
      <c r="HJA55" s="389"/>
      <c r="HJB55" s="389"/>
      <c r="HJK55" s="389"/>
      <c r="HJL55" s="389"/>
      <c r="HJU55" s="389"/>
      <c r="HJV55" s="389"/>
      <c r="HKE55" s="389"/>
      <c r="HKF55" s="389"/>
      <c r="HKO55" s="389"/>
      <c r="HKP55" s="389"/>
      <c r="HKY55" s="389"/>
      <c r="HKZ55" s="389"/>
      <c r="HLI55" s="389"/>
      <c r="HLJ55" s="389"/>
      <c r="HLS55" s="389"/>
      <c r="HLT55" s="389"/>
      <c r="HMC55" s="389"/>
      <c r="HMD55" s="389"/>
      <c r="HMM55" s="389"/>
      <c r="HMN55" s="389"/>
      <c r="HMW55" s="389"/>
      <c r="HMX55" s="389"/>
      <c r="HNG55" s="389"/>
      <c r="HNH55" s="389"/>
      <c r="HNQ55" s="389"/>
      <c r="HNR55" s="389"/>
      <c r="HOA55" s="389"/>
      <c r="HOB55" s="389"/>
      <c r="HOK55" s="389"/>
      <c r="HOL55" s="389"/>
      <c r="HOU55" s="389"/>
      <c r="HOV55" s="389"/>
      <c r="HPE55" s="389"/>
      <c r="HPF55" s="389"/>
      <c r="HPO55" s="389"/>
      <c r="HPP55" s="389"/>
      <c r="HPY55" s="389"/>
      <c r="HPZ55" s="389"/>
      <c r="HQI55" s="389"/>
      <c r="HQJ55" s="389"/>
      <c r="HQS55" s="389"/>
      <c r="HQT55" s="389"/>
      <c r="HRC55" s="389"/>
      <c r="HRD55" s="389"/>
      <c r="HRM55" s="389"/>
      <c r="HRN55" s="389"/>
      <c r="HRW55" s="389"/>
      <c r="HRX55" s="389"/>
      <c r="HSG55" s="389"/>
      <c r="HSH55" s="389"/>
      <c r="HSQ55" s="389"/>
      <c r="HSR55" s="389"/>
      <c r="HTA55" s="389"/>
      <c r="HTB55" s="389"/>
      <c r="HTK55" s="389"/>
      <c r="HTL55" s="389"/>
      <c r="HTU55" s="389"/>
      <c r="HTV55" s="389"/>
      <c r="HUE55" s="389"/>
      <c r="HUF55" s="389"/>
      <c r="HUO55" s="389"/>
      <c r="HUP55" s="389"/>
      <c r="HUY55" s="389"/>
      <c r="HUZ55" s="389"/>
      <c r="HVI55" s="389"/>
      <c r="HVJ55" s="389"/>
      <c r="HVS55" s="389"/>
      <c r="HVT55" s="389"/>
      <c r="HWC55" s="389"/>
      <c r="HWD55" s="389"/>
      <c r="HWM55" s="389"/>
      <c r="HWN55" s="389"/>
      <c r="HWW55" s="389"/>
      <c r="HWX55" s="389"/>
      <c r="HXG55" s="389"/>
      <c r="HXH55" s="389"/>
      <c r="HXQ55" s="389"/>
      <c r="HXR55" s="389"/>
      <c r="HYA55" s="389"/>
      <c r="HYB55" s="389"/>
      <c r="HYK55" s="389"/>
      <c r="HYL55" s="389"/>
      <c r="HYU55" s="389"/>
      <c r="HYV55" s="389"/>
      <c r="HZE55" s="389"/>
      <c r="HZF55" s="389"/>
      <c r="HZO55" s="389"/>
      <c r="HZP55" s="389"/>
      <c r="HZY55" s="389"/>
      <c r="HZZ55" s="389"/>
      <c r="IAI55" s="389"/>
      <c r="IAJ55" s="389"/>
      <c r="IAS55" s="389"/>
      <c r="IAT55" s="389"/>
      <c r="IBC55" s="389"/>
      <c r="IBD55" s="389"/>
      <c r="IBM55" s="389"/>
      <c r="IBN55" s="389"/>
      <c r="IBW55" s="389"/>
      <c r="IBX55" s="389"/>
      <c r="ICG55" s="389"/>
      <c r="ICH55" s="389"/>
      <c r="ICQ55" s="389"/>
      <c r="ICR55" s="389"/>
      <c r="IDA55" s="389"/>
      <c r="IDB55" s="389"/>
      <c r="IDK55" s="389"/>
      <c r="IDL55" s="389"/>
      <c r="IDU55" s="389"/>
      <c r="IDV55" s="389"/>
      <c r="IEE55" s="389"/>
      <c r="IEF55" s="389"/>
      <c r="IEO55" s="389"/>
      <c r="IEP55" s="389"/>
      <c r="IEY55" s="389"/>
      <c r="IEZ55" s="389"/>
      <c r="IFI55" s="389"/>
      <c r="IFJ55" s="389"/>
      <c r="IFS55" s="389"/>
      <c r="IFT55" s="389"/>
      <c r="IGC55" s="389"/>
      <c r="IGD55" s="389"/>
      <c r="IGM55" s="389"/>
      <c r="IGN55" s="389"/>
      <c r="IGW55" s="389"/>
      <c r="IGX55" s="389"/>
      <c r="IHG55" s="389"/>
      <c r="IHH55" s="389"/>
      <c r="IHQ55" s="389"/>
      <c r="IHR55" s="389"/>
      <c r="IIA55" s="389"/>
      <c r="IIB55" s="389"/>
      <c r="IIK55" s="389"/>
      <c r="IIL55" s="389"/>
      <c r="IIU55" s="389"/>
      <c r="IIV55" s="389"/>
      <c r="IJE55" s="389"/>
      <c r="IJF55" s="389"/>
      <c r="IJO55" s="389"/>
      <c r="IJP55" s="389"/>
      <c r="IJY55" s="389"/>
      <c r="IJZ55" s="389"/>
      <c r="IKI55" s="389"/>
      <c r="IKJ55" s="389"/>
      <c r="IKS55" s="389"/>
      <c r="IKT55" s="389"/>
      <c r="ILC55" s="389"/>
      <c r="ILD55" s="389"/>
      <c r="ILM55" s="389"/>
      <c r="ILN55" s="389"/>
      <c r="ILW55" s="389"/>
      <c r="ILX55" s="389"/>
      <c r="IMG55" s="389"/>
      <c r="IMH55" s="389"/>
      <c r="IMQ55" s="389"/>
      <c r="IMR55" s="389"/>
      <c r="INA55" s="389"/>
      <c r="INB55" s="389"/>
      <c r="INK55" s="389"/>
      <c r="INL55" s="389"/>
      <c r="INU55" s="389"/>
      <c r="INV55" s="389"/>
      <c r="IOE55" s="389"/>
      <c r="IOF55" s="389"/>
      <c r="IOO55" s="389"/>
      <c r="IOP55" s="389"/>
      <c r="IOY55" s="389"/>
      <c r="IOZ55" s="389"/>
      <c r="IPI55" s="389"/>
      <c r="IPJ55" s="389"/>
      <c r="IPS55" s="389"/>
      <c r="IPT55" s="389"/>
      <c r="IQC55" s="389"/>
      <c r="IQD55" s="389"/>
      <c r="IQM55" s="389"/>
      <c r="IQN55" s="389"/>
      <c r="IQW55" s="389"/>
      <c r="IQX55" s="389"/>
      <c r="IRG55" s="389"/>
      <c r="IRH55" s="389"/>
      <c r="IRQ55" s="389"/>
      <c r="IRR55" s="389"/>
      <c r="ISA55" s="389"/>
      <c r="ISB55" s="389"/>
      <c r="ISK55" s="389"/>
      <c r="ISL55" s="389"/>
      <c r="ISU55" s="389"/>
      <c r="ISV55" s="389"/>
      <c r="ITE55" s="389"/>
      <c r="ITF55" s="389"/>
      <c r="ITO55" s="389"/>
      <c r="ITP55" s="389"/>
      <c r="ITY55" s="389"/>
      <c r="ITZ55" s="389"/>
      <c r="IUI55" s="389"/>
      <c r="IUJ55" s="389"/>
      <c r="IUS55" s="389"/>
      <c r="IUT55" s="389"/>
      <c r="IVC55" s="389"/>
      <c r="IVD55" s="389"/>
      <c r="IVM55" s="389"/>
      <c r="IVN55" s="389"/>
      <c r="IVW55" s="389"/>
      <c r="IVX55" s="389"/>
      <c r="IWG55" s="389"/>
      <c r="IWH55" s="389"/>
      <c r="IWQ55" s="389"/>
      <c r="IWR55" s="389"/>
      <c r="IXA55" s="389"/>
      <c r="IXB55" s="389"/>
      <c r="IXK55" s="389"/>
      <c r="IXL55" s="389"/>
      <c r="IXU55" s="389"/>
      <c r="IXV55" s="389"/>
      <c r="IYE55" s="389"/>
      <c r="IYF55" s="389"/>
      <c r="IYO55" s="389"/>
      <c r="IYP55" s="389"/>
      <c r="IYY55" s="389"/>
      <c r="IYZ55" s="389"/>
      <c r="IZI55" s="389"/>
      <c r="IZJ55" s="389"/>
      <c r="IZS55" s="389"/>
      <c r="IZT55" s="389"/>
      <c r="JAC55" s="389"/>
      <c r="JAD55" s="389"/>
      <c r="JAM55" s="389"/>
      <c r="JAN55" s="389"/>
      <c r="JAW55" s="389"/>
      <c r="JAX55" s="389"/>
      <c r="JBG55" s="389"/>
      <c r="JBH55" s="389"/>
      <c r="JBQ55" s="389"/>
      <c r="JBR55" s="389"/>
      <c r="JCA55" s="389"/>
      <c r="JCB55" s="389"/>
      <c r="JCK55" s="389"/>
      <c r="JCL55" s="389"/>
      <c r="JCU55" s="389"/>
      <c r="JCV55" s="389"/>
      <c r="JDE55" s="389"/>
      <c r="JDF55" s="389"/>
      <c r="JDO55" s="389"/>
      <c r="JDP55" s="389"/>
      <c r="JDY55" s="389"/>
      <c r="JDZ55" s="389"/>
      <c r="JEI55" s="389"/>
      <c r="JEJ55" s="389"/>
      <c r="JES55" s="389"/>
      <c r="JET55" s="389"/>
      <c r="JFC55" s="389"/>
      <c r="JFD55" s="389"/>
      <c r="JFM55" s="389"/>
      <c r="JFN55" s="389"/>
      <c r="JFW55" s="389"/>
      <c r="JFX55" s="389"/>
      <c r="JGG55" s="389"/>
      <c r="JGH55" s="389"/>
      <c r="JGQ55" s="389"/>
      <c r="JGR55" s="389"/>
      <c r="JHA55" s="389"/>
      <c r="JHB55" s="389"/>
      <c r="JHK55" s="389"/>
      <c r="JHL55" s="389"/>
      <c r="JHU55" s="389"/>
      <c r="JHV55" s="389"/>
      <c r="JIE55" s="389"/>
      <c r="JIF55" s="389"/>
      <c r="JIO55" s="389"/>
      <c r="JIP55" s="389"/>
      <c r="JIY55" s="389"/>
      <c r="JIZ55" s="389"/>
      <c r="JJI55" s="389"/>
      <c r="JJJ55" s="389"/>
      <c r="JJS55" s="389"/>
      <c r="JJT55" s="389"/>
      <c r="JKC55" s="389"/>
      <c r="JKD55" s="389"/>
      <c r="JKM55" s="389"/>
      <c r="JKN55" s="389"/>
      <c r="JKW55" s="389"/>
      <c r="JKX55" s="389"/>
      <c r="JLG55" s="389"/>
      <c r="JLH55" s="389"/>
      <c r="JLQ55" s="389"/>
      <c r="JLR55" s="389"/>
      <c r="JMA55" s="389"/>
      <c r="JMB55" s="389"/>
      <c r="JMK55" s="389"/>
      <c r="JML55" s="389"/>
      <c r="JMU55" s="389"/>
      <c r="JMV55" s="389"/>
      <c r="JNE55" s="389"/>
      <c r="JNF55" s="389"/>
      <c r="JNO55" s="389"/>
      <c r="JNP55" s="389"/>
      <c r="JNY55" s="389"/>
      <c r="JNZ55" s="389"/>
      <c r="JOI55" s="389"/>
      <c r="JOJ55" s="389"/>
      <c r="JOS55" s="389"/>
      <c r="JOT55" s="389"/>
      <c r="JPC55" s="389"/>
      <c r="JPD55" s="389"/>
      <c r="JPM55" s="389"/>
      <c r="JPN55" s="389"/>
      <c r="JPW55" s="389"/>
      <c r="JPX55" s="389"/>
      <c r="JQG55" s="389"/>
      <c r="JQH55" s="389"/>
      <c r="JQQ55" s="389"/>
      <c r="JQR55" s="389"/>
      <c r="JRA55" s="389"/>
      <c r="JRB55" s="389"/>
      <c r="JRK55" s="389"/>
      <c r="JRL55" s="389"/>
      <c r="JRU55" s="389"/>
      <c r="JRV55" s="389"/>
      <c r="JSE55" s="389"/>
      <c r="JSF55" s="389"/>
      <c r="JSO55" s="389"/>
      <c r="JSP55" s="389"/>
      <c r="JSY55" s="389"/>
      <c r="JSZ55" s="389"/>
      <c r="JTI55" s="389"/>
      <c r="JTJ55" s="389"/>
      <c r="JTS55" s="389"/>
      <c r="JTT55" s="389"/>
      <c r="JUC55" s="389"/>
      <c r="JUD55" s="389"/>
      <c r="JUM55" s="389"/>
      <c r="JUN55" s="389"/>
      <c r="JUW55" s="389"/>
      <c r="JUX55" s="389"/>
      <c r="JVG55" s="389"/>
      <c r="JVH55" s="389"/>
      <c r="JVQ55" s="389"/>
      <c r="JVR55" s="389"/>
      <c r="JWA55" s="389"/>
      <c r="JWB55" s="389"/>
      <c r="JWK55" s="389"/>
      <c r="JWL55" s="389"/>
      <c r="JWU55" s="389"/>
      <c r="JWV55" s="389"/>
      <c r="JXE55" s="389"/>
      <c r="JXF55" s="389"/>
      <c r="JXO55" s="389"/>
      <c r="JXP55" s="389"/>
      <c r="JXY55" s="389"/>
      <c r="JXZ55" s="389"/>
      <c r="JYI55" s="389"/>
      <c r="JYJ55" s="389"/>
      <c r="JYS55" s="389"/>
      <c r="JYT55" s="389"/>
      <c r="JZC55" s="389"/>
      <c r="JZD55" s="389"/>
      <c r="JZM55" s="389"/>
      <c r="JZN55" s="389"/>
      <c r="JZW55" s="389"/>
      <c r="JZX55" s="389"/>
      <c r="KAG55" s="389"/>
      <c r="KAH55" s="389"/>
      <c r="KAQ55" s="389"/>
      <c r="KAR55" s="389"/>
      <c r="KBA55" s="389"/>
      <c r="KBB55" s="389"/>
      <c r="KBK55" s="389"/>
      <c r="KBL55" s="389"/>
      <c r="KBU55" s="389"/>
      <c r="KBV55" s="389"/>
      <c r="KCE55" s="389"/>
      <c r="KCF55" s="389"/>
      <c r="KCO55" s="389"/>
      <c r="KCP55" s="389"/>
      <c r="KCY55" s="389"/>
      <c r="KCZ55" s="389"/>
      <c r="KDI55" s="389"/>
      <c r="KDJ55" s="389"/>
      <c r="KDS55" s="389"/>
      <c r="KDT55" s="389"/>
      <c r="KEC55" s="389"/>
      <c r="KED55" s="389"/>
      <c r="KEM55" s="389"/>
      <c r="KEN55" s="389"/>
      <c r="KEW55" s="389"/>
      <c r="KEX55" s="389"/>
      <c r="KFG55" s="389"/>
      <c r="KFH55" s="389"/>
      <c r="KFQ55" s="389"/>
      <c r="KFR55" s="389"/>
      <c r="KGA55" s="389"/>
      <c r="KGB55" s="389"/>
      <c r="KGK55" s="389"/>
      <c r="KGL55" s="389"/>
      <c r="KGU55" s="389"/>
      <c r="KGV55" s="389"/>
      <c r="KHE55" s="389"/>
      <c r="KHF55" s="389"/>
      <c r="KHO55" s="389"/>
      <c r="KHP55" s="389"/>
      <c r="KHY55" s="389"/>
      <c r="KHZ55" s="389"/>
      <c r="KII55" s="389"/>
      <c r="KIJ55" s="389"/>
      <c r="KIS55" s="389"/>
      <c r="KIT55" s="389"/>
      <c r="KJC55" s="389"/>
      <c r="KJD55" s="389"/>
      <c r="KJM55" s="389"/>
      <c r="KJN55" s="389"/>
      <c r="KJW55" s="389"/>
      <c r="KJX55" s="389"/>
      <c r="KKG55" s="389"/>
      <c r="KKH55" s="389"/>
      <c r="KKQ55" s="389"/>
      <c r="KKR55" s="389"/>
      <c r="KLA55" s="389"/>
      <c r="KLB55" s="389"/>
      <c r="KLK55" s="389"/>
      <c r="KLL55" s="389"/>
      <c r="KLU55" s="389"/>
      <c r="KLV55" s="389"/>
      <c r="KME55" s="389"/>
      <c r="KMF55" s="389"/>
      <c r="KMO55" s="389"/>
      <c r="KMP55" s="389"/>
      <c r="KMY55" s="389"/>
      <c r="KMZ55" s="389"/>
      <c r="KNI55" s="389"/>
      <c r="KNJ55" s="389"/>
      <c r="KNS55" s="389"/>
      <c r="KNT55" s="389"/>
      <c r="KOC55" s="389"/>
      <c r="KOD55" s="389"/>
      <c r="KOM55" s="389"/>
      <c r="KON55" s="389"/>
      <c r="KOW55" s="389"/>
      <c r="KOX55" s="389"/>
      <c r="KPG55" s="389"/>
      <c r="KPH55" s="389"/>
      <c r="KPQ55" s="389"/>
      <c r="KPR55" s="389"/>
      <c r="KQA55" s="389"/>
      <c r="KQB55" s="389"/>
      <c r="KQK55" s="389"/>
      <c r="KQL55" s="389"/>
      <c r="KQU55" s="389"/>
      <c r="KQV55" s="389"/>
      <c r="KRE55" s="389"/>
      <c r="KRF55" s="389"/>
      <c r="KRO55" s="389"/>
      <c r="KRP55" s="389"/>
      <c r="KRY55" s="389"/>
      <c r="KRZ55" s="389"/>
      <c r="KSI55" s="389"/>
      <c r="KSJ55" s="389"/>
      <c r="KSS55" s="389"/>
      <c r="KST55" s="389"/>
      <c r="KTC55" s="389"/>
      <c r="KTD55" s="389"/>
      <c r="KTM55" s="389"/>
      <c r="KTN55" s="389"/>
      <c r="KTW55" s="389"/>
      <c r="KTX55" s="389"/>
      <c r="KUG55" s="389"/>
      <c r="KUH55" s="389"/>
      <c r="KUQ55" s="389"/>
      <c r="KUR55" s="389"/>
      <c r="KVA55" s="389"/>
      <c r="KVB55" s="389"/>
      <c r="KVK55" s="389"/>
      <c r="KVL55" s="389"/>
      <c r="KVU55" s="389"/>
      <c r="KVV55" s="389"/>
      <c r="KWE55" s="389"/>
      <c r="KWF55" s="389"/>
      <c r="KWO55" s="389"/>
      <c r="KWP55" s="389"/>
      <c r="KWY55" s="389"/>
      <c r="KWZ55" s="389"/>
      <c r="KXI55" s="389"/>
      <c r="KXJ55" s="389"/>
      <c r="KXS55" s="389"/>
      <c r="KXT55" s="389"/>
      <c r="KYC55" s="389"/>
      <c r="KYD55" s="389"/>
      <c r="KYM55" s="389"/>
      <c r="KYN55" s="389"/>
      <c r="KYW55" s="389"/>
      <c r="KYX55" s="389"/>
      <c r="KZG55" s="389"/>
      <c r="KZH55" s="389"/>
      <c r="KZQ55" s="389"/>
      <c r="KZR55" s="389"/>
      <c r="LAA55" s="389"/>
      <c r="LAB55" s="389"/>
      <c r="LAK55" s="389"/>
      <c r="LAL55" s="389"/>
      <c r="LAU55" s="389"/>
      <c r="LAV55" s="389"/>
      <c r="LBE55" s="389"/>
      <c r="LBF55" s="389"/>
      <c r="LBO55" s="389"/>
      <c r="LBP55" s="389"/>
      <c r="LBY55" s="389"/>
      <c r="LBZ55" s="389"/>
      <c r="LCI55" s="389"/>
      <c r="LCJ55" s="389"/>
      <c r="LCS55" s="389"/>
      <c r="LCT55" s="389"/>
      <c r="LDC55" s="389"/>
      <c r="LDD55" s="389"/>
      <c r="LDM55" s="389"/>
      <c r="LDN55" s="389"/>
      <c r="LDW55" s="389"/>
      <c r="LDX55" s="389"/>
      <c r="LEG55" s="389"/>
      <c r="LEH55" s="389"/>
      <c r="LEQ55" s="389"/>
      <c r="LER55" s="389"/>
      <c r="LFA55" s="389"/>
      <c r="LFB55" s="389"/>
      <c r="LFK55" s="389"/>
      <c r="LFL55" s="389"/>
      <c r="LFU55" s="389"/>
      <c r="LFV55" s="389"/>
      <c r="LGE55" s="389"/>
      <c r="LGF55" s="389"/>
      <c r="LGO55" s="389"/>
      <c r="LGP55" s="389"/>
      <c r="LGY55" s="389"/>
      <c r="LGZ55" s="389"/>
      <c r="LHI55" s="389"/>
      <c r="LHJ55" s="389"/>
      <c r="LHS55" s="389"/>
      <c r="LHT55" s="389"/>
      <c r="LIC55" s="389"/>
      <c r="LID55" s="389"/>
      <c r="LIM55" s="389"/>
      <c r="LIN55" s="389"/>
      <c r="LIW55" s="389"/>
      <c r="LIX55" s="389"/>
      <c r="LJG55" s="389"/>
      <c r="LJH55" s="389"/>
      <c r="LJQ55" s="389"/>
      <c r="LJR55" s="389"/>
      <c r="LKA55" s="389"/>
      <c r="LKB55" s="389"/>
      <c r="LKK55" s="389"/>
      <c r="LKL55" s="389"/>
      <c r="LKU55" s="389"/>
      <c r="LKV55" s="389"/>
      <c r="LLE55" s="389"/>
      <c r="LLF55" s="389"/>
      <c r="LLO55" s="389"/>
      <c r="LLP55" s="389"/>
      <c r="LLY55" s="389"/>
      <c r="LLZ55" s="389"/>
      <c r="LMI55" s="389"/>
      <c r="LMJ55" s="389"/>
      <c r="LMS55" s="389"/>
      <c r="LMT55" s="389"/>
      <c r="LNC55" s="389"/>
      <c r="LND55" s="389"/>
      <c r="LNM55" s="389"/>
      <c r="LNN55" s="389"/>
      <c r="LNW55" s="389"/>
      <c r="LNX55" s="389"/>
      <c r="LOG55" s="389"/>
      <c r="LOH55" s="389"/>
      <c r="LOQ55" s="389"/>
      <c r="LOR55" s="389"/>
      <c r="LPA55" s="389"/>
      <c r="LPB55" s="389"/>
      <c r="LPK55" s="389"/>
      <c r="LPL55" s="389"/>
      <c r="LPU55" s="389"/>
      <c r="LPV55" s="389"/>
      <c r="LQE55" s="389"/>
      <c r="LQF55" s="389"/>
      <c r="LQO55" s="389"/>
      <c r="LQP55" s="389"/>
      <c r="LQY55" s="389"/>
      <c r="LQZ55" s="389"/>
      <c r="LRI55" s="389"/>
      <c r="LRJ55" s="389"/>
      <c r="LRS55" s="389"/>
      <c r="LRT55" s="389"/>
      <c r="LSC55" s="389"/>
      <c r="LSD55" s="389"/>
      <c r="LSM55" s="389"/>
      <c r="LSN55" s="389"/>
      <c r="LSW55" s="389"/>
      <c r="LSX55" s="389"/>
      <c r="LTG55" s="389"/>
      <c r="LTH55" s="389"/>
      <c r="LTQ55" s="389"/>
      <c r="LTR55" s="389"/>
      <c r="LUA55" s="389"/>
      <c r="LUB55" s="389"/>
      <c r="LUK55" s="389"/>
      <c r="LUL55" s="389"/>
      <c r="LUU55" s="389"/>
      <c r="LUV55" s="389"/>
      <c r="LVE55" s="389"/>
      <c r="LVF55" s="389"/>
      <c r="LVO55" s="389"/>
      <c r="LVP55" s="389"/>
      <c r="LVY55" s="389"/>
      <c r="LVZ55" s="389"/>
      <c r="LWI55" s="389"/>
      <c r="LWJ55" s="389"/>
      <c r="LWS55" s="389"/>
      <c r="LWT55" s="389"/>
      <c r="LXC55" s="389"/>
      <c r="LXD55" s="389"/>
      <c r="LXM55" s="389"/>
      <c r="LXN55" s="389"/>
      <c r="LXW55" s="389"/>
      <c r="LXX55" s="389"/>
      <c r="LYG55" s="389"/>
      <c r="LYH55" s="389"/>
      <c r="LYQ55" s="389"/>
      <c r="LYR55" s="389"/>
      <c r="LZA55" s="389"/>
      <c r="LZB55" s="389"/>
      <c r="LZK55" s="389"/>
      <c r="LZL55" s="389"/>
      <c r="LZU55" s="389"/>
      <c r="LZV55" s="389"/>
      <c r="MAE55" s="389"/>
      <c r="MAF55" s="389"/>
      <c r="MAO55" s="389"/>
      <c r="MAP55" s="389"/>
      <c r="MAY55" s="389"/>
      <c r="MAZ55" s="389"/>
      <c r="MBI55" s="389"/>
      <c r="MBJ55" s="389"/>
      <c r="MBS55" s="389"/>
      <c r="MBT55" s="389"/>
      <c r="MCC55" s="389"/>
      <c r="MCD55" s="389"/>
      <c r="MCM55" s="389"/>
      <c r="MCN55" s="389"/>
      <c r="MCW55" s="389"/>
      <c r="MCX55" s="389"/>
      <c r="MDG55" s="389"/>
      <c r="MDH55" s="389"/>
      <c r="MDQ55" s="389"/>
      <c r="MDR55" s="389"/>
      <c r="MEA55" s="389"/>
      <c r="MEB55" s="389"/>
      <c r="MEK55" s="389"/>
      <c r="MEL55" s="389"/>
      <c r="MEU55" s="389"/>
      <c r="MEV55" s="389"/>
      <c r="MFE55" s="389"/>
      <c r="MFF55" s="389"/>
      <c r="MFO55" s="389"/>
      <c r="MFP55" s="389"/>
      <c r="MFY55" s="389"/>
      <c r="MFZ55" s="389"/>
      <c r="MGI55" s="389"/>
      <c r="MGJ55" s="389"/>
      <c r="MGS55" s="389"/>
      <c r="MGT55" s="389"/>
      <c r="MHC55" s="389"/>
      <c r="MHD55" s="389"/>
      <c r="MHM55" s="389"/>
      <c r="MHN55" s="389"/>
      <c r="MHW55" s="389"/>
      <c r="MHX55" s="389"/>
      <c r="MIG55" s="389"/>
      <c r="MIH55" s="389"/>
      <c r="MIQ55" s="389"/>
      <c r="MIR55" s="389"/>
      <c r="MJA55" s="389"/>
      <c r="MJB55" s="389"/>
      <c r="MJK55" s="389"/>
      <c r="MJL55" s="389"/>
      <c r="MJU55" s="389"/>
      <c r="MJV55" s="389"/>
      <c r="MKE55" s="389"/>
      <c r="MKF55" s="389"/>
      <c r="MKO55" s="389"/>
      <c r="MKP55" s="389"/>
      <c r="MKY55" s="389"/>
      <c r="MKZ55" s="389"/>
      <c r="MLI55" s="389"/>
      <c r="MLJ55" s="389"/>
      <c r="MLS55" s="389"/>
      <c r="MLT55" s="389"/>
      <c r="MMC55" s="389"/>
      <c r="MMD55" s="389"/>
      <c r="MMM55" s="389"/>
      <c r="MMN55" s="389"/>
      <c r="MMW55" s="389"/>
      <c r="MMX55" s="389"/>
      <c r="MNG55" s="389"/>
      <c r="MNH55" s="389"/>
      <c r="MNQ55" s="389"/>
      <c r="MNR55" s="389"/>
      <c r="MOA55" s="389"/>
      <c r="MOB55" s="389"/>
      <c r="MOK55" s="389"/>
      <c r="MOL55" s="389"/>
      <c r="MOU55" s="389"/>
      <c r="MOV55" s="389"/>
      <c r="MPE55" s="389"/>
      <c r="MPF55" s="389"/>
      <c r="MPO55" s="389"/>
      <c r="MPP55" s="389"/>
      <c r="MPY55" s="389"/>
      <c r="MPZ55" s="389"/>
      <c r="MQI55" s="389"/>
      <c r="MQJ55" s="389"/>
      <c r="MQS55" s="389"/>
      <c r="MQT55" s="389"/>
      <c r="MRC55" s="389"/>
      <c r="MRD55" s="389"/>
      <c r="MRM55" s="389"/>
      <c r="MRN55" s="389"/>
      <c r="MRW55" s="389"/>
      <c r="MRX55" s="389"/>
      <c r="MSG55" s="389"/>
      <c r="MSH55" s="389"/>
      <c r="MSQ55" s="389"/>
      <c r="MSR55" s="389"/>
      <c r="MTA55" s="389"/>
      <c r="MTB55" s="389"/>
      <c r="MTK55" s="389"/>
      <c r="MTL55" s="389"/>
      <c r="MTU55" s="389"/>
      <c r="MTV55" s="389"/>
      <c r="MUE55" s="389"/>
      <c r="MUF55" s="389"/>
      <c r="MUO55" s="389"/>
      <c r="MUP55" s="389"/>
      <c r="MUY55" s="389"/>
      <c r="MUZ55" s="389"/>
      <c r="MVI55" s="389"/>
      <c r="MVJ55" s="389"/>
      <c r="MVS55" s="389"/>
      <c r="MVT55" s="389"/>
      <c r="MWC55" s="389"/>
      <c r="MWD55" s="389"/>
      <c r="MWM55" s="389"/>
      <c r="MWN55" s="389"/>
      <c r="MWW55" s="389"/>
      <c r="MWX55" s="389"/>
      <c r="MXG55" s="389"/>
      <c r="MXH55" s="389"/>
      <c r="MXQ55" s="389"/>
      <c r="MXR55" s="389"/>
      <c r="MYA55" s="389"/>
      <c r="MYB55" s="389"/>
      <c r="MYK55" s="389"/>
      <c r="MYL55" s="389"/>
      <c r="MYU55" s="389"/>
      <c r="MYV55" s="389"/>
      <c r="MZE55" s="389"/>
      <c r="MZF55" s="389"/>
      <c r="MZO55" s="389"/>
      <c r="MZP55" s="389"/>
      <c r="MZY55" s="389"/>
      <c r="MZZ55" s="389"/>
      <c r="NAI55" s="389"/>
      <c r="NAJ55" s="389"/>
      <c r="NAS55" s="389"/>
      <c r="NAT55" s="389"/>
      <c r="NBC55" s="389"/>
      <c r="NBD55" s="389"/>
      <c r="NBM55" s="389"/>
      <c r="NBN55" s="389"/>
      <c r="NBW55" s="389"/>
      <c r="NBX55" s="389"/>
      <c r="NCG55" s="389"/>
      <c r="NCH55" s="389"/>
      <c r="NCQ55" s="389"/>
      <c r="NCR55" s="389"/>
      <c r="NDA55" s="389"/>
      <c r="NDB55" s="389"/>
      <c r="NDK55" s="389"/>
      <c r="NDL55" s="389"/>
      <c r="NDU55" s="389"/>
      <c r="NDV55" s="389"/>
      <c r="NEE55" s="389"/>
      <c r="NEF55" s="389"/>
      <c r="NEO55" s="389"/>
      <c r="NEP55" s="389"/>
      <c r="NEY55" s="389"/>
      <c r="NEZ55" s="389"/>
      <c r="NFI55" s="389"/>
      <c r="NFJ55" s="389"/>
      <c r="NFS55" s="389"/>
      <c r="NFT55" s="389"/>
      <c r="NGC55" s="389"/>
      <c r="NGD55" s="389"/>
      <c r="NGM55" s="389"/>
      <c r="NGN55" s="389"/>
      <c r="NGW55" s="389"/>
      <c r="NGX55" s="389"/>
      <c r="NHG55" s="389"/>
      <c r="NHH55" s="389"/>
      <c r="NHQ55" s="389"/>
      <c r="NHR55" s="389"/>
      <c r="NIA55" s="389"/>
      <c r="NIB55" s="389"/>
      <c r="NIK55" s="389"/>
      <c r="NIL55" s="389"/>
      <c r="NIU55" s="389"/>
      <c r="NIV55" s="389"/>
      <c r="NJE55" s="389"/>
      <c r="NJF55" s="389"/>
      <c r="NJO55" s="389"/>
      <c r="NJP55" s="389"/>
      <c r="NJY55" s="389"/>
      <c r="NJZ55" s="389"/>
      <c r="NKI55" s="389"/>
      <c r="NKJ55" s="389"/>
      <c r="NKS55" s="389"/>
      <c r="NKT55" s="389"/>
      <c r="NLC55" s="389"/>
      <c r="NLD55" s="389"/>
      <c r="NLM55" s="389"/>
      <c r="NLN55" s="389"/>
      <c r="NLW55" s="389"/>
      <c r="NLX55" s="389"/>
      <c r="NMG55" s="389"/>
      <c r="NMH55" s="389"/>
      <c r="NMQ55" s="389"/>
      <c r="NMR55" s="389"/>
      <c r="NNA55" s="389"/>
      <c r="NNB55" s="389"/>
      <c r="NNK55" s="389"/>
      <c r="NNL55" s="389"/>
      <c r="NNU55" s="389"/>
      <c r="NNV55" s="389"/>
      <c r="NOE55" s="389"/>
      <c r="NOF55" s="389"/>
      <c r="NOO55" s="389"/>
      <c r="NOP55" s="389"/>
      <c r="NOY55" s="389"/>
      <c r="NOZ55" s="389"/>
      <c r="NPI55" s="389"/>
      <c r="NPJ55" s="389"/>
      <c r="NPS55" s="389"/>
      <c r="NPT55" s="389"/>
      <c r="NQC55" s="389"/>
      <c r="NQD55" s="389"/>
      <c r="NQM55" s="389"/>
      <c r="NQN55" s="389"/>
      <c r="NQW55" s="389"/>
      <c r="NQX55" s="389"/>
      <c r="NRG55" s="389"/>
      <c r="NRH55" s="389"/>
      <c r="NRQ55" s="389"/>
      <c r="NRR55" s="389"/>
      <c r="NSA55" s="389"/>
      <c r="NSB55" s="389"/>
      <c r="NSK55" s="389"/>
      <c r="NSL55" s="389"/>
      <c r="NSU55" s="389"/>
      <c r="NSV55" s="389"/>
      <c r="NTE55" s="389"/>
      <c r="NTF55" s="389"/>
      <c r="NTO55" s="389"/>
      <c r="NTP55" s="389"/>
      <c r="NTY55" s="389"/>
      <c r="NTZ55" s="389"/>
      <c r="NUI55" s="389"/>
      <c r="NUJ55" s="389"/>
      <c r="NUS55" s="389"/>
      <c r="NUT55" s="389"/>
      <c r="NVC55" s="389"/>
      <c r="NVD55" s="389"/>
      <c r="NVM55" s="389"/>
      <c r="NVN55" s="389"/>
      <c r="NVW55" s="389"/>
      <c r="NVX55" s="389"/>
      <c r="NWG55" s="389"/>
      <c r="NWH55" s="389"/>
      <c r="NWQ55" s="389"/>
      <c r="NWR55" s="389"/>
      <c r="NXA55" s="389"/>
      <c r="NXB55" s="389"/>
      <c r="NXK55" s="389"/>
      <c r="NXL55" s="389"/>
      <c r="NXU55" s="389"/>
      <c r="NXV55" s="389"/>
      <c r="NYE55" s="389"/>
      <c r="NYF55" s="389"/>
      <c r="NYO55" s="389"/>
      <c r="NYP55" s="389"/>
      <c r="NYY55" s="389"/>
      <c r="NYZ55" s="389"/>
      <c r="NZI55" s="389"/>
      <c r="NZJ55" s="389"/>
      <c r="NZS55" s="389"/>
      <c r="NZT55" s="389"/>
      <c r="OAC55" s="389"/>
      <c r="OAD55" s="389"/>
      <c r="OAM55" s="389"/>
      <c r="OAN55" s="389"/>
      <c r="OAW55" s="389"/>
      <c r="OAX55" s="389"/>
      <c r="OBG55" s="389"/>
      <c r="OBH55" s="389"/>
      <c r="OBQ55" s="389"/>
      <c r="OBR55" s="389"/>
      <c r="OCA55" s="389"/>
      <c r="OCB55" s="389"/>
      <c r="OCK55" s="389"/>
      <c r="OCL55" s="389"/>
      <c r="OCU55" s="389"/>
      <c r="OCV55" s="389"/>
      <c r="ODE55" s="389"/>
      <c r="ODF55" s="389"/>
      <c r="ODO55" s="389"/>
      <c r="ODP55" s="389"/>
      <c r="ODY55" s="389"/>
      <c r="ODZ55" s="389"/>
      <c r="OEI55" s="389"/>
      <c r="OEJ55" s="389"/>
      <c r="OES55" s="389"/>
      <c r="OET55" s="389"/>
      <c r="OFC55" s="389"/>
      <c r="OFD55" s="389"/>
      <c r="OFM55" s="389"/>
      <c r="OFN55" s="389"/>
      <c r="OFW55" s="389"/>
      <c r="OFX55" s="389"/>
      <c r="OGG55" s="389"/>
      <c r="OGH55" s="389"/>
      <c r="OGQ55" s="389"/>
      <c r="OGR55" s="389"/>
      <c r="OHA55" s="389"/>
      <c r="OHB55" s="389"/>
      <c r="OHK55" s="389"/>
      <c r="OHL55" s="389"/>
      <c r="OHU55" s="389"/>
      <c r="OHV55" s="389"/>
      <c r="OIE55" s="389"/>
      <c r="OIF55" s="389"/>
      <c r="OIO55" s="389"/>
      <c r="OIP55" s="389"/>
      <c r="OIY55" s="389"/>
      <c r="OIZ55" s="389"/>
      <c r="OJI55" s="389"/>
      <c r="OJJ55" s="389"/>
      <c r="OJS55" s="389"/>
      <c r="OJT55" s="389"/>
      <c r="OKC55" s="389"/>
      <c r="OKD55" s="389"/>
      <c r="OKM55" s="389"/>
      <c r="OKN55" s="389"/>
      <c r="OKW55" s="389"/>
      <c r="OKX55" s="389"/>
      <c r="OLG55" s="389"/>
      <c r="OLH55" s="389"/>
      <c r="OLQ55" s="389"/>
      <c r="OLR55" s="389"/>
      <c r="OMA55" s="389"/>
      <c r="OMB55" s="389"/>
      <c r="OMK55" s="389"/>
      <c r="OML55" s="389"/>
      <c r="OMU55" s="389"/>
      <c r="OMV55" s="389"/>
      <c r="ONE55" s="389"/>
      <c r="ONF55" s="389"/>
      <c r="ONO55" s="389"/>
      <c r="ONP55" s="389"/>
      <c r="ONY55" s="389"/>
      <c r="ONZ55" s="389"/>
      <c r="OOI55" s="389"/>
      <c r="OOJ55" s="389"/>
      <c r="OOS55" s="389"/>
      <c r="OOT55" s="389"/>
      <c r="OPC55" s="389"/>
      <c r="OPD55" s="389"/>
      <c r="OPM55" s="389"/>
      <c r="OPN55" s="389"/>
      <c r="OPW55" s="389"/>
      <c r="OPX55" s="389"/>
      <c r="OQG55" s="389"/>
      <c r="OQH55" s="389"/>
      <c r="OQQ55" s="389"/>
      <c r="OQR55" s="389"/>
      <c r="ORA55" s="389"/>
      <c r="ORB55" s="389"/>
      <c r="ORK55" s="389"/>
      <c r="ORL55" s="389"/>
      <c r="ORU55" s="389"/>
      <c r="ORV55" s="389"/>
      <c r="OSE55" s="389"/>
      <c r="OSF55" s="389"/>
      <c r="OSO55" s="389"/>
      <c r="OSP55" s="389"/>
      <c r="OSY55" s="389"/>
      <c r="OSZ55" s="389"/>
      <c r="OTI55" s="389"/>
      <c r="OTJ55" s="389"/>
      <c r="OTS55" s="389"/>
      <c r="OTT55" s="389"/>
      <c r="OUC55" s="389"/>
      <c r="OUD55" s="389"/>
      <c r="OUM55" s="389"/>
      <c r="OUN55" s="389"/>
      <c r="OUW55" s="389"/>
      <c r="OUX55" s="389"/>
      <c r="OVG55" s="389"/>
      <c r="OVH55" s="389"/>
      <c r="OVQ55" s="389"/>
      <c r="OVR55" s="389"/>
      <c r="OWA55" s="389"/>
      <c r="OWB55" s="389"/>
      <c r="OWK55" s="389"/>
      <c r="OWL55" s="389"/>
      <c r="OWU55" s="389"/>
      <c r="OWV55" s="389"/>
      <c r="OXE55" s="389"/>
      <c r="OXF55" s="389"/>
      <c r="OXO55" s="389"/>
      <c r="OXP55" s="389"/>
      <c r="OXY55" s="389"/>
      <c r="OXZ55" s="389"/>
      <c r="OYI55" s="389"/>
      <c r="OYJ55" s="389"/>
      <c r="OYS55" s="389"/>
      <c r="OYT55" s="389"/>
      <c r="OZC55" s="389"/>
      <c r="OZD55" s="389"/>
      <c r="OZM55" s="389"/>
      <c r="OZN55" s="389"/>
      <c r="OZW55" s="389"/>
      <c r="OZX55" s="389"/>
      <c r="PAG55" s="389"/>
      <c r="PAH55" s="389"/>
      <c r="PAQ55" s="389"/>
      <c r="PAR55" s="389"/>
      <c r="PBA55" s="389"/>
      <c r="PBB55" s="389"/>
      <c r="PBK55" s="389"/>
      <c r="PBL55" s="389"/>
      <c r="PBU55" s="389"/>
      <c r="PBV55" s="389"/>
      <c r="PCE55" s="389"/>
      <c r="PCF55" s="389"/>
      <c r="PCO55" s="389"/>
      <c r="PCP55" s="389"/>
      <c r="PCY55" s="389"/>
      <c r="PCZ55" s="389"/>
      <c r="PDI55" s="389"/>
      <c r="PDJ55" s="389"/>
      <c r="PDS55" s="389"/>
      <c r="PDT55" s="389"/>
      <c r="PEC55" s="389"/>
      <c r="PED55" s="389"/>
      <c r="PEM55" s="389"/>
      <c r="PEN55" s="389"/>
      <c r="PEW55" s="389"/>
      <c r="PEX55" s="389"/>
      <c r="PFG55" s="389"/>
      <c r="PFH55" s="389"/>
      <c r="PFQ55" s="389"/>
      <c r="PFR55" s="389"/>
      <c r="PGA55" s="389"/>
      <c r="PGB55" s="389"/>
      <c r="PGK55" s="389"/>
      <c r="PGL55" s="389"/>
      <c r="PGU55" s="389"/>
      <c r="PGV55" s="389"/>
      <c r="PHE55" s="389"/>
      <c r="PHF55" s="389"/>
      <c r="PHO55" s="389"/>
      <c r="PHP55" s="389"/>
      <c r="PHY55" s="389"/>
      <c r="PHZ55" s="389"/>
      <c r="PII55" s="389"/>
      <c r="PIJ55" s="389"/>
      <c r="PIS55" s="389"/>
      <c r="PIT55" s="389"/>
      <c r="PJC55" s="389"/>
      <c r="PJD55" s="389"/>
      <c r="PJM55" s="389"/>
      <c r="PJN55" s="389"/>
      <c r="PJW55" s="389"/>
      <c r="PJX55" s="389"/>
      <c r="PKG55" s="389"/>
      <c r="PKH55" s="389"/>
      <c r="PKQ55" s="389"/>
      <c r="PKR55" s="389"/>
      <c r="PLA55" s="389"/>
      <c r="PLB55" s="389"/>
      <c r="PLK55" s="389"/>
      <c r="PLL55" s="389"/>
      <c r="PLU55" s="389"/>
      <c r="PLV55" s="389"/>
      <c r="PME55" s="389"/>
      <c r="PMF55" s="389"/>
      <c r="PMO55" s="389"/>
      <c r="PMP55" s="389"/>
      <c r="PMY55" s="389"/>
      <c r="PMZ55" s="389"/>
      <c r="PNI55" s="389"/>
      <c r="PNJ55" s="389"/>
      <c r="PNS55" s="389"/>
      <c r="PNT55" s="389"/>
      <c r="POC55" s="389"/>
      <c r="POD55" s="389"/>
      <c r="POM55" s="389"/>
      <c r="PON55" s="389"/>
      <c r="POW55" s="389"/>
      <c r="POX55" s="389"/>
      <c r="PPG55" s="389"/>
      <c r="PPH55" s="389"/>
      <c r="PPQ55" s="389"/>
      <c r="PPR55" s="389"/>
      <c r="PQA55" s="389"/>
      <c r="PQB55" s="389"/>
      <c r="PQK55" s="389"/>
      <c r="PQL55" s="389"/>
      <c r="PQU55" s="389"/>
      <c r="PQV55" s="389"/>
      <c r="PRE55" s="389"/>
      <c r="PRF55" s="389"/>
      <c r="PRO55" s="389"/>
      <c r="PRP55" s="389"/>
      <c r="PRY55" s="389"/>
      <c r="PRZ55" s="389"/>
      <c r="PSI55" s="389"/>
      <c r="PSJ55" s="389"/>
      <c r="PSS55" s="389"/>
      <c r="PST55" s="389"/>
      <c r="PTC55" s="389"/>
      <c r="PTD55" s="389"/>
      <c r="PTM55" s="389"/>
      <c r="PTN55" s="389"/>
      <c r="PTW55" s="389"/>
      <c r="PTX55" s="389"/>
      <c r="PUG55" s="389"/>
      <c r="PUH55" s="389"/>
      <c r="PUQ55" s="389"/>
      <c r="PUR55" s="389"/>
      <c r="PVA55" s="389"/>
      <c r="PVB55" s="389"/>
      <c r="PVK55" s="389"/>
      <c r="PVL55" s="389"/>
      <c r="PVU55" s="389"/>
      <c r="PVV55" s="389"/>
      <c r="PWE55" s="389"/>
      <c r="PWF55" s="389"/>
      <c r="PWO55" s="389"/>
      <c r="PWP55" s="389"/>
      <c r="PWY55" s="389"/>
      <c r="PWZ55" s="389"/>
      <c r="PXI55" s="389"/>
      <c r="PXJ55" s="389"/>
      <c r="PXS55" s="389"/>
      <c r="PXT55" s="389"/>
      <c r="PYC55" s="389"/>
      <c r="PYD55" s="389"/>
      <c r="PYM55" s="389"/>
      <c r="PYN55" s="389"/>
      <c r="PYW55" s="389"/>
      <c r="PYX55" s="389"/>
      <c r="PZG55" s="389"/>
      <c r="PZH55" s="389"/>
      <c r="PZQ55" s="389"/>
      <c r="PZR55" s="389"/>
      <c r="QAA55" s="389"/>
      <c r="QAB55" s="389"/>
      <c r="QAK55" s="389"/>
      <c r="QAL55" s="389"/>
      <c r="QAU55" s="389"/>
      <c r="QAV55" s="389"/>
      <c r="QBE55" s="389"/>
      <c r="QBF55" s="389"/>
      <c r="QBO55" s="389"/>
      <c r="QBP55" s="389"/>
      <c r="QBY55" s="389"/>
      <c r="QBZ55" s="389"/>
      <c r="QCI55" s="389"/>
      <c r="QCJ55" s="389"/>
      <c r="QCS55" s="389"/>
      <c r="QCT55" s="389"/>
      <c r="QDC55" s="389"/>
      <c r="QDD55" s="389"/>
      <c r="QDM55" s="389"/>
      <c r="QDN55" s="389"/>
      <c r="QDW55" s="389"/>
      <c r="QDX55" s="389"/>
      <c r="QEG55" s="389"/>
      <c r="QEH55" s="389"/>
      <c r="QEQ55" s="389"/>
      <c r="QER55" s="389"/>
      <c r="QFA55" s="389"/>
      <c r="QFB55" s="389"/>
      <c r="QFK55" s="389"/>
      <c r="QFL55" s="389"/>
      <c r="QFU55" s="389"/>
      <c r="QFV55" s="389"/>
      <c r="QGE55" s="389"/>
      <c r="QGF55" s="389"/>
      <c r="QGO55" s="389"/>
      <c r="QGP55" s="389"/>
      <c r="QGY55" s="389"/>
      <c r="QGZ55" s="389"/>
      <c r="QHI55" s="389"/>
      <c r="QHJ55" s="389"/>
      <c r="QHS55" s="389"/>
      <c r="QHT55" s="389"/>
      <c r="QIC55" s="389"/>
      <c r="QID55" s="389"/>
      <c r="QIM55" s="389"/>
      <c r="QIN55" s="389"/>
      <c r="QIW55" s="389"/>
      <c r="QIX55" s="389"/>
      <c r="QJG55" s="389"/>
      <c r="QJH55" s="389"/>
      <c r="QJQ55" s="389"/>
      <c r="QJR55" s="389"/>
      <c r="QKA55" s="389"/>
      <c r="QKB55" s="389"/>
      <c r="QKK55" s="389"/>
      <c r="QKL55" s="389"/>
      <c r="QKU55" s="389"/>
      <c r="QKV55" s="389"/>
      <c r="QLE55" s="389"/>
      <c r="QLF55" s="389"/>
      <c r="QLO55" s="389"/>
      <c r="QLP55" s="389"/>
      <c r="QLY55" s="389"/>
      <c r="QLZ55" s="389"/>
      <c r="QMI55" s="389"/>
      <c r="QMJ55" s="389"/>
      <c r="QMS55" s="389"/>
      <c r="QMT55" s="389"/>
      <c r="QNC55" s="389"/>
      <c r="QND55" s="389"/>
      <c r="QNM55" s="389"/>
      <c r="QNN55" s="389"/>
      <c r="QNW55" s="389"/>
      <c r="QNX55" s="389"/>
      <c r="QOG55" s="389"/>
      <c r="QOH55" s="389"/>
      <c r="QOQ55" s="389"/>
      <c r="QOR55" s="389"/>
      <c r="QPA55" s="389"/>
      <c r="QPB55" s="389"/>
      <c r="QPK55" s="389"/>
      <c r="QPL55" s="389"/>
      <c r="QPU55" s="389"/>
      <c r="QPV55" s="389"/>
      <c r="QQE55" s="389"/>
      <c r="QQF55" s="389"/>
      <c r="QQO55" s="389"/>
      <c r="QQP55" s="389"/>
      <c r="QQY55" s="389"/>
      <c r="QQZ55" s="389"/>
      <c r="QRI55" s="389"/>
      <c r="QRJ55" s="389"/>
      <c r="QRS55" s="389"/>
      <c r="QRT55" s="389"/>
      <c r="QSC55" s="389"/>
      <c r="QSD55" s="389"/>
      <c r="QSM55" s="389"/>
      <c r="QSN55" s="389"/>
      <c r="QSW55" s="389"/>
      <c r="QSX55" s="389"/>
      <c r="QTG55" s="389"/>
      <c r="QTH55" s="389"/>
      <c r="QTQ55" s="389"/>
      <c r="QTR55" s="389"/>
      <c r="QUA55" s="389"/>
      <c r="QUB55" s="389"/>
      <c r="QUK55" s="389"/>
      <c r="QUL55" s="389"/>
      <c r="QUU55" s="389"/>
      <c r="QUV55" s="389"/>
      <c r="QVE55" s="389"/>
      <c r="QVF55" s="389"/>
      <c r="QVO55" s="389"/>
      <c r="QVP55" s="389"/>
      <c r="QVY55" s="389"/>
      <c r="QVZ55" s="389"/>
      <c r="QWI55" s="389"/>
      <c r="QWJ55" s="389"/>
      <c r="QWS55" s="389"/>
      <c r="QWT55" s="389"/>
      <c r="QXC55" s="389"/>
      <c r="QXD55" s="389"/>
      <c r="QXM55" s="389"/>
      <c r="QXN55" s="389"/>
      <c r="QXW55" s="389"/>
      <c r="QXX55" s="389"/>
      <c r="QYG55" s="389"/>
      <c r="QYH55" s="389"/>
      <c r="QYQ55" s="389"/>
      <c r="QYR55" s="389"/>
      <c r="QZA55" s="389"/>
      <c r="QZB55" s="389"/>
      <c r="QZK55" s="389"/>
      <c r="QZL55" s="389"/>
      <c r="QZU55" s="389"/>
      <c r="QZV55" s="389"/>
      <c r="RAE55" s="389"/>
      <c r="RAF55" s="389"/>
      <c r="RAO55" s="389"/>
      <c r="RAP55" s="389"/>
      <c r="RAY55" s="389"/>
      <c r="RAZ55" s="389"/>
      <c r="RBI55" s="389"/>
      <c r="RBJ55" s="389"/>
      <c r="RBS55" s="389"/>
      <c r="RBT55" s="389"/>
      <c r="RCC55" s="389"/>
      <c r="RCD55" s="389"/>
      <c r="RCM55" s="389"/>
      <c r="RCN55" s="389"/>
      <c r="RCW55" s="389"/>
      <c r="RCX55" s="389"/>
      <c r="RDG55" s="389"/>
      <c r="RDH55" s="389"/>
      <c r="RDQ55" s="389"/>
      <c r="RDR55" s="389"/>
      <c r="REA55" s="389"/>
      <c r="REB55" s="389"/>
      <c r="REK55" s="389"/>
      <c r="REL55" s="389"/>
      <c r="REU55" s="389"/>
      <c r="REV55" s="389"/>
      <c r="RFE55" s="389"/>
      <c r="RFF55" s="389"/>
      <c r="RFO55" s="389"/>
      <c r="RFP55" s="389"/>
      <c r="RFY55" s="389"/>
      <c r="RFZ55" s="389"/>
      <c r="RGI55" s="389"/>
      <c r="RGJ55" s="389"/>
      <c r="RGS55" s="389"/>
      <c r="RGT55" s="389"/>
      <c r="RHC55" s="389"/>
      <c r="RHD55" s="389"/>
      <c r="RHM55" s="389"/>
      <c r="RHN55" s="389"/>
      <c r="RHW55" s="389"/>
      <c r="RHX55" s="389"/>
      <c r="RIG55" s="389"/>
      <c r="RIH55" s="389"/>
      <c r="RIQ55" s="389"/>
      <c r="RIR55" s="389"/>
      <c r="RJA55" s="389"/>
      <c r="RJB55" s="389"/>
      <c r="RJK55" s="389"/>
      <c r="RJL55" s="389"/>
      <c r="RJU55" s="389"/>
      <c r="RJV55" s="389"/>
      <c r="RKE55" s="389"/>
      <c r="RKF55" s="389"/>
      <c r="RKO55" s="389"/>
      <c r="RKP55" s="389"/>
      <c r="RKY55" s="389"/>
      <c r="RKZ55" s="389"/>
      <c r="RLI55" s="389"/>
      <c r="RLJ55" s="389"/>
      <c r="RLS55" s="389"/>
      <c r="RLT55" s="389"/>
      <c r="RMC55" s="389"/>
      <c r="RMD55" s="389"/>
      <c r="RMM55" s="389"/>
      <c r="RMN55" s="389"/>
      <c r="RMW55" s="389"/>
      <c r="RMX55" s="389"/>
      <c r="RNG55" s="389"/>
      <c r="RNH55" s="389"/>
      <c r="RNQ55" s="389"/>
      <c r="RNR55" s="389"/>
      <c r="ROA55" s="389"/>
      <c r="ROB55" s="389"/>
      <c r="ROK55" s="389"/>
      <c r="ROL55" s="389"/>
      <c r="ROU55" s="389"/>
      <c r="ROV55" s="389"/>
      <c r="RPE55" s="389"/>
      <c r="RPF55" s="389"/>
      <c r="RPO55" s="389"/>
      <c r="RPP55" s="389"/>
      <c r="RPY55" s="389"/>
      <c r="RPZ55" s="389"/>
      <c r="RQI55" s="389"/>
      <c r="RQJ55" s="389"/>
      <c r="RQS55" s="389"/>
      <c r="RQT55" s="389"/>
      <c r="RRC55" s="389"/>
      <c r="RRD55" s="389"/>
      <c r="RRM55" s="389"/>
      <c r="RRN55" s="389"/>
      <c r="RRW55" s="389"/>
      <c r="RRX55" s="389"/>
      <c r="RSG55" s="389"/>
      <c r="RSH55" s="389"/>
      <c r="RSQ55" s="389"/>
      <c r="RSR55" s="389"/>
      <c r="RTA55" s="389"/>
      <c r="RTB55" s="389"/>
      <c r="RTK55" s="389"/>
      <c r="RTL55" s="389"/>
      <c r="RTU55" s="389"/>
      <c r="RTV55" s="389"/>
      <c r="RUE55" s="389"/>
      <c r="RUF55" s="389"/>
      <c r="RUO55" s="389"/>
      <c r="RUP55" s="389"/>
      <c r="RUY55" s="389"/>
      <c r="RUZ55" s="389"/>
      <c r="RVI55" s="389"/>
      <c r="RVJ55" s="389"/>
      <c r="RVS55" s="389"/>
      <c r="RVT55" s="389"/>
      <c r="RWC55" s="389"/>
      <c r="RWD55" s="389"/>
      <c r="RWM55" s="389"/>
      <c r="RWN55" s="389"/>
      <c r="RWW55" s="389"/>
      <c r="RWX55" s="389"/>
      <c r="RXG55" s="389"/>
      <c r="RXH55" s="389"/>
      <c r="RXQ55" s="389"/>
      <c r="RXR55" s="389"/>
      <c r="RYA55" s="389"/>
      <c r="RYB55" s="389"/>
      <c r="RYK55" s="389"/>
      <c r="RYL55" s="389"/>
      <c r="RYU55" s="389"/>
      <c r="RYV55" s="389"/>
      <c r="RZE55" s="389"/>
      <c r="RZF55" s="389"/>
      <c r="RZO55" s="389"/>
      <c r="RZP55" s="389"/>
      <c r="RZY55" s="389"/>
      <c r="RZZ55" s="389"/>
      <c r="SAI55" s="389"/>
      <c r="SAJ55" s="389"/>
      <c r="SAS55" s="389"/>
      <c r="SAT55" s="389"/>
      <c r="SBC55" s="389"/>
      <c r="SBD55" s="389"/>
      <c r="SBM55" s="389"/>
      <c r="SBN55" s="389"/>
      <c r="SBW55" s="389"/>
      <c r="SBX55" s="389"/>
      <c r="SCG55" s="389"/>
      <c r="SCH55" s="389"/>
      <c r="SCQ55" s="389"/>
      <c r="SCR55" s="389"/>
      <c r="SDA55" s="389"/>
      <c r="SDB55" s="389"/>
      <c r="SDK55" s="389"/>
      <c r="SDL55" s="389"/>
      <c r="SDU55" s="389"/>
      <c r="SDV55" s="389"/>
      <c r="SEE55" s="389"/>
      <c r="SEF55" s="389"/>
      <c r="SEO55" s="389"/>
      <c r="SEP55" s="389"/>
      <c r="SEY55" s="389"/>
      <c r="SEZ55" s="389"/>
      <c r="SFI55" s="389"/>
      <c r="SFJ55" s="389"/>
      <c r="SFS55" s="389"/>
      <c r="SFT55" s="389"/>
      <c r="SGC55" s="389"/>
      <c r="SGD55" s="389"/>
      <c r="SGM55" s="389"/>
      <c r="SGN55" s="389"/>
      <c r="SGW55" s="389"/>
      <c r="SGX55" s="389"/>
      <c r="SHG55" s="389"/>
      <c r="SHH55" s="389"/>
      <c r="SHQ55" s="389"/>
      <c r="SHR55" s="389"/>
      <c r="SIA55" s="389"/>
      <c r="SIB55" s="389"/>
      <c r="SIK55" s="389"/>
      <c r="SIL55" s="389"/>
      <c r="SIU55" s="389"/>
      <c r="SIV55" s="389"/>
      <c r="SJE55" s="389"/>
      <c r="SJF55" s="389"/>
      <c r="SJO55" s="389"/>
      <c r="SJP55" s="389"/>
      <c r="SJY55" s="389"/>
      <c r="SJZ55" s="389"/>
      <c r="SKI55" s="389"/>
      <c r="SKJ55" s="389"/>
      <c r="SKS55" s="389"/>
      <c r="SKT55" s="389"/>
      <c r="SLC55" s="389"/>
      <c r="SLD55" s="389"/>
      <c r="SLM55" s="389"/>
      <c r="SLN55" s="389"/>
      <c r="SLW55" s="389"/>
      <c r="SLX55" s="389"/>
      <c r="SMG55" s="389"/>
      <c r="SMH55" s="389"/>
      <c r="SMQ55" s="389"/>
      <c r="SMR55" s="389"/>
      <c r="SNA55" s="389"/>
      <c r="SNB55" s="389"/>
      <c r="SNK55" s="389"/>
      <c r="SNL55" s="389"/>
      <c r="SNU55" s="389"/>
      <c r="SNV55" s="389"/>
      <c r="SOE55" s="389"/>
      <c r="SOF55" s="389"/>
      <c r="SOO55" s="389"/>
      <c r="SOP55" s="389"/>
      <c r="SOY55" s="389"/>
      <c r="SOZ55" s="389"/>
      <c r="SPI55" s="389"/>
      <c r="SPJ55" s="389"/>
      <c r="SPS55" s="389"/>
      <c r="SPT55" s="389"/>
      <c r="SQC55" s="389"/>
      <c r="SQD55" s="389"/>
      <c r="SQM55" s="389"/>
      <c r="SQN55" s="389"/>
      <c r="SQW55" s="389"/>
      <c r="SQX55" s="389"/>
      <c r="SRG55" s="389"/>
      <c r="SRH55" s="389"/>
      <c r="SRQ55" s="389"/>
      <c r="SRR55" s="389"/>
      <c r="SSA55" s="389"/>
      <c r="SSB55" s="389"/>
      <c r="SSK55" s="389"/>
      <c r="SSL55" s="389"/>
      <c r="SSU55" s="389"/>
      <c r="SSV55" s="389"/>
      <c r="STE55" s="389"/>
      <c r="STF55" s="389"/>
      <c r="STO55" s="389"/>
      <c r="STP55" s="389"/>
      <c r="STY55" s="389"/>
      <c r="STZ55" s="389"/>
      <c r="SUI55" s="389"/>
      <c r="SUJ55" s="389"/>
      <c r="SUS55" s="389"/>
      <c r="SUT55" s="389"/>
      <c r="SVC55" s="389"/>
      <c r="SVD55" s="389"/>
      <c r="SVM55" s="389"/>
      <c r="SVN55" s="389"/>
      <c r="SVW55" s="389"/>
      <c r="SVX55" s="389"/>
      <c r="SWG55" s="389"/>
      <c r="SWH55" s="389"/>
      <c r="SWQ55" s="389"/>
      <c r="SWR55" s="389"/>
      <c r="SXA55" s="389"/>
      <c r="SXB55" s="389"/>
      <c r="SXK55" s="389"/>
      <c r="SXL55" s="389"/>
      <c r="SXU55" s="389"/>
      <c r="SXV55" s="389"/>
      <c r="SYE55" s="389"/>
      <c r="SYF55" s="389"/>
      <c r="SYO55" s="389"/>
      <c r="SYP55" s="389"/>
      <c r="SYY55" s="389"/>
      <c r="SYZ55" s="389"/>
      <c r="SZI55" s="389"/>
      <c r="SZJ55" s="389"/>
      <c r="SZS55" s="389"/>
      <c r="SZT55" s="389"/>
      <c r="TAC55" s="389"/>
      <c r="TAD55" s="389"/>
      <c r="TAM55" s="389"/>
      <c r="TAN55" s="389"/>
      <c r="TAW55" s="389"/>
      <c r="TAX55" s="389"/>
      <c r="TBG55" s="389"/>
      <c r="TBH55" s="389"/>
      <c r="TBQ55" s="389"/>
      <c r="TBR55" s="389"/>
      <c r="TCA55" s="389"/>
      <c r="TCB55" s="389"/>
      <c r="TCK55" s="389"/>
      <c r="TCL55" s="389"/>
      <c r="TCU55" s="389"/>
      <c r="TCV55" s="389"/>
      <c r="TDE55" s="389"/>
      <c r="TDF55" s="389"/>
      <c r="TDO55" s="389"/>
      <c r="TDP55" s="389"/>
      <c r="TDY55" s="389"/>
      <c r="TDZ55" s="389"/>
      <c r="TEI55" s="389"/>
      <c r="TEJ55" s="389"/>
      <c r="TES55" s="389"/>
      <c r="TET55" s="389"/>
      <c r="TFC55" s="389"/>
      <c r="TFD55" s="389"/>
      <c r="TFM55" s="389"/>
      <c r="TFN55" s="389"/>
      <c r="TFW55" s="389"/>
      <c r="TFX55" s="389"/>
      <c r="TGG55" s="389"/>
      <c r="TGH55" s="389"/>
      <c r="TGQ55" s="389"/>
      <c r="TGR55" s="389"/>
      <c r="THA55" s="389"/>
      <c r="THB55" s="389"/>
      <c r="THK55" s="389"/>
      <c r="THL55" s="389"/>
      <c r="THU55" s="389"/>
      <c r="THV55" s="389"/>
      <c r="TIE55" s="389"/>
      <c r="TIF55" s="389"/>
      <c r="TIO55" s="389"/>
      <c r="TIP55" s="389"/>
      <c r="TIY55" s="389"/>
      <c r="TIZ55" s="389"/>
      <c r="TJI55" s="389"/>
      <c r="TJJ55" s="389"/>
      <c r="TJS55" s="389"/>
      <c r="TJT55" s="389"/>
      <c r="TKC55" s="389"/>
      <c r="TKD55" s="389"/>
      <c r="TKM55" s="389"/>
      <c r="TKN55" s="389"/>
      <c r="TKW55" s="389"/>
      <c r="TKX55" s="389"/>
      <c r="TLG55" s="389"/>
      <c r="TLH55" s="389"/>
      <c r="TLQ55" s="389"/>
      <c r="TLR55" s="389"/>
      <c r="TMA55" s="389"/>
      <c r="TMB55" s="389"/>
      <c r="TMK55" s="389"/>
      <c r="TML55" s="389"/>
      <c r="TMU55" s="389"/>
      <c r="TMV55" s="389"/>
      <c r="TNE55" s="389"/>
      <c r="TNF55" s="389"/>
      <c r="TNO55" s="389"/>
      <c r="TNP55" s="389"/>
      <c r="TNY55" s="389"/>
      <c r="TNZ55" s="389"/>
      <c r="TOI55" s="389"/>
      <c r="TOJ55" s="389"/>
      <c r="TOS55" s="389"/>
      <c r="TOT55" s="389"/>
      <c r="TPC55" s="389"/>
      <c r="TPD55" s="389"/>
      <c r="TPM55" s="389"/>
      <c r="TPN55" s="389"/>
      <c r="TPW55" s="389"/>
      <c r="TPX55" s="389"/>
      <c r="TQG55" s="389"/>
      <c r="TQH55" s="389"/>
      <c r="TQQ55" s="389"/>
      <c r="TQR55" s="389"/>
      <c r="TRA55" s="389"/>
      <c r="TRB55" s="389"/>
      <c r="TRK55" s="389"/>
      <c r="TRL55" s="389"/>
      <c r="TRU55" s="389"/>
      <c r="TRV55" s="389"/>
      <c r="TSE55" s="389"/>
      <c r="TSF55" s="389"/>
      <c r="TSO55" s="389"/>
      <c r="TSP55" s="389"/>
      <c r="TSY55" s="389"/>
      <c r="TSZ55" s="389"/>
      <c r="TTI55" s="389"/>
      <c r="TTJ55" s="389"/>
      <c r="TTS55" s="389"/>
      <c r="TTT55" s="389"/>
      <c r="TUC55" s="389"/>
      <c r="TUD55" s="389"/>
      <c r="TUM55" s="389"/>
      <c r="TUN55" s="389"/>
      <c r="TUW55" s="389"/>
      <c r="TUX55" s="389"/>
      <c r="TVG55" s="389"/>
      <c r="TVH55" s="389"/>
      <c r="TVQ55" s="389"/>
      <c r="TVR55" s="389"/>
      <c r="TWA55" s="389"/>
      <c r="TWB55" s="389"/>
      <c r="TWK55" s="389"/>
      <c r="TWL55" s="389"/>
      <c r="TWU55" s="389"/>
      <c r="TWV55" s="389"/>
      <c r="TXE55" s="389"/>
      <c r="TXF55" s="389"/>
      <c r="TXO55" s="389"/>
      <c r="TXP55" s="389"/>
      <c r="TXY55" s="389"/>
      <c r="TXZ55" s="389"/>
      <c r="TYI55" s="389"/>
      <c r="TYJ55" s="389"/>
      <c r="TYS55" s="389"/>
      <c r="TYT55" s="389"/>
      <c r="TZC55" s="389"/>
      <c r="TZD55" s="389"/>
      <c r="TZM55" s="389"/>
      <c r="TZN55" s="389"/>
      <c r="TZW55" s="389"/>
      <c r="TZX55" s="389"/>
      <c r="UAG55" s="389"/>
      <c r="UAH55" s="389"/>
      <c r="UAQ55" s="389"/>
      <c r="UAR55" s="389"/>
      <c r="UBA55" s="389"/>
      <c r="UBB55" s="389"/>
      <c r="UBK55" s="389"/>
      <c r="UBL55" s="389"/>
      <c r="UBU55" s="389"/>
      <c r="UBV55" s="389"/>
      <c r="UCE55" s="389"/>
      <c r="UCF55" s="389"/>
      <c r="UCO55" s="389"/>
      <c r="UCP55" s="389"/>
      <c r="UCY55" s="389"/>
      <c r="UCZ55" s="389"/>
      <c r="UDI55" s="389"/>
      <c r="UDJ55" s="389"/>
      <c r="UDS55" s="389"/>
      <c r="UDT55" s="389"/>
      <c r="UEC55" s="389"/>
      <c r="UED55" s="389"/>
      <c r="UEM55" s="389"/>
      <c r="UEN55" s="389"/>
      <c r="UEW55" s="389"/>
      <c r="UEX55" s="389"/>
      <c r="UFG55" s="389"/>
      <c r="UFH55" s="389"/>
      <c r="UFQ55" s="389"/>
      <c r="UFR55" s="389"/>
      <c r="UGA55" s="389"/>
      <c r="UGB55" s="389"/>
      <c r="UGK55" s="389"/>
      <c r="UGL55" s="389"/>
      <c r="UGU55" s="389"/>
      <c r="UGV55" s="389"/>
      <c r="UHE55" s="389"/>
      <c r="UHF55" s="389"/>
      <c r="UHO55" s="389"/>
      <c r="UHP55" s="389"/>
      <c r="UHY55" s="389"/>
      <c r="UHZ55" s="389"/>
      <c r="UII55" s="389"/>
      <c r="UIJ55" s="389"/>
      <c r="UIS55" s="389"/>
      <c r="UIT55" s="389"/>
      <c r="UJC55" s="389"/>
      <c r="UJD55" s="389"/>
      <c r="UJM55" s="389"/>
      <c r="UJN55" s="389"/>
      <c r="UJW55" s="389"/>
      <c r="UJX55" s="389"/>
      <c r="UKG55" s="389"/>
      <c r="UKH55" s="389"/>
      <c r="UKQ55" s="389"/>
      <c r="UKR55" s="389"/>
      <c r="ULA55" s="389"/>
      <c r="ULB55" s="389"/>
      <c r="ULK55" s="389"/>
      <c r="ULL55" s="389"/>
      <c r="ULU55" s="389"/>
      <c r="ULV55" s="389"/>
      <c r="UME55" s="389"/>
      <c r="UMF55" s="389"/>
      <c r="UMO55" s="389"/>
      <c r="UMP55" s="389"/>
      <c r="UMY55" s="389"/>
      <c r="UMZ55" s="389"/>
      <c r="UNI55" s="389"/>
      <c r="UNJ55" s="389"/>
      <c r="UNS55" s="389"/>
      <c r="UNT55" s="389"/>
      <c r="UOC55" s="389"/>
      <c r="UOD55" s="389"/>
      <c r="UOM55" s="389"/>
      <c r="UON55" s="389"/>
      <c r="UOW55" s="389"/>
      <c r="UOX55" s="389"/>
      <c r="UPG55" s="389"/>
      <c r="UPH55" s="389"/>
      <c r="UPQ55" s="389"/>
      <c r="UPR55" s="389"/>
      <c r="UQA55" s="389"/>
      <c r="UQB55" s="389"/>
      <c r="UQK55" s="389"/>
      <c r="UQL55" s="389"/>
      <c r="UQU55" s="389"/>
      <c r="UQV55" s="389"/>
      <c r="URE55" s="389"/>
      <c r="URF55" s="389"/>
      <c r="URO55" s="389"/>
      <c r="URP55" s="389"/>
      <c r="URY55" s="389"/>
      <c r="URZ55" s="389"/>
      <c r="USI55" s="389"/>
      <c r="USJ55" s="389"/>
      <c r="USS55" s="389"/>
      <c r="UST55" s="389"/>
      <c r="UTC55" s="389"/>
      <c r="UTD55" s="389"/>
      <c r="UTM55" s="389"/>
      <c r="UTN55" s="389"/>
      <c r="UTW55" s="389"/>
      <c r="UTX55" s="389"/>
      <c r="UUG55" s="389"/>
      <c r="UUH55" s="389"/>
      <c r="UUQ55" s="389"/>
      <c r="UUR55" s="389"/>
      <c r="UVA55" s="389"/>
      <c r="UVB55" s="389"/>
      <c r="UVK55" s="389"/>
      <c r="UVL55" s="389"/>
      <c r="UVU55" s="389"/>
      <c r="UVV55" s="389"/>
      <c r="UWE55" s="389"/>
      <c r="UWF55" s="389"/>
      <c r="UWO55" s="389"/>
      <c r="UWP55" s="389"/>
      <c r="UWY55" s="389"/>
      <c r="UWZ55" s="389"/>
      <c r="UXI55" s="389"/>
      <c r="UXJ55" s="389"/>
      <c r="UXS55" s="389"/>
      <c r="UXT55" s="389"/>
      <c r="UYC55" s="389"/>
      <c r="UYD55" s="389"/>
      <c r="UYM55" s="389"/>
      <c r="UYN55" s="389"/>
      <c r="UYW55" s="389"/>
      <c r="UYX55" s="389"/>
      <c r="UZG55" s="389"/>
      <c r="UZH55" s="389"/>
      <c r="UZQ55" s="389"/>
      <c r="UZR55" s="389"/>
      <c r="VAA55" s="389"/>
      <c r="VAB55" s="389"/>
      <c r="VAK55" s="389"/>
      <c r="VAL55" s="389"/>
      <c r="VAU55" s="389"/>
      <c r="VAV55" s="389"/>
      <c r="VBE55" s="389"/>
      <c r="VBF55" s="389"/>
      <c r="VBO55" s="389"/>
      <c r="VBP55" s="389"/>
      <c r="VBY55" s="389"/>
      <c r="VBZ55" s="389"/>
      <c r="VCI55" s="389"/>
      <c r="VCJ55" s="389"/>
      <c r="VCS55" s="389"/>
      <c r="VCT55" s="389"/>
      <c r="VDC55" s="389"/>
      <c r="VDD55" s="389"/>
      <c r="VDM55" s="389"/>
      <c r="VDN55" s="389"/>
      <c r="VDW55" s="389"/>
      <c r="VDX55" s="389"/>
      <c r="VEG55" s="389"/>
      <c r="VEH55" s="389"/>
      <c r="VEQ55" s="389"/>
      <c r="VER55" s="389"/>
      <c r="VFA55" s="389"/>
      <c r="VFB55" s="389"/>
      <c r="VFK55" s="389"/>
      <c r="VFL55" s="389"/>
      <c r="VFU55" s="389"/>
      <c r="VFV55" s="389"/>
      <c r="VGE55" s="389"/>
      <c r="VGF55" s="389"/>
      <c r="VGO55" s="389"/>
      <c r="VGP55" s="389"/>
      <c r="VGY55" s="389"/>
      <c r="VGZ55" s="389"/>
      <c r="VHI55" s="389"/>
      <c r="VHJ55" s="389"/>
      <c r="VHS55" s="389"/>
      <c r="VHT55" s="389"/>
      <c r="VIC55" s="389"/>
      <c r="VID55" s="389"/>
      <c r="VIM55" s="389"/>
      <c r="VIN55" s="389"/>
      <c r="VIW55" s="389"/>
      <c r="VIX55" s="389"/>
      <c r="VJG55" s="389"/>
      <c r="VJH55" s="389"/>
      <c r="VJQ55" s="389"/>
      <c r="VJR55" s="389"/>
      <c r="VKA55" s="389"/>
      <c r="VKB55" s="389"/>
      <c r="VKK55" s="389"/>
      <c r="VKL55" s="389"/>
      <c r="VKU55" s="389"/>
      <c r="VKV55" s="389"/>
      <c r="VLE55" s="389"/>
      <c r="VLF55" s="389"/>
      <c r="VLO55" s="389"/>
      <c r="VLP55" s="389"/>
      <c r="VLY55" s="389"/>
      <c r="VLZ55" s="389"/>
      <c r="VMI55" s="389"/>
      <c r="VMJ55" s="389"/>
      <c r="VMS55" s="389"/>
      <c r="VMT55" s="389"/>
      <c r="VNC55" s="389"/>
      <c r="VND55" s="389"/>
      <c r="VNM55" s="389"/>
      <c r="VNN55" s="389"/>
      <c r="VNW55" s="389"/>
      <c r="VNX55" s="389"/>
      <c r="VOG55" s="389"/>
      <c r="VOH55" s="389"/>
      <c r="VOQ55" s="389"/>
      <c r="VOR55" s="389"/>
      <c r="VPA55" s="389"/>
      <c r="VPB55" s="389"/>
      <c r="VPK55" s="389"/>
      <c r="VPL55" s="389"/>
      <c r="VPU55" s="389"/>
      <c r="VPV55" s="389"/>
      <c r="VQE55" s="389"/>
      <c r="VQF55" s="389"/>
      <c r="VQO55" s="389"/>
      <c r="VQP55" s="389"/>
      <c r="VQY55" s="389"/>
      <c r="VQZ55" s="389"/>
      <c r="VRI55" s="389"/>
      <c r="VRJ55" s="389"/>
      <c r="VRS55" s="389"/>
      <c r="VRT55" s="389"/>
      <c r="VSC55" s="389"/>
      <c r="VSD55" s="389"/>
      <c r="VSM55" s="389"/>
      <c r="VSN55" s="389"/>
      <c r="VSW55" s="389"/>
      <c r="VSX55" s="389"/>
      <c r="VTG55" s="389"/>
      <c r="VTH55" s="389"/>
      <c r="VTQ55" s="389"/>
      <c r="VTR55" s="389"/>
      <c r="VUA55" s="389"/>
      <c r="VUB55" s="389"/>
      <c r="VUK55" s="389"/>
      <c r="VUL55" s="389"/>
      <c r="VUU55" s="389"/>
      <c r="VUV55" s="389"/>
      <c r="VVE55" s="389"/>
      <c r="VVF55" s="389"/>
      <c r="VVO55" s="389"/>
      <c r="VVP55" s="389"/>
      <c r="VVY55" s="389"/>
      <c r="VVZ55" s="389"/>
      <c r="VWI55" s="389"/>
      <c r="VWJ55" s="389"/>
      <c r="VWS55" s="389"/>
      <c r="VWT55" s="389"/>
      <c r="VXC55" s="389"/>
      <c r="VXD55" s="389"/>
      <c r="VXM55" s="389"/>
      <c r="VXN55" s="389"/>
      <c r="VXW55" s="389"/>
      <c r="VXX55" s="389"/>
      <c r="VYG55" s="389"/>
      <c r="VYH55" s="389"/>
      <c r="VYQ55" s="389"/>
      <c r="VYR55" s="389"/>
      <c r="VZA55" s="389"/>
      <c r="VZB55" s="389"/>
      <c r="VZK55" s="389"/>
      <c r="VZL55" s="389"/>
      <c r="VZU55" s="389"/>
      <c r="VZV55" s="389"/>
      <c r="WAE55" s="389"/>
      <c r="WAF55" s="389"/>
      <c r="WAO55" s="389"/>
      <c r="WAP55" s="389"/>
      <c r="WAY55" s="389"/>
      <c r="WAZ55" s="389"/>
      <c r="WBI55" s="389"/>
      <c r="WBJ55" s="389"/>
      <c r="WBS55" s="389"/>
      <c r="WBT55" s="389"/>
      <c r="WCC55" s="389"/>
      <c r="WCD55" s="389"/>
      <c r="WCM55" s="389"/>
      <c r="WCN55" s="389"/>
      <c r="WCW55" s="389"/>
      <c r="WCX55" s="389"/>
      <c r="WDG55" s="389"/>
      <c r="WDH55" s="389"/>
      <c r="WDQ55" s="389"/>
      <c r="WDR55" s="389"/>
      <c r="WEA55" s="389"/>
      <c r="WEB55" s="389"/>
      <c r="WEK55" s="389"/>
      <c r="WEL55" s="389"/>
      <c r="WEU55" s="389"/>
      <c r="WEV55" s="389"/>
      <c r="WFE55" s="389"/>
      <c r="WFF55" s="389"/>
      <c r="WFO55" s="389"/>
      <c r="WFP55" s="389"/>
      <c r="WFY55" s="389"/>
      <c r="WFZ55" s="389"/>
      <c r="WGI55" s="389"/>
      <c r="WGJ55" s="389"/>
      <c r="WGS55" s="389"/>
      <c r="WGT55" s="389"/>
      <c r="WHC55" s="389"/>
      <c r="WHD55" s="389"/>
      <c r="WHM55" s="389"/>
      <c r="WHN55" s="389"/>
      <c r="WHW55" s="389"/>
      <c r="WHX55" s="389"/>
      <c r="WIG55" s="389"/>
      <c r="WIH55" s="389"/>
      <c r="WIQ55" s="389"/>
      <c r="WIR55" s="389"/>
      <c r="WJA55" s="389"/>
      <c r="WJB55" s="389"/>
      <c r="WJK55" s="389"/>
      <c r="WJL55" s="389"/>
      <c r="WJU55" s="389"/>
      <c r="WJV55" s="389"/>
      <c r="WKE55" s="389"/>
      <c r="WKF55" s="389"/>
      <c r="WKO55" s="389"/>
      <c r="WKP55" s="389"/>
      <c r="WKY55" s="389"/>
      <c r="WKZ55" s="389"/>
      <c r="WLI55" s="389"/>
      <c r="WLJ55" s="389"/>
      <c r="WLS55" s="389"/>
      <c r="WLT55" s="389"/>
      <c r="WMC55" s="389"/>
      <c r="WMD55" s="389"/>
      <c r="WMM55" s="389"/>
      <c r="WMN55" s="389"/>
      <c r="WMW55" s="389"/>
      <c r="WMX55" s="389"/>
      <c r="WNG55" s="389"/>
      <c r="WNH55" s="389"/>
      <c r="WNQ55" s="389"/>
      <c r="WNR55" s="389"/>
      <c r="WOA55" s="389"/>
      <c r="WOB55" s="389"/>
      <c r="WOK55" s="389"/>
      <c r="WOL55" s="389"/>
      <c r="WOU55" s="389"/>
      <c r="WOV55" s="389"/>
      <c r="WPE55" s="389"/>
      <c r="WPF55" s="389"/>
      <c r="WPO55" s="389"/>
      <c r="WPP55" s="389"/>
      <c r="WPY55" s="389"/>
      <c r="WPZ55" s="389"/>
      <c r="WQI55" s="389"/>
      <c r="WQJ55" s="389"/>
      <c r="WQS55" s="389"/>
      <c r="WQT55" s="389"/>
      <c r="WRC55" s="389"/>
      <c r="WRD55" s="389"/>
      <c r="WRM55" s="389"/>
      <c r="WRN55" s="389"/>
      <c r="WRW55" s="389"/>
      <c r="WRX55" s="389"/>
      <c r="WSG55" s="389"/>
      <c r="WSH55" s="389"/>
      <c r="WSQ55" s="389"/>
      <c r="WSR55" s="389"/>
      <c r="WTA55" s="389"/>
      <c r="WTB55" s="389"/>
      <c r="WTK55" s="389"/>
      <c r="WTL55" s="389"/>
      <c r="WTU55" s="389"/>
      <c r="WTV55" s="389"/>
      <c r="WUE55" s="389"/>
      <c r="WUF55" s="389"/>
      <c r="WUO55" s="389"/>
      <c r="WUP55" s="389"/>
      <c r="WUY55" s="389"/>
      <c r="WUZ55" s="389"/>
      <c r="WVI55" s="389"/>
      <c r="WVJ55" s="389"/>
      <c r="WVS55" s="389"/>
      <c r="WVT55" s="389"/>
      <c r="WWC55" s="389"/>
      <c r="WWD55" s="389"/>
      <c r="WWM55" s="389"/>
      <c r="WWN55" s="389"/>
      <c r="WWW55" s="389"/>
      <c r="WWX55" s="389"/>
      <c r="WXG55" s="389"/>
      <c r="WXH55" s="389"/>
      <c r="WXQ55" s="389"/>
      <c r="WXR55" s="389"/>
      <c r="WYA55" s="389"/>
      <c r="WYB55" s="389"/>
      <c r="WYK55" s="389"/>
      <c r="WYL55" s="389"/>
      <c r="WYU55" s="389"/>
      <c r="WYV55" s="389"/>
      <c r="WZE55" s="389"/>
      <c r="WZF55" s="389"/>
      <c r="WZO55" s="389"/>
      <c r="WZP55" s="389"/>
      <c r="WZY55" s="389"/>
      <c r="WZZ55" s="389"/>
      <c r="XAI55" s="389"/>
      <c r="XAJ55" s="389"/>
      <c r="XAS55" s="389"/>
      <c r="XAT55" s="389"/>
      <c r="XBC55" s="389"/>
      <c r="XBD55" s="389"/>
      <c r="XBM55" s="389"/>
      <c r="XBN55" s="389"/>
      <c r="XBW55" s="389"/>
      <c r="XBX55" s="389"/>
      <c r="XCG55" s="389"/>
      <c r="XCH55" s="389"/>
      <c r="XCQ55" s="389"/>
      <c r="XCR55" s="389"/>
      <c r="XDA55" s="389"/>
      <c r="XDB55" s="389"/>
      <c r="XDK55" s="389"/>
      <c r="XDL55" s="389"/>
      <c r="XDU55" s="389"/>
      <c r="XDV55" s="389"/>
      <c r="XEE55" s="389"/>
      <c r="XEF55" s="389"/>
      <c r="XEO55" s="389"/>
      <c r="XEP55" s="389"/>
      <c r="XEY55" s="389"/>
      <c r="XEZ55" s="389"/>
    </row>
    <row r="56" spans="1:1020 1029:2040 2049:3070 3079:4090 4099:5120 5129:6140 6149:7160 7169:8190 8199:9210 9219:10240 10249:11260 11269:12280 12289:13310 13319:14330 14339:15360 15369:16380" ht="64.5" customHeight="1" thickBot="1" x14ac:dyDescent="0.25">
      <c r="A56" s="1470" t="s">
        <v>4</v>
      </c>
      <c r="B56" s="1472" t="s">
        <v>306</v>
      </c>
      <c r="C56" s="1474" t="s">
        <v>264</v>
      </c>
      <c r="D56" s="1475"/>
      <c r="E56" s="1476" t="s">
        <v>373</v>
      </c>
      <c r="F56" s="1701" t="s">
        <v>276</v>
      </c>
      <c r="G56" s="1480" t="s">
        <v>27</v>
      </c>
      <c r="H56" s="1481"/>
      <c r="I56" s="1480" t="s">
        <v>563</v>
      </c>
      <c r="J56" s="1481"/>
      <c r="K56" s="1480" t="s">
        <v>560</v>
      </c>
      <c r="L56" s="1481"/>
      <c r="M56" s="427" t="s">
        <v>58</v>
      </c>
    </row>
    <row r="57" spans="1:1020 1029:2040 2049:3070 3079:4090 4099:5120 5129:6140 6149:7160 7169:8190 8199:9210 9219:10240 10249:11260 11269:12280 12289:13310 13319:14330 14339:15360 15369:16380" ht="60" customHeight="1" thickBot="1" x14ac:dyDescent="0.25">
      <c r="A57" s="1730"/>
      <c r="B57" s="1731"/>
      <c r="C57" s="427" t="s">
        <v>267</v>
      </c>
      <c r="D57" s="427" t="s">
        <v>275</v>
      </c>
      <c r="E57" s="1726"/>
      <c r="F57" s="1727"/>
      <c r="G57" s="1170" t="s">
        <v>561</v>
      </c>
      <c r="H57" s="1170" t="s">
        <v>562</v>
      </c>
      <c r="I57" s="1170" t="s">
        <v>561</v>
      </c>
      <c r="J57" s="1170" t="s">
        <v>562</v>
      </c>
      <c r="K57" s="1170" t="s">
        <v>561</v>
      </c>
      <c r="L57" s="1170" t="s">
        <v>562</v>
      </c>
      <c r="M57" s="427" t="s">
        <v>59</v>
      </c>
    </row>
    <row r="58" spans="1:1020 1029:2040 2049:3070 3079:4090 4099:5120 5129:6140 6149:7160 7169:8190 8199:9210 9219:10240 10249:11260 11269:12280 12289:13310 13319:14330 14339:15360 15369:16380" ht="27.95" customHeight="1" thickBot="1" x14ac:dyDescent="0.25">
      <c r="A58" s="1099">
        <v>1</v>
      </c>
      <c r="B58" s="1100" t="e">
        <f>'20 kg % (C)'!$I$8</f>
        <v>#N/A</v>
      </c>
      <c r="C58" s="1101" t="str">
        <f>'DATOS %'!V151</f>
        <v>20 kg</v>
      </c>
      <c r="D58" s="1102" t="e">
        <f>'20 kg % (C)'!$G$76</f>
        <v>#N/A</v>
      </c>
      <c r="E58" s="1102">
        <f>'DATOS %'!W151</f>
        <v>0.33</v>
      </c>
      <c r="F58" s="1102">
        <f>'DATOS %'!X151</f>
        <v>1</v>
      </c>
      <c r="G58" s="1103" t="e">
        <f>'gramo Max-Min %'!AA39</f>
        <v>#N/A</v>
      </c>
      <c r="H58" s="1103" t="e">
        <f>'gramo Max-Min %'!AA38</f>
        <v>#N/A</v>
      </c>
      <c r="I58" s="1103" t="e">
        <f>'gramo Max-Min %'!AB39</f>
        <v>#N/A</v>
      </c>
      <c r="J58" s="1104" t="e">
        <f>'gramo Max-Min %'!AB38</f>
        <v>#N/A</v>
      </c>
      <c r="K58" s="1104" t="e">
        <f>'gramo Max-Min %'!AC39</f>
        <v>#N/A</v>
      </c>
      <c r="L58" s="1104" t="e">
        <f>'gramo Max-Min %'!AC38</f>
        <v>#N/A</v>
      </c>
      <c r="M58" s="1105" t="e">
        <f>IF(ABS(D58)+E58&gt;=((F58)),"NO","SI")</f>
        <v>#N/A</v>
      </c>
    </row>
    <row r="59" spans="1:1020 1029:2040 2049:3070 3079:4090 4099:5120 5129:6140 6149:7160 7169:8190 8199:9210 9219:10240 10249:11260 11269:12280 12289:13310 13319:14330 14339:15360 15369:16380" ht="20.100000000000001" customHeight="1" x14ac:dyDescent="0.2">
      <c r="A59" s="1002"/>
      <c r="B59" s="1002"/>
      <c r="C59" s="1002"/>
      <c r="D59" s="1002"/>
      <c r="E59" s="1002"/>
      <c r="F59" s="1002"/>
      <c r="G59" s="1003"/>
      <c r="H59" s="1003"/>
      <c r="I59" s="1003"/>
      <c r="J59" s="1004"/>
    </row>
    <row r="60" spans="1:1020 1029:2040 2049:3070 3079:4090 4099:5120 5129:6140 6149:7160 7169:8190 8199:9210 9219:10240 10249:11260 11269:12280 12289:13310 13319:14330 14339:15360 15369:16380" ht="20.100000000000001" customHeight="1" x14ac:dyDescent="0.2">
      <c r="A60" s="1697" t="s">
        <v>456</v>
      </c>
      <c r="B60" s="1697"/>
      <c r="C60" s="1697"/>
      <c r="D60" s="1697"/>
      <c r="E60" s="1697"/>
      <c r="F60" s="1697"/>
      <c r="G60" s="1697"/>
      <c r="H60" s="1697"/>
      <c r="I60" s="1697"/>
      <c r="J60" s="1697"/>
      <c r="K60" s="1697"/>
      <c r="L60" s="1697"/>
      <c r="M60" s="1697"/>
    </row>
    <row r="61" spans="1:1020 1029:2040 2049:3070 3079:4090 4099:5120 5129:6140 6149:7160 7169:8190 8199:9210 9219:10240 10249:11260 11269:12280 12289:13310 13319:14330 14339:15360 15369:16380" ht="20.100000000000001" customHeight="1" x14ac:dyDescent="0.2">
      <c r="A61" s="1697"/>
      <c r="B61" s="1697"/>
      <c r="C61" s="1697"/>
      <c r="D61" s="1697"/>
      <c r="E61" s="1697"/>
      <c r="F61" s="1697"/>
      <c r="G61" s="1697"/>
      <c r="H61" s="1697"/>
      <c r="I61" s="1697"/>
      <c r="J61" s="1697"/>
      <c r="K61" s="1697"/>
      <c r="L61" s="1697"/>
      <c r="M61" s="1697"/>
    </row>
    <row r="62" spans="1:1020 1029:2040 2049:3070 3079:4090 4099:5120 5129:6140 6149:7160 7169:8190 8199:9210 9219:10240 10249:11260 11269:12280 12289:13310 13319:14330 14339:15360 15369:16380" ht="20.100000000000001" customHeight="1" x14ac:dyDescent="0.2">
      <c r="A62" s="1697"/>
      <c r="B62" s="1697"/>
      <c r="C62" s="1697"/>
      <c r="D62" s="1697"/>
      <c r="E62" s="1697"/>
      <c r="F62" s="1697"/>
      <c r="G62" s="1697"/>
      <c r="H62" s="1697"/>
      <c r="I62" s="1697"/>
      <c r="J62" s="1697"/>
      <c r="K62" s="1697"/>
      <c r="L62" s="1697"/>
      <c r="M62" s="1697"/>
    </row>
    <row r="63" spans="1:1020 1029:2040 2049:3070 3079:4090 4099:5120 5129:6140 6149:7160 7169:8190 8199:9210 9219:10240 10249:11260 11269:12280 12289:13310 13319:14330 14339:15360 15369:16380" ht="20.100000000000001" customHeight="1" x14ac:dyDescent="0.2">
      <c r="A63" s="1005"/>
      <c r="B63" s="1005"/>
      <c r="C63" s="1005"/>
      <c r="D63" s="1005"/>
      <c r="E63" s="1005"/>
      <c r="F63" s="1005"/>
      <c r="G63" s="1005"/>
      <c r="H63" s="1005"/>
      <c r="I63" s="1005"/>
      <c r="J63" s="1005"/>
    </row>
    <row r="64" spans="1:1020 1029:2040 2049:3070 3079:4090 4099:5120 5129:6140 6149:7160 7169:8190 8199:9210 9219:10240 10249:11260 11269:12280 12289:13310 13319:14330 14339:15360 15369:16380" ht="23.1" customHeight="1" x14ac:dyDescent="0.2">
      <c r="A64" s="1005"/>
      <c r="B64" s="1005"/>
      <c r="C64" s="1005"/>
      <c r="D64" s="1005"/>
      <c r="E64" s="1005"/>
      <c r="F64" s="1005"/>
      <c r="G64" s="1005"/>
      <c r="H64" s="1005"/>
      <c r="I64" s="1005"/>
      <c r="J64" s="1005"/>
    </row>
    <row r="65" spans="1:13" ht="125.1" customHeight="1" x14ac:dyDescent="0.2">
      <c r="A65" s="1005"/>
      <c r="B65" s="1005"/>
      <c r="C65" s="1005"/>
      <c r="D65" s="1005"/>
      <c r="E65" s="1005"/>
      <c r="F65" s="1005"/>
      <c r="G65" s="1005"/>
      <c r="H65" s="1005"/>
      <c r="I65" s="1005"/>
      <c r="J65" s="1005"/>
    </row>
    <row r="66" spans="1:13" ht="35.1" customHeight="1" x14ac:dyDescent="0.2">
      <c r="A66" s="1005"/>
      <c r="B66" s="1005"/>
      <c r="C66" s="1005"/>
      <c r="D66" s="1005"/>
      <c r="E66" s="1005"/>
      <c r="F66" s="1005"/>
      <c r="G66" s="1005"/>
      <c r="H66" s="1005"/>
      <c r="I66" s="1005"/>
      <c r="J66" s="1005"/>
    </row>
    <row r="67" spans="1:13" ht="35.1" customHeight="1" x14ac:dyDescent="0.2">
      <c r="A67" s="1006"/>
      <c r="B67" s="1006"/>
      <c r="C67" s="1006"/>
      <c r="D67" s="1006"/>
      <c r="E67" s="1006"/>
      <c r="F67" s="1006"/>
      <c r="J67" s="1446" t="s">
        <v>24</v>
      </c>
      <c r="K67" s="1446"/>
      <c r="L67" s="1447">
        <f>L3</f>
        <v>0</v>
      </c>
      <c r="M67" s="1447"/>
    </row>
    <row r="68" spans="1:13" ht="23.1" customHeight="1" x14ac:dyDescent="0.2">
      <c r="A68" s="1482" t="s">
        <v>251</v>
      </c>
      <c r="B68" s="1482"/>
      <c r="C68" s="1482"/>
      <c r="D68" s="1482"/>
    </row>
    <row r="69" spans="1:13" ht="20.100000000000001" customHeight="1" x14ac:dyDescent="0.2"/>
    <row r="70" spans="1:13" s="1007" customFormat="1" ht="33" customHeight="1" x14ac:dyDescent="0.25">
      <c r="A70" s="1169" t="s">
        <v>130</v>
      </c>
      <c r="B70" s="1438" t="s">
        <v>270</v>
      </c>
      <c r="C70" s="1438"/>
      <c r="D70" s="1438"/>
      <c r="E70" s="1438"/>
      <c r="F70" s="1438"/>
      <c r="G70" s="1438"/>
      <c r="H70" s="1438"/>
      <c r="I70" s="1438"/>
      <c r="J70" s="1438"/>
      <c r="K70" s="1438"/>
      <c r="L70" s="1438"/>
      <c r="M70" s="1438"/>
    </row>
    <row r="71" spans="1:13" s="1007" customFormat="1" ht="33" customHeight="1" x14ac:dyDescent="0.25">
      <c r="A71" s="1169" t="s">
        <v>130</v>
      </c>
      <c r="B71" s="1438" t="s">
        <v>271</v>
      </c>
      <c r="C71" s="1438"/>
      <c r="D71" s="1438"/>
      <c r="E71" s="1438"/>
      <c r="F71" s="1438"/>
      <c r="G71" s="1438"/>
      <c r="H71" s="1438"/>
      <c r="I71" s="1438"/>
      <c r="J71" s="1438"/>
      <c r="K71" s="1438"/>
      <c r="L71" s="1438"/>
      <c r="M71" s="1438"/>
    </row>
    <row r="72" spans="1:13" s="1007" customFormat="1" ht="33" customHeight="1" x14ac:dyDescent="0.25">
      <c r="A72" s="1169" t="s">
        <v>130</v>
      </c>
      <c r="B72" s="1438" t="s">
        <v>284</v>
      </c>
      <c r="C72" s="1438"/>
      <c r="D72" s="1438"/>
      <c r="E72" s="1438"/>
      <c r="F72" s="1438"/>
      <c r="G72" s="1438"/>
      <c r="H72" s="1438"/>
      <c r="I72" s="1438"/>
      <c r="J72" s="1438"/>
      <c r="K72" s="1438"/>
      <c r="L72" s="1438"/>
      <c r="M72" s="1438"/>
    </row>
    <row r="73" spans="1:13" s="1007" customFormat="1" ht="23.1" customHeight="1" x14ac:dyDescent="0.25">
      <c r="A73" s="1169" t="s">
        <v>130</v>
      </c>
      <c r="B73" s="1438" t="s">
        <v>317</v>
      </c>
      <c r="C73" s="1438"/>
      <c r="D73" s="1438"/>
      <c r="E73" s="1438"/>
      <c r="F73" s="1438"/>
      <c r="G73" s="1438"/>
      <c r="H73" s="1438"/>
      <c r="I73" s="1438"/>
      <c r="J73" s="1438"/>
      <c r="K73" s="1438"/>
      <c r="L73" s="1438"/>
      <c r="M73" s="1438"/>
    </row>
    <row r="74" spans="1:13" s="1007" customFormat="1" ht="23.1" customHeight="1" x14ac:dyDescent="0.25">
      <c r="A74" s="1169" t="s">
        <v>130</v>
      </c>
      <c r="B74" s="1438" t="s">
        <v>185</v>
      </c>
      <c r="C74" s="1438"/>
      <c r="D74" s="1438"/>
      <c r="E74" s="1438"/>
      <c r="F74" s="1438"/>
      <c r="G74" s="1438"/>
      <c r="H74" s="1438"/>
      <c r="I74" s="1438"/>
      <c r="J74" s="1438"/>
      <c r="K74" s="1438"/>
      <c r="L74" s="1438"/>
      <c r="M74" s="1438"/>
    </row>
    <row r="75" spans="1:13" s="1007" customFormat="1" ht="33" customHeight="1" x14ac:dyDescent="0.25">
      <c r="A75" s="1169" t="s">
        <v>130</v>
      </c>
      <c r="B75" s="1438" t="s">
        <v>272</v>
      </c>
      <c r="C75" s="1438"/>
      <c r="D75" s="1438"/>
      <c r="E75" s="1438"/>
      <c r="F75" s="1438"/>
      <c r="G75" s="1438"/>
      <c r="H75" s="1438"/>
      <c r="I75" s="1438"/>
      <c r="J75" s="1438"/>
      <c r="K75" s="1438"/>
      <c r="L75" s="1438"/>
      <c r="M75" s="1438"/>
    </row>
    <row r="76" spans="1:13" s="1007" customFormat="1" ht="23.1" customHeight="1" x14ac:dyDescent="0.25">
      <c r="A76" s="1169" t="s">
        <v>130</v>
      </c>
      <c r="B76" s="1438" t="s">
        <v>295</v>
      </c>
      <c r="C76" s="1438"/>
      <c r="D76" s="1438"/>
      <c r="E76" s="1438"/>
      <c r="F76" s="1438"/>
      <c r="G76" s="1438"/>
      <c r="H76" s="1438"/>
      <c r="I76" s="1438"/>
      <c r="J76" s="1438"/>
      <c r="K76" s="1438"/>
      <c r="L76" s="1438"/>
      <c r="M76" s="1438"/>
    </row>
    <row r="77" spans="1:13" s="1007" customFormat="1" ht="23.1" customHeight="1" x14ac:dyDescent="0.25">
      <c r="A77" s="1169" t="s">
        <v>130</v>
      </c>
      <c r="B77" s="1438" t="s">
        <v>285</v>
      </c>
      <c r="C77" s="1438"/>
      <c r="D77" s="1438"/>
      <c r="E77" s="1438"/>
      <c r="F77" s="1438"/>
      <c r="G77" s="1438"/>
      <c r="H77" s="1438"/>
      <c r="I77" s="1438"/>
      <c r="J77" s="1438"/>
      <c r="K77" s="1438"/>
      <c r="L77" s="1438"/>
      <c r="M77" s="1438"/>
    </row>
    <row r="78" spans="1:13" ht="23.1" customHeight="1" x14ac:dyDescent="0.2">
      <c r="A78" s="1169" t="s">
        <v>130</v>
      </c>
      <c r="B78" s="1438" t="s">
        <v>308</v>
      </c>
      <c r="C78" s="1438"/>
      <c r="D78" s="1438"/>
      <c r="E78" s="1438"/>
      <c r="F78" s="1438"/>
      <c r="G78" s="1438"/>
      <c r="H78" s="1438"/>
      <c r="I78" s="1438"/>
      <c r="J78" s="1438"/>
      <c r="K78" s="1438"/>
      <c r="L78" s="1438"/>
      <c r="M78" s="1438"/>
    </row>
    <row r="79" spans="1:13" ht="23.1" customHeight="1" x14ac:dyDescent="0.2">
      <c r="A79" s="1169" t="s">
        <v>130</v>
      </c>
      <c r="B79" s="1438" t="s">
        <v>349</v>
      </c>
      <c r="C79" s="1438"/>
      <c r="D79" s="1438"/>
      <c r="E79" s="1438"/>
      <c r="F79" s="1438"/>
      <c r="G79" s="1438"/>
      <c r="H79" s="1438"/>
      <c r="I79" s="1438"/>
      <c r="J79" s="1438"/>
      <c r="K79" s="1438"/>
      <c r="L79" s="1438"/>
      <c r="M79" s="1438"/>
    </row>
    <row r="80" spans="1:13" ht="33" customHeight="1" x14ac:dyDescent="0.2">
      <c r="A80" s="1169" t="s">
        <v>130</v>
      </c>
      <c r="B80" s="1438" t="s">
        <v>545</v>
      </c>
      <c r="C80" s="1438"/>
      <c r="D80" s="1438"/>
      <c r="E80" s="1438"/>
      <c r="F80" s="1438"/>
      <c r="G80" s="1438"/>
      <c r="H80" s="1438"/>
      <c r="I80" s="1438"/>
      <c r="J80" s="1438"/>
      <c r="K80" s="1438"/>
      <c r="L80" s="1438"/>
      <c r="M80" s="1438"/>
    </row>
    <row r="81" spans="1:13" ht="20.100000000000001" customHeight="1" x14ac:dyDescent="0.2">
      <c r="A81" s="395"/>
      <c r="B81" s="1738"/>
      <c r="C81" s="1738"/>
      <c r="D81" s="1738"/>
      <c r="E81" s="1738"/>
      <c r="F81" s="1738"/>
      <c r="G81" s="1738"/>
      <c r="H81" s="1738"/>
      <c r="I81" s="1738"/>
      <c r="J81" s="1738"/>
    </row>
    <row r="82" spans="1:13" ht="20.100000000000001" customHeight="1" x14ac:dyDescent="0.2"/>
    <row r="83" spans="1:13" ht="23.1" customHeight="1" x14ac:dyDescent="0.25">
      <c r="A83" s="1484" t="s">
        <v>16</v>
      </c>
      <c r="B83" s="1484"/>
      <c r="C83" s="1484"/>
      <c r="E83" s="396"/>
    </row>
    <row r="84" spans="1:13" ht="20.100000000000001" customHeight="1" x14ac:dyDescent="0.2"/>
    <row r="85" spans="1:13" ht="20.100000000000001" customHeight="1" x14ac:dyDescent="0.2">
      <c r="G85" s="1008"/>
      <c r="J85" s="984"/>
    </row>
    <row r="86" spans="1:13" ht="23.1" customHeight="1" thickBot="1" x14ac:dyDescent="0.3">
      <c r="A86" s="396"/>
      <c r="B86" s="1737"/>
      <c r="C86" s="1737"/>
      <c r="D86" s="1737"/>
      <c r="E86" s="1737"/>
      <c r="F86" s="397"/>
      <c r="I86" s="1009"/>
      <c r="J86" s="1009"/>
      <c r="K86" s="1009"/>
      <c r="L86" s="397"/>
    </row>
    <row r="87" spans="1:13" ht="23.1" customHeight="1" x14ac:dyDescent="0.2">
      <c r="B87" s="1442" t="s">
        <v>247</v>
      </c>
      <c r="C87" s="1442"/>
      <c r="D87" s="1442"/>
      <c r="E87" s="1442"/>
      <c r="F87" s="985"/>
      <c r="I87" s="1443" t="s">
        <v>127</v>
      </c>
      <c r="J87" s="1443"/>
      <c r="K87" s="1443"/>
      <c r="L87" s="1443"/>
    </row>
    <row r="88" spans="1:13" ht="23.1" customHeight="1" x14ac:dyDescent="0.25">
      <c r="A88" s="396"/>
      <c r="B88" s="1439" t="e">
        <f>VLOOKUP($F$86,'DATOS %'!$V$161:$Y$165,4,FALSE)</f>
        <v>#N/A</v>
      </c>
      <c r="C88" s="1439"/>
      <c r="D88" s="1439"/>
      <c r="E88" s="1439"/>
      <c r="F88" s="970"/>
      <c r="I88" s="1439" t="e">
        <f>VLOOKUP($L$86,'DATOS %'!V161:AA165,6,FALSE)</f>
        <v>#N/A</v>
      </c>
      <c r="J88" s="1439"/>
      <c r="K88" s="1439"/>
      <c r="L88" s="1439"/>
    </row>
    <row r="89" spans="1:13" ht="23.1" customHeight="1" x14ac:dyDescent="0.2">
      <c r="B89" s="1439" t="e">
        <f>VLOOKUP($F$86,'DATOS %'!$V$161:$Y$165,2,FALSE)</f>
        <v>#N/A</v>
      </c>
      <c r="C89" s="1439"/>
      <c r="D89" s="1439"/>
      <c r="E89" s="1439"/>
      <c r="F89" s="985"/>
      <c r="I89" s="1439" t="e">
        <f>VLOOKUP($L$86,'DATOS %'!$V$161:$AA$165,2,FALSE)</f>
        <v>#N/A</v>
      </c>
      <c r="J89" s="1439"/>
      <c r="K89" s="1439"/>
      <c r="L89" s="1439"/>
    </row>
    <row r="90" spans="1:13" x14ac:dyDescent="0.2">
      <c r="B90" s="985"/>
      <c r="C90" s="985"/>
      <c r="D90" s="985"/>
      <c r="E90" s="985"/>
      <c r="F90" s="985"/>
      <c r="G90" s="985"/>
      <c r="H90" s="985"/>
      <c r="I90" s="985"/>
      <c r="J90" s="985"/>
    </row>
    <row r="91" spans="1:13" ht="23.1" customHeight="1" x14ac:dyDescent="0.2">
      <c r="B91" s="1734" t="s">
        <v>296</v>
      </c>
      <c r="C91" s="1734"/>
      <c r="D91" s="1732"/>
      <c r="E91" s="1732"/>
      <c r="H91" s="1735" t="s">
        <v>350</v>
      </c>
      <c r="I91" s="1735"/>
      <c r="J91" s="1735"/>
      <c r="K91" s="1732"/>
      <c r="L91" s="1732"/>
    </row>
    <row r="92" spans="1:13" x14ac:dyDescent="0.2">
      <c r="J92" s="984"/>
    </row>
    <row r="93" spans="1:13" ht="23.1" customHeight="1" x14ac:dyDescent="0.25">
      <c r="A93" s="1436" t="s">
        <v>60</v>
      </c>
      <c r="B93" s="1436"/>
      <c r="C93" s="1436"/>
      <c r="D93" s="1436"/>
      <c r="E93" s="1436"/>
      <c r="F93" s="1436"/>
      <c r="G93" s="1436"/>
      <c r="H93" s="1436"/>
      <c r="I93" s="1436"/>
      <c r="J93" s="1436"/>
      <c r="K93" s="1436"/>
      <c r="L93" s="1436"/>
      <c r="M93" s="1436"/>
    </row>
  </sheetData>
  <sheetProtection password="CF5C" sheet="1" objects="1" scenarios="1"/>
  <mergeCells count="101">
    <mergeCell ref="A54:J54"/>
    <mergeCell ref="A56:A57"/>
    <mergeCell ref="B56:B57"/>
    <mergeCell ref="B79:M79"/>
    <mergeCell ref="B80:M80"/>
    <mergeCell ref="G56:H56"/>
    <mergeCell ref="I56:J56"/>
    <mergeCell ref="K56:L56"/>
    <mergeCell ref="B74:M74"/>
    <mergeCell ref="B75:M75"/>
    <mergeCell ref="B76:M76"/>
    <mergeCell ref="B77:M77"/>
    <mergeCell ref="B78:M78"/>
    <mergeCell ref="B72:M72"/>
    <mergeCell ref="B73:M73"/>
    <mergeCell ref="A60:M62"/>
    <mergeCell ref="B70:M70"/>
    <mergeCell ref="B71:M71"/>
    <mergeCell ref="B35:C35"/>
    <mergeCell ref="D35:E35"/>
    <mergeCell ref="F35:G35"/>
    <mergeCell ref="C56:D56"/>
    <mergeCell ref="E56:E57"/>
    <mergeCell ref="F56:F57"/>
    <mergeCell ref="A93:M93"/>
    <mergeCell ref="B87:E87"/>
    <mergeCell ref="I87:L87"/>
    <mergeCell ref="B81:J81"/>
    <mergeCell ref="A83:C83"/>
    <mergeCell ref="B86:E86"/>
    <mergeCell ref="I88:L88"/>
    <mergeCell ref="B89:E89"/>
    <mergeCell ref="I89:L89"/>
    <mergeCell ref="B91:C91"/>
    <mergeCell ref="H91:J91"/>
    <mergeCell ref="B88:E88"/>
    <mergeCell ref="A43:M43"/>
    <mergeCell ref="D91:E91"/>
    <mergeCell ref="K91:L91"/>
    <mergeCell ref="H46:I46"/>
    <mergeCell ref="J46:K46"/>
    <mergeCell ref="A68:D68"/>
    <mergeCell ref="F17:G17"/>
    <mergeCell ref="A19:E19"/>
    <mergeCell ref="F19:J19"/>
    <mergeCell ref="A30:J30"/>
    <mergeCell ref="A31:J31"/>
    <mergeCell ref="B33:C34"/>
    <mergeCell ref="D33:E34"/>
    <mergeCell ref="F33:G34"/>
    <mergeCell ref="H33:K33"/>
    <mergeCell ref="H34:I34"/>
    <mergeCell ref="J34:K34"/>
    <mergeCell ref="A7:B7"/>
    <mergeCell ref="D7:J7"/>
    <mergeCell ref="A8:B8"/>
    <mergeCell ref="D8:G8"/>
    <mergeCell ref="A10:C10"/>
    <mergeCell ref="D10:E10"/>
    <mergeCell ref="F10:H10"/>
    <mergeCell ref="I10:J10"/>
    <mergeCell ref="A36:B36"/>
    <mergeCell ref="C36:D36"/>
    <mergeCell ref="E36:F36"/>
    <mergeCell ref="A28:M28"/>
    <mergeCell ref="A15:C15"/>
    <mergeCell ref="D15:G15"/>
    <mergeCell ref="A16:C16"/>
    <mergeCell ref="D16:G16"/>
    <mergeCell ref="A21:F21"/>
    <mergeCell ref="B23:E23"/>
    <mergeCell ref="A24:D24"/>
    <mergeCell ref="E24:F24"/>
    <mergeCell ref="A26:J26"/>
    <mergeCell ref="A22:M22"/>
    <mergeCell ref="A17:C17"/>
    <mergeCell ref="D17:E17"/>
    <mergeCell ref="J3:K3"/>
    <mergeCell ref="L3:M3"/>
    <mergeCell ref="A4:C4"/>
    <mergeCell ref="G4:H4"/>
    <mergeCell ref="A1:M1"/>
    <mergeCell ref="J40:K40"/>
    <mergeCell ref="L40:M40"/>
    <mergeCell ref="J67:K67"/>
    <mergeCell ref="L67:M67"/>
    <mergeCell ref="A47:C47"/>
    <mergeCell ref="G47:H47"/>
    <mergeCell ref="I47:J47"/>
    <mergeCell ref="A49:J49"/>
    <mergeCell ref="A41:J41"/>
    <mergeCell ref="B45:D45"/>
    <mergeCell ref="H45:I45"/>
    <mergeCell ref="J45:K45"/>
    <mergeCell ref="B46:D46"/>
    <mergeCell ref="A51:M52"/>
    <mergeCell ref="A6:B6"/>
    <mergeCell ref="D6:J6"/>
    <mergeCell ref="A12:J12"/>
    <mergeCell ref="A14:C14"/>
    <mergeCell ref="D14:J14"/>
  </mergeCells>
  <dataValidations count="1">
    <dataValidation type="list" allowBlank="1" showInputMessage="1" showErrorMessage="1" sqref="F86" xr:uid="{00000000-0002-0000-2B00-000000000000}">
      <formula1>$V$159:$V$163</formula1>
    </dataValidation>
  </dataValidations>
  <printOptions horizontalCentered="1"/>
  <pageMargins left="0.70866141732283472" right="0.70866141732283472" top="0.6692913385826772" bottom="0" header="0.31496062992125984" footer="0.31496062992125984"/>
  <pageSetup scale="65" orientation="portrait" r:id="rId1"/>
  <headerFooter>
    <oddHeader xml:space="preserve">&amp;C&amp;"-,Negrita"
           CERTIFICADO DE CALIBRACIÓN DE PESAS </oddHeader>
    <oddFooter>&amp;R
RT03-F16 Vr.13 (2021-05-21)
&amp;P de &amp;N</oddFooter>
  </headerFooter>
  <rowBreaks count="2" manualBreakCount="2">
    <brk id="37" max="12" man="1"/>
    <brk id="64" max="12" man="1"/>
  </rowBreaks>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2B00-000001000000}">
          <x14:formula1>
            <xm:f>'DATOS %'!$B$175:$B$187</xm:f>
          </x14:formula1>
          <xm:sqref>K32</xm:sqref>
        </x14:dataValidation>
        <x14:dataValidation type="list" allowBlank="1" showInputMessage="1" showErrorMessage="1" xr:uid="{00000000-0002-0000-2B00-000002000000}">
          <x14:formula1>
            <xm:f>'DATOS %'!$V$161:$V$165</xm:f>
          </x14:formula1>
          <xm:sqref>L86</xm:sqref>
        </x14:dataValidation>
      </x14:dataValidations>
    </ext>
  </extLs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rgb="FFFFFF00"/>
  </sheetPr>
  <dimension ref="A1:XEZ105"/>
  <sheetViews>
    <sheetView showGridLines="0" view="pageBreakPreview" zoomScale="90" zoomScaleNormal="100" zoomScaleSheetLayoutView="90" workbookViewId="0">
      <selection activeCell="D14" sqref="D14:J14"/>
    </sheetView>
  </sheetViews>
  <sheetFormatPr baseColWidth="10" defaultColWidth="11.42578125" defaultRowHeight="15" x14ac:dyDescent="0.2"/>
  <cols>
    <col min="1" max="1" width="5" style="1173" customWidth="1"/>
    <col min="2" max="2" width="12.28515625" style="1173" customWidth="1"/>
    <col min="3" max="3" width="11.7109375" style="1173" customWidth="1"/>
    <col min="4" max="4" width="11.140625" style="1173" customWidth="1"/>
    <col min="5" max="5" width="16" style="1173" customWidth="1"/>
    <col min="6" max="6" width="12.28515625" style="1173" customWidth="1"/>
    <col min="7" max="12" width="8.7109375" style="1173" customWidth="1"/>
    <col min="13" max="13" width="8.85546875" style="1173" customWidth="1"/>
    <col min="14" max="16384" width="11.42578125" style="1173"/>
  </cols>
  <sheetData>
    <row r="1" spans="1:13" ht="125.1" customHeight="1" x14ac:dyDescent="0.2">
      <c r="A1" s="1458"/>
      <c r="B1" s="1458"/>
      <c r="C1" s="1458"/>
      <c r="D1" s="1458"/>
      <c r="E1" s="1458"/>
      <c r="F1" s="1458"/>
      <c r="G1" s="1458"/>
      <c r="H1" s="1458"/>
      <c r="I1" s="1458"/>
      <c r="J1" s="1458"/>
      <c r="K1" s="1458"/>
      <c r="L1" s="1458"/>
      <c r="M1" s="1458"/>
    </row>
    <row r="2" spans="1:13" ht="35.1" customHeight="1" x14ac:dyDescent="0.2">
      <c r="A2" s="1174"/>
      <c r="B2" s="1174"/>
      <c r="C2" s="1174"/>
      <c r="D2" s="1174"/>
      <c r="E2" s="1174"/>
      <c r="F2" s="1174"/>
    </row>
    <row r="3" spans="1:13" ht="35.1" customHeight="1" x14ac:dyDescent="0.2">
      <c r="A3" s="1174"/>
      <c r="B3" s="1174"/>
      <c r="C3" s="1174"/>
      <c r="D3" s="1174"/>
      <c r="E3" s="1174"/>
      <c r="F3" s="1174"/>
      <c r="H3" s="1446" t="s">
        <v>459</v>
      </c>
      <c r="I3" s="1446"/>
      <c r="J3" s="1446"/>
      <c r="K3" s="1446"/>
      <c r="L3" s="1447">
        <f>'DATOS %'!J8</f>
        <v>0</v>
      </c>
      <c r="M3" s="1447"/>
    </row>
    <row r="4" spans="1:13" ht="27.95" customHeight="1" x14ac:dyDescent="0.25">
      <c r="A4" s="1463" t="s">
        <v>6</v>
      </c>
      <c r="B4" s="1463"/>
      <c r="C4" s="1463"/>
      <c r="D4" s="1175"/>
      <c r="E4" s="1175"/>
      <c r="G4" s="1464"/>
      <c r="H4" s="1464"/>
    </row>
    <row r="5" spans="1:13" ht="20.100000000000001" customHeight="1" x14ac:dyDescent="0.2">
      <c r="A5" s="1176"/>
      <c r="B5" s="1175"/>
      <c r="C5" s="1175"/>
      <c r="D5" s="1175"/>
      <c r="E5" s="1175"/>
      <c r="F5" s="1175"/>
    </row>
    <row r="6" spans="1:13" ht="27.95" customHeight="1" x14ac:dyDescent="0.2">
      <c r="A6" s="1455" t="s">
        <v>286</v>
      </c>
      <c r="B6" s="1455"/>
      <c r="D6" s="1460">
        <f>('DATOS %'!E8)</f>
        <v>0</v>
      </c>
      <c r="E6" s="1460"/>
      <c r="F6" s="1460"/>
      <c r="G6" s="1460"/>
      <c r="H6" s="1460"/>
      <c r="I6" s="1460"/>
      <c r="J6" s="1460"/>
    </row>
    <row r="7" spans="1:13" ht="27.95" customHeight="1" x14ac:dyDescent="0.2">
      <c r="A7" s="1455" t="s">
        <v>287</v>
      </c>
      <c r="B7" s="1455"/>
      <c r="C7" s="1177"/>
      <c r="D7" s="1460">
        <f>'DATOS %'!F8</f>
        <v>0</v>
      </c>
      <c r="E7" s="1460"/>
      <c r="F7" s="1460"/>
      <c r="G7" s="1460"/>
      <c r="H7" s="1460"/>
      <c r="I7" s="1460"/>
      <c r="J7" s="1460"/>
    </row>
    <row r="8" spans="1:13" ht="27.95" customHeight="1" x14ac:dyDescent="0.2">
      <c r="A8" s="1455" t="s">
        <v>288</v>
      </c>
      <c r="B8" s="1455"/>
      <c r="D8" s="1460" t="str">
        <f>PROPER('DATOS %'!C8)</f>
        <v/>
      </c>
      <c r="E8" s="1460"/>
      <c r="F8" s="1460"/>
      <c r="G8" s="1460"/>
    </row>
    <row r="9" spans="1:13" ht="24.95" customHeight="1" x14ac:dyDescent="0.2">
      <c r="A9" s="1178"/>
      <c r="B9" s="1178"/>
      <c r="D9" s="1178"/>
      <c r="E9" s="1178"/>
      <c r="F9" s="1175"/>
    </row>
    <row r="10" spans="1:13" ht="27.95" customHeight="1" x14ac:dyDescent="0.2">
      <c r="A10" s="1455" t="s">
        <v>289</v>
      </c>
      <c r="B10" s="1455"/>
      <c r="C10" s="1455"/>
      <c r="D10" s="1462">
        <f>'DATOS %'!D8</f>
        <v>0</v>
      </c>
      <c r="E10" s="1462"/>
      <c r="F10" s="1466" t="s">
        <v>290</v>
      </c>
      <c r="G10" s="1466"/>
      <c r="H10" s="1466"/>
      <c r="I10" s="1462" t="e">
        <f>'500 mg % '!E4</f>
        <v>#N/A</v>
      </c>
      <c r="J10" s="1462"/>
    </row>
    <row r="11" spans="1:13" ht="24.95" customHeight="1" x14ac:dyDescent="0.2">
      <c r="A11" s="1175"/>
      <c r="B11" s="1175"/>
      <c r="C11" s="1175"/>
      <c r="D11" s="1175"/>
      <c r="E11" s="1175"/>
      <c r="F11" s="1175"/>
    </row>
    <row r="12" spans="1:13" ht="27.95" customHeight="1" x14ac:dyDescent="0.2">
      <c r="A12" s="1467" t="s">
        <v>245</v>
      </c>
      <c r="B12" s="1467"/>
      <c r="C12" s="1467"/>
      <c r="D12" s="1467"/>
      <c r="E12" s="1467"/>
      <c r="F12" s="1467"/>
      <c r="G12" s="1467"/>
      <c r="H12" s="1467"/>
      <c r="I12" s="1467"/>
      <c r="J12" s="1467"/>
    </row>
    <row r="13" spans="1:13" ht="20.100000000000001" customHeight="1" x14ac:dyDescent="0.2">
      <c r="A13" s="1139"/>
      <c r="B13" s="1139"/>
      <c r="C13" s="1139"/>
      <c r="D13" s="1139"/>
      <c r="E13" s="1139"/>
      <c r="F13" s="1175"/>
    </row>
    <row r="14" spans="1:13" ht="27.95" customHeight="1" x14ac:dyDescent="0.2">
      <c r="A14" s="1455" t="s">
        <v>291</v>
      </c>
      <c r="B14" s="1455"/>
      <c r="C14" s="1455"/>
      <c r="D14" s="1454" t="s">
        <v>538</v>
      </c>
      <c r="E14" s="1454"/>
      <c r="F14" s="1454"/>
      <c r="G14" s="1454"/>
      <c r="H14" s="1454"/>
      <c r="I14" s="1454"/>
      <c r="J14" s="1454"/>
    </row>
    <row r="15" spans="1:13" ht="27.95" customHeight="1" x14ac:dyDescent="0.2">
      <c r="A15" s="1455" t="s">
        <v>292</v>
      </c>
      <c r="B15" s="1455"/>
      <c r="C15" s="1455"/>
      <c r="D15" s="1456" t="str">
        <f>PROPER('DATOS %'!D48)</f>
        <v/>
      </c>
      <c r="E15" s="1457"/>
      <c r="F15" s="1457"/>
      <c r="G15" s="1457"/>
      <c r="H15" s="1176"/>
      <c r="I15" s="1176"/>
      <c r="J15" s="1176"/>
    </row>
    <row r="16" spans="1:13" ht="27.95" customHeight="1" x14ac:dyDescent="0.2">
      <c r="A16" s="1455" t="s">
        <v>293</v>
      </c>
      <c r="B16" s="1455"/>
      <c r="C16" s="1455"/>
      <c r="D16" s="1465">
        <f>'DATOS %'!E48</f>
        <v>0</v>
      </c>
      <c r="E16" s="1465"/>
      <c r="F16" s="1465"/>
      <c r="G16" s="1465"/>
      <c r="H16" s="1176"/>
      <c r="I16" s="1176"/>
      <c r="J16" s="1176"/>
    </row>
    <row r="17" spans="1:13" ht="27.95" customHeight="1" x14ac:dyDescent="0.2">
      <c r="A17" s="1455" t="s">
        <v>11</v>
      </c>
      <c r="B17" s="1455"/>
      <c r="C17" s="1455"/>
      <c r="D17" s="1461">
        <f>'DATOS %'!C48</f>
        <v>0</v>
      </c>
      <c r="E17" s="1461"/>
      <c r="F17" s="1462"/>
      <c r="G17" s="1462"/>
    </row>
    <row r="18" spans="1:13" ht="24.95" customHeight="1" x14ac:dyDescent="0.2">
      <c r="A18" s="1178"/>
      <c r="B18" s="1178"/>
      <c r="C18" s="1178"/>
      <c r="D18" s="1179"/>
      <c r="E18" s="1176"/>
      <c r="F18" s="1176"/>
      <c r="G18" s="1176"/>
    </row>
    <row r="19" spans="1:13" ht="27.95" customHeight="1" x14ac:dyDescent="0.2">
      <c r="A19" s="1455" t="s">
        <v>12</v>
      </c>
      <c r="B19" s="1455"/>
      <c r="C19" s="1455"/>
      <c r="D19" s="1455"/>
      <c r="E19" s="1455"/>
      <c r="F19" s="1455">
        <f>'DATOS %'!C80</f>
        <v>0</v>
      </c>
      <c r="G19" s="1455"/>
      <c r="H19" s="1455"/>
      <c r="I19" s="1455"/>
      <c r="J19" s="1455"/>
    </row>
    <row r="20" spans="1:13" ht="24.95" customHeight="1" x14ac:dyDescent="0.2">
      <c r="A20" s="1178"/>
      <c r="B20" s="1178"/>
      <c r="C20" s="1178"/>
      <c r="D20" s="1178"/>
      <c r="E20" s="1178"/>
      <c r="F20" s="1178"/>
      <c r="G20" s="1175"/>
    </row>
    <row r="21" spans="1:13" ht="27.95" customHeight="1" x14ac:dyDescent="0.2">
      <c r="A21" s="1463" t="s">
        <v>205</v>
      </c>
      <c r="B21" s="1463"/>
      <c r="C21" s="1463"/>
      <c r="D21" s="1463"/>
      <c r="E21" s="1463"/>
      <c r="F21" s="1463"/>
    </row>
    <row r="22" spans="1:13" ht="27.95" customHeight="1" x14ac:dyDescent="0.2">
      <c r="A22" s="1459" t="str">
        <f>'DATOS %'!G8</f>
        <v>Laboratorio de calibración de masa y volumen, avenida carrera  50 # 26-55 Int 2,  piso 5.</v>
      </c>
      <c r="B22" s="1459"/>
      <c r="C22" s="1459"/>
      <c r="D22" s="1459"/>
      <c r="E22" s="1459"/>
      <c r="F22" s="1459"/>
      <c r="G22" s="1459"/>
      <c r="H22" s="1459"/>
      <c r="I22" s="1459"/>
      <c r="J22" s="1459"/>
      <c r="K22" s="1459"/>
      <c r="L22" s="1459"/>
      <c r="M22" s="1459"/>
    </row>
    <row r="23" spans="1:13" ht="24.95" customHeight="1" x14ac:dyDescent="0.2">
      <c r="B23" s="1463"/>
      <c r="C23" s="1463"/>
      <c r="D23" s="1463"/>
      <c r="E23" s="1463"/>
      <c r="F23" s="1139"/>
      <c r="G23" s="1176"/>
    </row>
    <row r="24" spans="1:13" ht="27.95" customHeight="1" x14ac:dyDescent="0.2">
      <c r="A24" s="1463" t="s">
        <v>206</v>
      </c>
      <c r="B24" s="1463"/>
      <c r="C24" s="1463"/>
      <c r="D24" s="1463"/>
      <c r="E24" s="1445">
        <f>'DATOS %'!I8</f>
        <v>0</v>
      </c>
      <c r="F24" s="1445"/>
      <c r="G24" s="1180"/>
      <c r="H24" s="1180"/>
    </row>
    <row r="25" spans="1:13" ht="24.95" customHeight="1" x14ac:dyDescent="0.25">
      <c r="A25" s="1176"/>
      <c r="B25" s="1176"/>
      <c r="C25" s="1176"/>
      <c r="D25" s="1176"/>
      <c r="E25" s="1176"/>
      <c r="F25" s="1176"/>
      <c r="G25" s="1140"/>
      <c r="H25" s="1140"/>
      <c r="I25" s="1175"/>
      <c r="J25" s="1175"/>
    </row>
    <row r="26" spans="1:13" ht="27.95" customHeight="1" x14ac:dyDescent="0.2">
      <c r="A26" s="1413" t="s">
        <v>248</v>
      </c>
      <c r="B26" s="1413"/>
      <c r="C26" s="1413"/>
      <c r="D26" s="1413"/>
      <c r="E26" s="1413"/>
      <c r="F26" s="1413"/>
      <c r="G26" s="1413"/>
      <c r="H26" s="1413"/>
      <c r="I26" s="1413"/>
      <c r="J26" s="1413"/>
    </row>
    <row r="27" spans="1:13" ht="18.75" customHeight="1" x14ac:dyDescent="0.2">
      <c r="A27" s="1134"/>
      <c r="B27" s="1134"/>
      <c r="C27" s="1134"/>
      <c r="D27" s="1134"/>
      <c r="G27" s="1175"/>
    </row>
    <row r="28" spans="1:13" s="1190" customFormat="1" ht="33" customHeight="1" x14ac:dyDescent="0.25">
      <c r="A28" s="1452" t="s">
        <v>455</v>
      </c>
      <c r="B28" s="1452"/>
      <c r="C28" s="1452"/>
      <c r="D28" s="1452"/>
      <c r="E28" s="1452"/>
      <c r="F28" s="1452"/>
      <c r="G28" s="1452"/>
      <c r="H28" s="1452"/>
      <c r="I28" s="1452"/>
      <c r="J28" s="1452"/>
      <c r="K28" s="1452"/>
      <c r="L28" s="1452"/>
      <c r="M28" s="1452"/>
    </row>
    <row r="29" spans="1:13" ht="20.100000000000001" customHeight="1" x14ac:dyDescent="0.25">
      <c r="G29" s="1140"/>
      <c r="H29" s="1140"/>
      <c r="I29" s="1181"/>
      <c r="J29" s="1181"/>
    </row>
    <row r="30" spans="1:13" ht="125.1" customHeight="1" x14ac:dyDescent="0.25">
      <c r="G30" s="1140"/>
      <c r="H30" s="1140"/>
      <c r="I30" s="1181"/>
      <c r="J30" s="1181"/>
    </row>
    <row r="31" spans="1:13" ht="35.1" customHeight="1" x14ac:dyDescent="0.25">
      <c r="G31" s="1140"/>
      <c r="H31" s="1140"/>
      <c r="I31" s="1181"/>
      <c r="J31" s="1181"/>
    </row>
    <row r="32" spans="1:13" ht="35.1" customHeight="1" x14ac:dyDescent="0.2">
      <c r="H32" s="1446" t="s">
        <v>459</v>
      </c>
      <c r="I32" s="1446"/>
      <c r="J32" s="1446"/>
      <c r="K32" s="1446"/>
      <c r="L32" s="1447">
        <f>L3</f>
        <v>0</v>
      </c>
      <c r="M32" s="1447"/>
    </row>
    <row r="33" spans="1:13" ht="27.95" customHeight="1" x14ac:dyDescent="0.2">
      <c r="A33" s="1413" t="s">
        <v>268</v>
      </c>
      <c r="B33" s="1413"/>
      <c r="C33" s="1413"/>
      <c r="D33" s="1413"/>
      <c r="E33" s="1413"/>
      <c r="F33" s="1413"/>
      <c r="G33" s="1413"/>
      <c r="H33" s="1413"/>
      <c r="I33" s="1413"/>
      <c r="J33" s="1413"/>
    </row>
    <row r="34" spans="1:13" ht="15" customHeight="1" thickBot="1" x14ac:dyDescent="0.25">
      <c r="A34" s="1182"/>
      <c r="B34" s="1182"/>
      <c r="C34" s="1182"/>
      <c r="D34" s="1182"/>
      <c r="E34" s="1182"/>
      <c r="F34" s="1182"/>
      <c r="G34" s="1182"/>
      <c r="K34" s="388"/>
    </row>
    <row r="35" spans="1:13" ht="45" customHeight="1" thickBot="1" x14ac:dyDescent="0.25">
      <c r="B35" s="1419" t="s">
        <v>256</v>
      </c>
      <c r="C35" s="1420"/>
      <c r="D35" s="1419" t="s">
        <v>218</v>
      </c>
      <c r="E35" s="1420"/>
      <c r="F35" s="1419" t="s">
        <v>219</v>
      </c>
      <c r="G35" s="1420"/>
      <c r="H35" s="1423" t="s">
        <v>220</v>
      </c>
      <c r="I35" s="1424"/>
      <c r="J35" s="1424"/>
      <c r="K35" s="1425"/>
    </row>
    <row r="36" spans="1:13" ht="45.95" customHeight="1" thickBot="1" x14ac:dyDescent="0.25">
      <c r="B36" s="1421"/>
      <c r="C36" s="1422"/>
      <c r="D36" s="1421"/>
      <c r="E36" s="1422"/>
      <c r="F36" s="1421"/>
      <c r="G36" s="1422"/>
      <c r="H36" s="1426" t="s">
        <v>221</v>
      </c>
      <c r="I36" s="1427"/>
      <c r="J36" s="1428" t="s">
        <v>325</v>
      </c>
      <c r="K36" s="1429"/>
    </row>
    <row r="37" spans="1:13" ht="50.1" customHeight="1" thickBot="1" x14ac:dyDescent="0.25">
      <c r="B37" s="1430" t="str">
        <f>D14</f>
        <v>Juego de pesas de 1 mg a 500 mg</v>
      </c>
      <c r="C37" s="1431"/>
      <c r="D37" s="1432" t="s">
        <v>539</v>
      </c>
      <c r="E37" s="1433"/>
      <c r="F37" s="1434" t="e">
        <f>VLOOKUP($K$34,'DATOS %'!B175:G185,1,FALSE)</f>
        <v>#N/A</v>
      </c>
      <c r="G37" s="1435"/>
      <c r="H37" s="1183" t="e">
        <f>VLOOKUP($K$34,'DATOS %'!B175:G186,3,FALSE)</f>
        <v>#N/A</v>
      </c>
      <c r="I37" s="1184" t="s">
        <v>213</v>
      </c>
      <c r="J37" s="1185" t="e">
        <f>VLOOKUP($K$34,'DATOS %'!B175:G185,5,FALSE)</f>
        <v>#N/A</v>
      </c>
      <c r="K37" s="1186" t="s">
        <v>128</v>
      </c>
    </row>
    <row r="38" spans="1:13" ht="39.950000000000003" hidden="1" customHeight="1" thickBot="1" x14ac:dyDescent="0.25">
      <c r="A38" s="1414"/>
      <c r="B38" s="1415"/>
      <c r="C38" s="1414"/>
      <c r="D38" s="1416"/>
      <c r="E38" s="1417"/>
      <c r="F38" s="1415"/>
      <c r="G38" s="1187"/>
      <c r="H38" s="1188"/>
      <c r="I38" s="1187"/>
      <c r="J38" s="1189"/>
    </row>
    <row r="39" spans="1:13" ht="35.1" customHeight="1" x14ac:dyDescent="0.2"/>
    <row r="40" spans="1:13" ht="27.95" customHeight="1" x14ac:dyDescent="0.2">
      <c r="A40" s="1413" t="s">
        <v>257</v>
      </c>
      <c r="B40" s="1413"/>
      <c r="C40" s="1413"/>
      <c r="D40" s="1413"/>
      <c r="E40" s="1413"/>
      <c r="F40" s="1413"/>
      <c r="G40" s="1413"/>
      <c r="H40" s="1413"/>
      <c r="I40" s="1413"/>
      <c r="J40" s="1413"/>
    </row>
    <row r="41" spans="1:13" ht="24.95" customHeight="1" x14ac:dyDescent="0.2">
      <c r="A41" s="1452" t="s">
        <v>246</v>
      </c>
      <c r="B41" s="1452"/>
      <c r="C41" s="1452"/>
      <c r="D41" s="1452"/>
      <c r="E41" s="1452"/>
      <c r="F41" s="1452"/>
      <c r="G41" s="1452"/>
      <c r="H41" s="1452"/>
      <c r="I41" s="1452"/>
      <c r="J41" s="1452"/>
      <c r="K41" s="1452"/>
      <c r="L41" s="1452"/>
      <c r="M41" s="1452"/>
    </row>
    <row r="42" spans="1:13" ht="24.95" customHeight="1" x14ac:dyDescent="0.2">
      <c r="A42" s="1452"/>
      <c r="B42" s="1452"/>
      <c r="C42" s="1452"/>
      <c r="D42" s="1452"/>
      <c r="E42" s="1452"/>
      <c r="F42" s="1452"/>
      <c r="G42" s="1452"/>
      <c r="H42" s="1452"/>
      <c r="I42" s="1452"/>
      <c r="J42" s="1452"/>
      <c r="K42" s="1452"/>
      <c r="L42" s="1452"/>
      <c r="M42" s="1452"/>
    </row>
    <row r="43" spans="1:13" ht="20.100000000000001" customHeight="1" thickBot="1" x14ac:dyDescent="0.25">
      <c r="A43" s="1191"/>
      <c r="B43" s="1191"/>
      <c r="C43" s="1191"/>
      <c r="D43" s="1191"/>
      <c r="E43" s="1191"/>
      <c r="F43" s="1191"/>
      <c r="G43" s="1191"/>
      <c r="H43" s="1191"/>
      <c r="I43" s="1191"/>
      <c r="J43" s="1191"/>
    </row>
    <row r="44" spans="1:13" ht="45.95" customHeight="1" thickBot="1" x14ac:dyDescent="0.25">
      <c r="B44" s="1448" t="s">
        <v>13</v>
      </c>
      <c r="C44" s="1448"/>
      <c r="D44" s="1448"/>
      <c r="E44" s="1138" t="s">
        <v>21</v>
      </c>
      <c r="F44" s="1138" t="s">
        <v>10</v>
      </c>
      <c r="G44" s="390" t="s">
        <v>209</v>
      </c>
      <c r="H44" s="1448" t="s">
        <v>14</v>
      </c>
      <c r="I44" s="1448"/>
      <c r="J44" s="1448" t="s">
        <v>8</v>
      </c>
      <c r="K44" s="1448"/>
    </row>
    <row r="45" spans="1:13" ht="50.1" customHeight="1" thickBot="1" x14ac:dyDescent="0.25">
      <c r="B45" s="1449" t="s">
        <v>540</v>
      </c>
      <c r="C45" s="1449"/>
      <c r="D45" s="1449"/>
      <c r="E45" s="391" t="e">
        <f>VLOOKUP('1 mg % '!$E$6,'DATOS %'!N11:AA110,2,FALSE)</f>
        <v>#N/A</v>
      </c>
      <c r="F45" s="1141" t="e">
        <f>VLOOKUP('1 mg % '!$E$6,'DATOS %'!N11:AA110,3,FALSE)</f>
        <v>#N/A</v>
      </c>
      <c r="G45" s="392" t="e">
        <f>VLOOKUP('1 mg % '!$E$6,'DATOS %'!N11:AA110,14,FALSE)</f>
        <v>#N/A</v>
      </c>
      <c r="H45" s="1450" t="e">
        <f>VLOOKUP('1 mg % '!$E$6,'DATOS %'!N11:AA110,6,FALSE)</f>
        <v>#N/A</v>
      </c>
      <c r="I45" s="1450"/>
      <c r="J45" s="1451" t="e">
        <f>VLOOKUP('1 mg % '!$E$6,'DATOS %'!N11:AA110,7,FALSE)</f>
        <v>#N/A</v>
      </c>
      <c r="K45" s="1451"/>
    </row>
    <row r="46" spans="1:13" ht="35.1" customHeight="1" x14ac:dyDescent="0.2">
      <c r="A46" s="1135"/>
      <c r="B46" s="1135"/>
      <c r="C46" s="1135"/>
      <c r="D46" s="393"/>
      <c r="E46" s="1135"/>
      <c r="F46" s="1135"/>
      <c r="G46" s="1135"/>
      <c r="H46" s="1135"/>
      <c r="I46" s="394"/>
      <c r="J46" s="394"/>
    </row>
    <row r="47" spans="1:13" ht="27.95" customHeight="1" x14ac:dyDescent="0.2">
      <c r="A47" s="1418" t="s">
        <v>249</v>
      </c>
      <c r="B47" s="1418"/>
      <c r="C47" s="1418"/>
      <c r="D47" s="1418"/>
      <c r="E47" s="1418"/>
      <c r="F47" s="1418"/>
      <c r="G47" s="1418"/>
      <c r="H47" s="1418"/>
      <c r="I47" s="1418"/>
      <c r="J47" s="1418"/>
    </row>
    <row r="48" spans="1:13" ht="9.75" customHeight="1" x14ac:dyDescent="0.2">
      <c r="A48" s="389"/>
      <c r="B48" s="389"/>
    </row>
    <row r="49" spans="1:1020 1029:2040 2049:3070 3079:4090 4099:5120 5129:6140 6149:7160 7169:8190 8199:9210 9219:10240 10249:11260 11269:12280 12289:13310 13319:14330 14339:15360 15369:16380" ht="26.1" customHeight="1" x14ac:dyDescent="0.2">
      <c r="A49" s="1453" t="s">
        <v>269</v>
      </c>
      <c r="B49" s="1453"/>
      <c r="C49" s="1453"/>
      <c r="D49" s="1453"/>
      <c r="E49" s="1453"/>
      <c r="F49" s="1453"/>
      <c r="G49" s="1453"/>
      <c r="H49" s="1453"/>
      <c r="I49" s="1453"/>
      <c r="J49" s="1453"/>
      <c r="K49" s="1453"/>
      <c r="L49" s="1453"/>
      <c r="M49" s="1453"/>
    </row>
    <row r="50" spans="1:1020 1029:2040 2049:3070 3079:4090 4099:5120 5129:6140 6149:7160 7169:8190 8199:9210 9219:10240 10249:11260 11269:12280 12289:13310 13319:14330 14339:15360 15369:16380" ht="26.1" customHeight="1" x14ac:dyDescent="0.2">
      <c r="A50" s="1453"/>
      <c r="B50" s="1453"/>
      <c r="C50" s="1453"/>
      <c r="D50" s="1453"/>
      <c r="E50" s="1453"/>
      <c r="F50" s="1453"/>
      <c r="G50" s="1453"/>
      <c r="H50" s="1453"/>
      <c r="I50" s="1453"/>
      <c r="J50" s="1453"/>
      <c r="K50" s="1453"/>
      <c r="L50" s="1453"/>
      <c r="M50" s="1453"/>
    </row>
    <row r="51" spans="1:1020 1029:2040 2049:3070 3079:4090 4099:5120 5129:6140 6149:7160 7169:8190 8199:9210 9219:10240 10249:11260 11269:12280 12289:13310 13319:14330 14339:15360 15369:16380" ht="18" customHeight="1" x14ac:dyDescent="0.2">
      <c r="A51" s="1192"/>
      <c r="B51" s="1192"/>
      <c r="C51" s="1192"/>
      <c r="D51" s="1192"/>
      <c r="E51" s="1192"/>
      <c r="F51" s="1192"/>
      <c r="G51" s="1192"/>
      <c r="H51" s="1192"/>
      <c r="I51" s="1192"/>
      <c r="J51" s="1192"/>
    </row>
    <row r="52" spans="1:1020 1029:2040 2049:3070 3079:4090 4099:5120 5129:6140 6149:7160 7169:8190 8199:9210 9219:10240 10249:11260 11269:12280 12289:13310 13319:14330 14339:15360 15369:16380" ht="125.1" customHeight="1" x14ac:dyDescent="0.2">
      <c r="A52" s="1412"/>
      <c r="B52" s="1412"/>
      <c r="C52" s="1412"/>
      <c r="D52" s="1412"/>
      <c r="E52" s="1412"/>
      <c r="F52" s="1412"/>
      <c r="G52" s="1412"/>
      <c r="H52" s="1412"/>
      <c r="I52" s="1412"/>
      <c r="J52" s="1412"/>
    </row>
    <row r="53" spans="1:1020 1029:2040 2049:3070 3079:4090 4099:5120 5129:6140 6149:7160 7169:8190 8199:9210 9219:10240 10249:11260 11269:12280 12289:13310 13319:14330 14339:15360 15369:16380" ht="35.1" customHeight="1" x14ac:dyDescent="0.2">
      <c r="A53" s="1192"/>
      <c r="B53" s="1192"/>
      <c r="C53" s="1192"/>
      <c r="D53" s="1192"/>
      <c r="E53" s="1192"/>
      <c r="F53" s="1192"/>
    </row>
    <row r="54" spans="1:1020 1029:2040 2049:3070 3079:4090 4099:5120 5129:6140 6149:7160 7169:8190 8199:9210 9219:10240 10249:11260 11269:12280 12289:13310 13319:14330 14339:15360 15369:16380" ht="35.1" customHeight="1" x14ac:dyDescent="0.2">
      <c r="A54" s="1192"/>
      <c r="B54" s="1192"/>
      <c r="C54" s="1192"/>
      <c r="D54" s="1192"/>
      <c r="E54" s="1192"/>
      <c r="F54" s="1192"/>
      <c r="H54" s="1446" t="s">
        <v>459</v>
      </c>
      <c r="I54" s="1446"/>
      <c r="J54" s="1446"/>
      <c r="K54" s="1446"/>
      <c r="L54" s="1469">
        <f>L3</f>
        <v>0</v>
      </c>
      <c r="M54" s="1469"/>
    </row>
    <row r="55" spans="1:1020 1029:2040 2049:3070 3079:4090 4099:5120 5129:6140 6149:7160 7169:8190 8199:9210 9219:10240 10249:11260 11269:12280 12289:13310 13319:14330 14339:15360 15369:16380" ht="23.1" customHeight="1" x14ac:dyDescent="0.2">
      <c r="A55" s="1418" t="s">
        <v>250</v>
      </c>
      <c r="B55" s="1418"/>
      <c r="C55" s="1418"/>
      <c r="D55" s="1418"/>
      <c r="E55" s="1418"/>
      <c r="F55" s="1418"/>
      <c r="G55" s="1418"/>
      <c r="H55" s="1418"/>
      <c r="I55" s="1418"/>
      <c r="J55" s="1418"/>
    </row>
    <row r="56" spans="1:1020 1029:2040 2049:3070 3079:4090 4099:5120 5129:6140 6149:7160 7169:8190 8199:9210 9219:10240 10249:11260 11269:12280 12289:13310 13319:14330 14339:15360 15369:16380" ht="20.100000000000001" customHeight="1" thickBot="1" x14ac:dyDescent="0.25">
      <c r="A56" s="389"/>
      <c r="B56" s="389"/>
      <c r="S56" s="389"/>
      <c r="T56" s="389"/>
      <c r="AC56" s="389"/>
      <c r="AD56" s="389"/>
      <c r="AM56" s="389"/>
      <c r="AN56" s="389"/>
      <c r="AW56" s="389"/>
      <c r="AX56" s="389"/>
      <c r="BG56" s="389"/>
      <c r="BH56" s="389"/>
      <c r="BQ56" s="389"/>
      <c r="BR56" s="389"/>
      <c r="CA56" s="389"/>
      <c r="CB56" s="389"/>
      <c r="CK56" s="389"/>
      <c r="CL56" s="389"/>
      <c r="CU56" s="389"/>
      <c r="CV56" s="389"/>
      <c r="DE56" s="389"/>
      <c r="DF56" s="389"/>
      <c r="DO56" s="389"/>
      <c r="DP56" s="389"/>
      <c r="DY56" s="389"/>
      <c r="DZ56" s="389"/>
      <c r="EI56" s="389"/>
      <c r="EJ56" s="389"/>
      <c r="ES56" s="389"/>
      <c r="ET56" s="389"/>
      <c r="FC56" s="389"/>
      <c r="FD56" s="389"/>
      <c r="FM56" s="389"/>
      <c r="FN56" s="389"/>
      <c r="FW56" s="389"/>
      <c r="FX56" s="389"/>
      <c r="GG56" s="389"/>
      <c r="GH56" s="389"/>
      <c r="GQ56" s="389"/>
      <c r="GR56" s="389"/>
      <c r="HA56" s="389"/>
      <c r="HB56" s="389"/>
      <c r="HK56" s="389"/>
      <c r="HL56" s="389"/>
      <c r="HU56" s="389"/>
      <c r="HV56" s="389"/>
      <c r="IE56" s="389"/>
      <c r="IF56" s="389"/>
      <c r="IO56" s="389"/>
      <c r="IP56" s="389"/>
      <c r="IY56" s="389"/>
      <c r="IZ56" s="389"/>
      <c r="JI56" s="389"/>
      <c r="JJ56" s="389"/>
      <c r="JS56" s="389"/>
      <c r="JT56" s="389"/>
      <c r="KC56" s="389"/>
      <c r="KD56" s="389"/>
      <c r="KM56" s="389"/>
      <c r="KN56" s="389"/>
      <c r="KW56" s="389"/>
      <c r="KX56" s="389"/>
      <c r="LG56" s="389"/>
      <c r="LH56" s="389"/>
      <c r="LQ56" s="389"/>
      <c r="LR56" s="389"/>
      <c r="MA56" s="389"/>
      <c r="MB56" s="389"/>
      <c r="MK56" s="389"/>
      <c r="ML56" s="389"/>
      <c r="MU56" s="389"/>
      <c r="MV56" s="389"/>
      <c r="NE56" s="389"/>
      <c r="NF56" s="389"/>
      <c r="NO56" s="389"/>
      <c r="NP56" s="389"/>
      <c r="NY56" s="389"/>
      <c r="NZ56" s="389"/>
      <c r="OI56" s="389"/>
      <c r="OJ56" s="389"/>
      <c r="OS56" s="389"/>
      <c r="OT56" s="389"/>
      <c r="PC56" s="389"/>
      <c r="PD56" s="389"/>
      <c r="PM56" s="389"/>
      <c r="PN56" s="389"/>
      <c r="PW56" s="389"/>
      <c r="PX56" s="389"/>
      <c r="QG56" s="389"/>
      <c r="QH56" s="389"/>
      <c r="QQ56" s="389"/>
      <c r="QR56" s="389"/>
      <c r="RA56" s="389"/>
      <c r="RB56" s="389"/>
      <c r="RK56" s="389"/>
      <c r="RL56" s="389"/>
      <c r="RU56" s="389"/>
      <c r="RV56" s="389"/>
      <c r="SE56" s="389"/>
      <c r="SF56" s="389"/>
      <c r="SO56" s="389"/>
      <c r="SP56" s="389"/>
      <c r="SY56" s="389"/>
      <c r="SZ56" s="389"/>
      <c r="TI56" s="389"/>
      <c r="TJ56" s="389"/>
      <c r="TS56" s="389"/>
      <c r="TT56" s="389"/>
      <c r="UC56" s="389"/>
      <c r="UD56" s="389"/>
      <c r="UM56" s="389"/>
      <c r="UN56" s="389"/>
      <c r="UW56" s="389"/>
      <c r="UX56" s="389"/>
      <c r="VG56" s="389"/>
      <c r="VH56" s="389"/>
      <c r="VQ56" s="389"/>
      <c r="VR56" s="389"/>
      <c r="WA56" s="389"/>
      <c r="WB56" s="389"/>
      <c r="WK56" s="389"/>
      <c r="WL56" s="389"/>
      <c r="WU56" s="389"/>
      <c r="WV56" s="389"/>
      <c r="XE56" s="389"/>
      <c r="XF56" s="389"/>
      <c r="XO56" s="389"/>
      <c r="XP56" s="389"/>
      <c r="XY56" s="389"/>
      <c r="XZ56" s="389"/>
      <c r="YI56" s="389"/>
      <c r="YJ56" s="389"/>
      <c r="YS56" s="389"/>
      <c r="YT56" s="389"/>
      <c r="ZC56" s="389"/>
      <c r="ZD56" s="389"/>
      <c r="ZM56" s="389"/>
      <c r="ZN56" s="389"/>
      <c r="ZW56" s="389"/>
      <c r="ZX56" s="389"/>
      <c r="AAG56" s="389"/>
      <c r="AAH56" s="389"/>
      <c r="AAQ56" s="389"/>
      <c r="AAR56" s="389"/>
      <c r="ABA56" s="389"/>
      <c r="ABB56" s="389"/>
      <c r="ABK56" s="389"/>
      <c r="ABL56" s="389"/>
      <c r="ABU56" s="389"/>
      <c r="ABV56" s="389"/>
      <c r="ACE56" s="389"/>
      <c r="ACF56" s="389"/>
      <c r="ACO56" s="389"/>
      <c r="ACP56" s="389"/>
      <c r="ACY56" s="389"/>
      <c r="ACZ56" s="389"/>
      <c r="ADI56" s="389"/>
      <c r="ADJ56" s="389"/>
      <c r="ADS56" s="389"/>
      <c r="ADT56" s="389"/>
      <c r="AEC56" s="389"/>
      <c r="AED56" s="389"/>
      <c r="AEM56" s="389"/>
      <c r="AEN56" s="389"/>
      <c r="AEW56" s="389"/>
      <c r="AEX56" s="389"/>
      <c r="AFG56" s="389"/>
      <c r="AFH56" s="389"/>
      <c r="AFQ56" s="389"/>
      <c r="AFR56" s="389"/>
      <c r="AGA56" s="389"/>
      <c r="AGB56" s="389"/>
      <c r="AGK56" s="389"/>
      <c r="AGL56" s="389"/>
      <c r="AGU56" s="389"/>
      <c r="AGV56" s="389"/>
      <c r="AHE56" s="389"/>
      <c r="AHF56" s="389"/>
      <c r="AHO56" s="389"/>
      <c r="AHP56" s="389"/>
      <c r="AHY56" s="389"/>
      <c r="AHZ56" s="389"/>
      <c r="AII56" s="389"/>
      <c r="AIJ56" s="389"/>
      <c r="AIS56" s="389"/>
      <c r="AIT56" s="389"/>
      <c r="AJC56" s="389"/>
      <c r="AJD56" s="389"/>
      <c r="AJM56" s="389"/>
      <c r="AJN56" s="389"/>
      <c r="AJW56" s="389"/>
      <c r="AJX56" s="389"/>
      <c r="AKG56" s="389"/>
      <c r="AKH56" s="389"/>
      <c r="AKQ56" s="389"/>
      <c r="AKR56" s="389"/>
      <c r="ALA56" s="389"/>
      <c r="ALB56" s="389"/>
      <c r="ALK56" s="389"/>
      <c r="ALL56" s="389"/>
      <c r="ALU56" s="389"/>
      <c r="ALV56" s="389"/>
      <c r="AME56" s="389"/>
      <c r="AMF56" s="389"/>
      <c r="AMO56" s="389"/>
      <c r="AMP56" s="389"/>
      <c r="AMY56" s="389"/>
      <c r="AMZ56" s="389"/>
      <c r="ANI56" s="389"/>
      <c r="ANJ56" s="389"/>
      <c r="ANS56" s="389"/>
      <c r="ANT56" s="389"/>
      <c r="AOC56" s="389"/>
      <c r="AOD56" s="389"/>
      <c r="AOM56" s="389"/>
      <c r="AON56" s="389"/>
      <c r="AOW56" s="389"/>
      <c r="AOX56" s="389"/>
      <c r="APG56" s="389"/>
      <c r="APH56" s="389"/>
      <c r="APQ56" s="389"/>
      <c r="APR56" s="389"/>
      <c r="AQA56" s="389"/>
      <c r="AQB56" s="389"/>
      <c r="AQK56" s="389"/>
      <c r="AQL56" s="389"/>
      <c r="AQU56" s="389"/>
      <c r="AQV56" s="389"/>
      <c r="ARE56" s="389"/>
      <c r="ARF56" s="389"/>
      <c r="ARO56" s="389"/>
      <c r="ARP56" s="389"/>
      <c r="ARY56" s="389"/>
      <c r="ARZ56" s="389"/>
      <c r="ASI56" s="389"/>
      <c r="ASJ56" s="389"/>
      <c r="ASS56" s="389"/>
      <c r="AST56" s="389"/>
      <c r="ATC56" s="389"/>
      <c r="ATD56" s="389"/>
      <c r="ATM56" s="389"/>
      <c r="ATN56" s="389"/>
      <c r="ATW56" s="389"/>
      <c r="ATX56" s="389"/>
      <c r="AUG56" s="389"/>
      <c r="AUH56" s="389"/>
      <c r="AUQ56" s="389"/>
      <c r="AUR56" s="389"/>
      <c r="AVA56" s="389"/>
      <c r="AVB56" s="389"/>
      <c r="AVK56" s="389"/>
      <c r="AVL56" s="389"/>
      <c r="AVU56" s="389"/>
      <c r="AVV56" s="389"/>
      <c r="AWE56" s="389"/>
      <c r="AWF56" s="389"/>
      <c r="AWO56" s="389"/>
      <c r="AWP56" s="389"/>
      <c r="AWY56" s="389"/>
      <c r="AWZ56" s="389"/>
      <c r="AXI56" s="389"/>
      <c r="AXJ56" s="389"/>
      <c r="AXS56" s="389"/>
      <c r="AXT56" s="389"/>
      <c r="AYC56" s="389"/>
      <c r="AYD56" s="389"/>
      <c r="AYM56" s="389"/>
      <c r="AYN56" s="389"/>
      <c r="AYW56" s="389"/>
      <c r="AYX56" s="389"/>
      <c r="AZG56" s="389"/>
      <c r="AZH56" s="389"/>
      <c r="AZQ56" s="389"/>
      <c r="AZR56" s="389"/>
      <c r="BAA56" s="389"/>
      <c r="BAB56" s="389"/>
      <c r="BAK56" s="389"/>
      <c r="BAL56" s="389"/>
      <c r="BAU56" s="389"/>
      <c r="BAV56" s="389"/>
      <c r="BBE56" s="389"/>
      <c r="BBF56" s="389"/>
      <c r="BBO56" s="389"/>
      <c r="BBP56" s="389"/>
      <c r="BBY56" s="389"/>
      <c r="BBZ56" s="389"/>
      <c r="BCI56" s="389"/>
      <c r="BCJ56" s="389"/>
      <c r="BCS56" s="389"/>
      <c r="BCT56" s="389"/>
      <c r="BDC56" s="389"/>
      <c r="BDD56" s="389"/>
      <c r="BDM56" s="389"/>
      <c r="BDN56" s="389"/>
      <c r="BDW56" s="389"/>
      <c r="BDX56" s="389"/>
      <c r="BEG56" s="389"/>
      <c r="BEH56" s="389"/>
      <c r="BEQ56" s="389"/>
      <c r="BER56" s="389"/>
      <c r="BFA56" s="389"/>
      <c r="BFB56" s="389"/>
      <c r="BFK56" s="389"/>
      <c r="BFL56" s="389"/>
      <c r="BFU56" s="389"/>
      <c r="BFV56" s="389"/>
      <c r="BGE56" s="389"/>
      <c r="BGF56" s="389"/>
      <c r="BGO56" s="389"/>
      <c r="BGP56" s="389"/>
      <c r="BGY56" s="389"/>
      <c r="BGZ56" s="389"/>
      <c r="BHI56" s="389"/>
      <c r="BHJ56" s="389"/>
      <c r="BHS56" s="389"/>
      <c r="BHT56" s="389"/>
      <c r="BIC56" s="389"/>
      <c r="BID56" s="389"/>
      <c r="BIM56" s="389"/>
      <c r="BIN56" s="389"/>
      <c r="BIW56" s="389"/>
      <c r="BIX56" s="389"/>
      <c r="BJG56" s="389"/>
      <c r="BJH56" s="389"/>
      <c r="BJQ56" s="389"/>
      <c r="BJR56" s="389"/>
      <c r="BKA56" s="389"/>
      <c r="BKB56" s="389"/>
      <c r="BKK56" s="389"/>
      <c r="BKL56" s="389"/>
      <c r="BKU56" s="389"/>
      <c r="BKV56" s="389"/>
      <c r="BLE56" s="389"/>
      <c r="BLF56" s="389"/>
      <c r="BLO56" s="389"/>
      <c r="BLP56" s="389"/>
      <c r="BLY56" s="389"/>
      <c r="BLZ56" s="389"/>
      <c r="BMI56" s="389"/>
      <c r="BMJ56" s="389"/>
      <c r="BMS56" s="389"/>
      <c r="BMT56" s="389"/>
      <c r="BNC56" s="389"/>
      <c r="BND56" s="389"/>
      <c r="BNM56" s="389"/>
      <c r="BNN56" s="389"/>
      <c r="BNW56" s="389"/>
      <c r="BNX56" s="389"/>
      <c r="BOG56" s="389"/>
      <c r="BOH56" s="389"/>
      <c r="BOQ56" s="389"/>
      <c r="BOR56" s="389"/>
      <c r="BPA56" s="389"/>
      <c r="BPB56" s="389"/>
      <c r="BPK56" s="389"/>
      <c r="BPL56" s="389"/>
      <c r="BPU56" s="389"/>
      <c r="BPV56" s="389"/>
      <c r="BQE56" s="389"/>
      <c r="BQF56" s="389"/>
      <c r="BQO56" s="389"/>
      <c r="BQP56" s="389"/>
      <c r="BQY56" s="389"/>
      <c r="BQZ56" s="389"/>
      <c r="BRI56" s="389"/>
      <c r="BRJ56" s="389"/>
      <c r="BRS56" s="389"/>
      <c r="BRT56" s="389"/>
      <c r="BSC56" s="389"/>
      <c r="BSD56" s="389"/>
      <c r="BSM56" s="389"/>
      <c r="BSN56" s="389"/>
      <c r="BSW56" s="389"/>
      <c r="BSX56" s="389"/>
      <c r="BTG56" s="389"/>
      <c r="BTH56" s="389"/>
      <c r="BTQ56" s="389"/>
      <c r="BTR56" s="389"/>
      <c r="BUA56" s="389"/>
      <c r="BUB56" s="389"/>
      <c r="BUK56" s="389"/>
      <c r="BUL56" s="389"/>
      <c r="BUU56" s="389"/>
      <c r="BUV56" s="389"/>
      <c r="BVE56" s="389"/>
      <c r="BVF56" s="389"/>
      <c r="BVO56" s="389"/>
      <c r="BVP56" s="389"/>
      <c r="BVY56" s="389"/>
      <c r="BVZ56" s="389"/>
      <c r="BWI56" s="389"/>
      <c r="BWJ56" s="389"/>
      <c r="BWS56" s="389"/>
      <c r="BWT56" s="389"/>
      <c r="BXC56" s="389"/>
      <c r="BXD56" s="389"/>
      <c r="BXM56" s="389"/>
      <c r="BXN56" s="389"/>
      <c r="BXW56" s="389"/>
      <c r="BXX56" s="389"/>
      <c r="BYG56" s="389"/>
      <c r="BYH56" s="389"/>
      <c r="BYQ56" s="389"/>
      <c r="BYR56" s="389"/>
      <c r="BZA56" s="389"/>
      <c r="BZB56" s="389"/>
      <c r="BZK56" s="389"/>
      <c r="BZL56" s="389"/>
      <c r="BZU56" s="389"/>
      <c r="BZV56" s="389"/>
      <c r="CAE56" s="389"/>
      <c r="CAF56" s="389"/>
      <c r="CAO56" s="389"/>
      <c r="CAP56" s="389"/>
      <c r="CAY56" s="389"/>
      <c r="CAZ56" s="389"/>
      <c r="CBI56" s="389"/>
      <c r="CBJ56" s="389"/>
      <c r="CBS56" s="389"/>
      <c r="CBT56" s="389"/>
      <c r="CCC56" s="389"/>
      <c r="CCD56" s="389"/>
      <c r="CCM56" s="389"/>
      <c r="CCN56" s="389"/>
      <c r="CCW56" s="389"/>
      <c r="CCX56" s="389"/>
      <c r="CDG56" s="389"/>
      <c r="CDH56" s="389"/>
      <c r="CDQ56" s="389"/>
      <c r="CDR56" s="389"/>
      <c r="CEA56" s="389"/>
      <c r="CEB56" s="389"/>
      <c r="CEK56" s="389"/>
      <c r="CEL56" s="389"/>
      <c r="CEU56" s="389"/>
      <c r="CEV56" s="389"/>
      <c r="CFE56" s="389"/>
      <c r="CFF56" s="389"/>
      <c r="CFO56" s="389"/>
      <c r="CFP56" s="389"/>
      <c r="CFY56" s="389"/>
      <c r="CFZ56" s="389"/>
      <c r="CGI56" s="389"/>
      <c r="CGJ56" s="389"/>
      <c r="CGS56" s="389"/>
      <c r="CGT56" s="389"/>
      <c r="CHC56" s="389"/>
      <c r="CHD56" s="389"/>
      <c r="CHM56" s="389"/>
      <c r="CHN56" s="389"/>
      <c r="CHW56" s="389"/>
      <c r="CHX56" s="389"/>
      <c r="CIG56" s="389"/>
      <c r="CIH56" s="389"/>
      <c r="CIQ56" s="389"/>
      <c r="CIR56" s="389"/>
      <c r="CJA56" s="389"/>
      <c r="CJB56" s="389"/>
      <c r="CJK56" s="389"/>
      <c r="CJL56" s="389"/>
      <c r="CJU56" s="389"/>
      <c r="CJV56" s="389"/>
      <c r="CKE56" s="389"/>
      <c r="CKF56" s="389"/>
      <c r="CKO56" s="389"/>
      <c r="CKP56" s="389"/>
      <c r="CKY56" s="389"/>
      <c r="CKZ56" s="389"/>
      <c r="CLI56" s="389"/>
      <c r="CLJ56" s="389"/>
      <c r="CLS56" s="389"/>
      <c r="CLT56" s="389"/>
      <c r="CMC56" s="389"/>
      <c r="CMD56" s="389"/>
      <c r="CMM56" s="389"/>
      <c r="CMN56" s="389"/>
      <c r="CMW56" s="389"/>
      <c r="CMX56" s="389"/>
      <c r="CNG56" s="389"/>
      <c r="CNH56" s="389"/>
      <c r="CNQ56" s="389"/>
      <c r="CNR56" s="389"/>
      <c r="COA56" s="389"/>
      <c r="COB56" s="389"/>
      <c r="COK56" s="389"/>
      <c r="COL56" s="389"/>
      <c r="COU56" s="389"/>
      <c r="COV56" s="389"/>
      <c r="CPE56" s="389"/>
      <c r="CPF56" s="389"/>
      <c r="CPO56" s="389"/>
      <c r="CPP56" s="389"/>
      <c r="CPY56" s="389"/>
      <c r="CPZ56" s="389"/>
      <c r="CQI56" s="389"/>
      <c r="CQJ56" s="389"/>
      <c r="CQS56" s="389"/>
      <c r="CQT56" s="389"/>
      <c r="CRC56" s="389"/>
      <c r="CRD56" s="389"/>
      <c r="CRM56" s="389"/>
      <c r="CRN56" s="389"/>
      <c r="CRW56" s="389"/>
      <c r="CRX56" s="389"/>
      <c r="CSG56" s="389"/>
      <c r="CSH56" s="389"/>
      <c r="CSQ56" s="389"/>
      <c r="CSR56" s="389"/>
      <c r="CTA56" s="389"/>
      <c r="CTB56" s="389"/>
      <c r="CTK56" s="389"/>
      <c r="CTL56" s="389"/>
      <c r="CTU56" s="389"/>
      <c r="CTV56" s="389"/>
      <c r="CUE56" s="389"/>
      <c r="CUF56" s="389"/>
      <c r="CUO56" s="389"/>
      <c r="CUP56" s="389"/>
      <c r="CUY56" s="389"/>
      <c r="CUZ56" s="389"/>
      <c r="CVI56" s="389"/>
      <c r="CVJ56" s="389"/>
      <c r="CVS56" s="389"/>
      <c r="CVT56" s="389"/>
      <c r="CWC56" s="389"/>
      <c r="CWD56" s="389"/>
      <c r="CWM56" s="389"/>
      <c r="CWN56" s="389"/>
      <c r="CWW56" s="389"/>
      <c r="CWX56" s="389"/>
      <c r="CXG56" s="389"/>
      <c r="CXH56" s="389"/>
      <c r="CXQ56" s="389"/>
      <c r="CXR56" s="389"/>
      <c r="CYA56" s="389"/>
      <c r="CYB56" s="389"/>
      <c r="CYK56" s="389"/>
      <c r="CYL56" s="389"/>
      <c r="CYU56" s="389"/>
      <c r="CYV56" s="389"/>
      <c r="CZE56" s="389"/>
      <c r="CZF56" s="389"/>
      <c r="CZO56" s="389"/>
      <c r="CZP56" s="389"/>
      <c r="CZY56" s="389"/>
      <c r="CZZ56" s="389"/>
      <c r="DAI56" s="389"/>
      <c r="DAJ56" s="389"/>
      <c r="DAS56" s="389"/>
      <c r="DAT56" s="389"/>
      <c r="DBC56" s="389"/>
      <c r="DBD56" s="389"/>
      <c r="DBM56" s="389"/>
      <c r="DBN56" s="389"/>
      <c r="DBW56" s="389"/>
      <c r="DBX56" s="389"/>
      <c r="DCG56" s="389"/>
      <c r="DCH56" s="389"/>
      <c r="DCQ56" s="389"/>
      <c r="DCR56" s="389"/>
      <c r="DDA56" s="389"/>
      <c r="DDB56" s="389"/>
      <c r="DDK56" s="389"/>
      <c r="DDL56" s="389"/>
      <c r="DDU56" s="389"/>
      <c r="DDV56" s="389"/>
      <c r="DEE56" s="389"/>
      <c r="DEF56" s="389"/>
      <c r="DEO56" s="389"/>
      <c r="DEP56" s="389"/>
      <c r="DEY56" s="389"/>
      <c r="DEZ56" s="389"/>
      <c r="DFI56" s="389"/>
      <c r="DFJ56" s="389"/>
      <c r="DFS56" s="389"/>
      <c r="DFT56" s="389"/>
      <c r="DGC56" s="389"/>
      <c r="DGD56" s="389"/>
      <c r="DGM56" s="389"/>
      <c r="DGN56" s="389"/>
      <c r="DGW56" s="389"/>
      <c r="DGX56" s="389"/>
      <c r="DHG56" s="389"/>
      <c r="DHH56" s="389"/>
      <c r="DHQ56" s="389"/>
      <c r="DHR56" s="389"/>
      <c r="DIA56" s="389"/>
      <c r="DIB56" s="389"/>
      <c r="DIK56" s="389"/>
      <c r="DIL56" s="389"/>
      <c r="DIU56" s="389"/>
      <c r="DIV56" s="389"/>
      <c r="DJE56" s="389"/>
      <c r="DJF56" s="389"/>
      <c r="DJO56" s="389"/>
      <c r="DJP56" s="389"/>
      <c r="DJY56" s="389"/>
      <c r="DJZ56" s="389"/>
      <c r="DKI56" s="389"/>
      <c r="DKJ56" s="389"/>
      <c r="DKS56" s="389"/>
      <c r="DKT56" s="389"/>
      <c r="DLC56" s="389"/>
      <c r="DLD56" s="389"/>
      <c r="DLM56" s="389"/>
      <c r="DLN56" s="389"/>
      <c r="DLW56" s="389"/>
      <c r="DLX56" s="389"/>
      <c r="DMG56" s="389"/>
      <c r="DMH56" s="389"/>
      <c r="DMQ56" s="389"/>
      <c r="DMR56" s="389"/>
      <c r="DNA56" s="389"/>
      <c r="DNB56" s="389"/>
      <c r="DNK56" s="389"/>
      <c r="DNL56" s="389"/>
      <c r="DNU56" s="389"/>
      <c r="DNV56" s="389"/>
      <c r="DOE56" s="389"/>
      <c r="DOF56" s="389"/>
      <c r="DOO56" s="389"/>
      <c r="DOP56" s="389"/>
      <c r="DOY56" s="389"/>
      <c r="DOZ56" s="389"/>
      <c r="DPI56" s="389"/>
      <c r="DPJ56" s="389"/>
      <c r="DPS56" s="389"/>
      <c r="DPT56" s="389"/>
      <c r="DQC56" s="389"/>
      <c r="DQD56" s="389"/>
      <c r="DQM56" s="389"/>
      <c r="DQN56" s="389"/>
      <c r="DQW56" s="389"/>
      <c r="DQX56" s="389"/>
      <c r="DRG56" s="389"/>
      <c r="DRH56" s="389"/>
      <c r="DRQ56" s="389"/>
      <c r="DRR56" s="389"/>
      <c r="DSA56" s="389"/>
      <c r="DSB56" s="389"/>
      <c r="DSK56" s="389"/>
      <c r="DSL56" s="389"/>
      <c r="DSU56" s="389"/>
      <c r="DSV56" s="389"/>
      <c r="DTE56" s="389"/>
      <c r="DTF56" s="389"/>
      <c r="DTO56" s="389"/>
      <c r="DTP56" s="389"/>
      <c r="DTY56" s="389"/>
      <c r="DTZ56" s="389"/>
      <c r="DUI56" s="389"/>
      <c r="DUJ56" s="389"/>
      <c r="DUS56" s="389"/>
      <c r="DUT56" s="389"/>
      <c r="DVC56" s="389"/>
      <c r="DVD56" s="389"/>
      <c r="DVM56" s="389"/>
      <c r="DVN56" s="389"/>
      <c r="DVW56" s="389"/>
      <c r="DVX56" s="389"/>
      <c r="DWG56" s="389"/>
      <c r="DWH56" s="389"/>
      <c r="DWQ56" s="389"/>
      <c r="DWR56" s="389"/>
      <c r="DXA56" s="389"/>
      <c r="DXB56" s="389"/>
      <c r="DXK56" s="389"/>
      <c r="DXL56" s="389"/>
      <c r="DXU56" s="389"/>
      <c r="DXV56" s="389"/>
      <c r="DYE56" s="389"/>
      <c r="DYF56" s="389"/>
      <c r="DYO56" s="389"/>
      <c r="DYP56" s="389"/>
      <c r="DYY56" s="389"/>
      <c r="DYZ56" s="389"/>
      <c r="DZI56" s="389"/>
      <c r="DZJ56" s="389"/>
      <c r="DZS56" s="389"/>
      <c r="DZT56" s="389"/>
      <c r="EAC56" s="389"/>
      <c r="EAD56" s="389"/>
      <c r="EAM56" s="389"/>
      <c r="EAN56" s="389"/>
      <c r="EAW56" s="389"/>
      <c r="EAX56" s="389"/>
      <c r="EBG56" s="389"/>
      <c r="EBH56" s="389"/>
      <c r="EBQ56" s="389"/>
      <c r="EBR56" s="389"/>
      <c r="ECA56" s="389"/>
      <c r="ECB56" s="389"/>
      <c r="ECK56" s="389"/>
      <c r="ECL56" s="389"/>
      <c r="ECU56" s="389"/>
      <c r="ECV56" s="389"/>
      <c r="EDE56" s="389"/>
      <c r="EDF56" s="389"/>
      <c r="EDO56" s="389"/>
      <c r="EDP56" s="389"/>
      <c r="EDY56" s="389"/>
      <c r="EDZ56" s="389"/>
      <c r="EEI56" s="389"/>
      <c r="EEJ56" s="389"/>
      <c r="EES56" s="389"/>
      <c r="EET56" s="389"/>
      <c r="EFC56" s="389"/>
      <c r="EFD56" s="389"/>
      <c r="EFM56" s="389"/>
      <c r="EFN56" s="389"/>
      <c r="EFW56" s="389"/>
      <c r="EFX56" s="389"/>
      <c r="EGG56" s="389"/>
      <c r="EGH56" s="389"/>
      <c r="EGQ56" s="389"/>
      <c r="EGR56" s="389"/>
      <c r="EHA56" s="389"/>
      <c r="EHB56" s="389"/>
      <c r="EHK56" s="389"/>
      <c r="EHL56" s="389"/>
      <c r="EHU56" s="389"/>
      <c r="EHV56" s="389"/>
      <c r="EIE56" s="389"/>
      <c r="EIF56" s="389"/>
      <c r="EIO56" s="389"/>
      <c r="EIP56" s="389"/>
      <c r="EIY56" s="389"/>
      <c r="EIZ56" s="389"/>
      <c r="EJI56" s="389"/>
      <c r="EJJ56" s="389"/>
      <c r="EJS56" s="389"/>
      <c r="EJT56" s="389"/>
      <c r="EKC56" s="389"/>
      <c r="EKD56" s="389"/>
      <c r="EKM56" s="389"/>
      <c r="EKN56" s="389"/>
      <c r="EKW56" s="389"/>
      <c r="EKX56" s="389"/>
      <c r="ELG56" s="389"/>
      <c r="ELH56" s="389"/>
      <c r="ELQ56" s="389"/>
      <c r="ELR56" s="389"/>
      <c r="EMA56" s="389"/>
      <c r="EMB56" s="389"/>
      <c r="EMK56" s="389"/>
      <c r="EML56" s="389"/>
      <c r="EMU56" s="389"/>
      <c r="EMV56" s="389"/>
      <c r="ENE56" s="389"/>
      <c r="ENF56" s="389"/>
      <c r="ENO56" s="389"/>
      <c r="ENP56" s="389"/>
      <c r="ENY56" s="389"/>
      <c r="ENZ56" s="389"/>
      <c r="EOI56" s="389"/>
      <c r="EOJ56" s="389"/>
      <c r="EOS56" s="389"/>
      <c r="EOT56" s="389"/>
      <c r="EPC56" s="389"/>
      <c r="EPD56" s="389"/>
      <c r="EPM56" s="389"/>
      <c r="EPN56" s="389"/>
      <c r="EPW56" s="389"/>
      <c r="EPX56" s="389"/>
      <c r="EQG56" s="389"/>
      <c r="EQH56" s="389"/>
      <c r="EQQ56" s="389"/>
      <c r="EQR56" s="389"/>
      <c r="ERA56" s="389"/>
      <c r="ERB56" s="389"/>
      <c r="ERK56" s="389"/>
      <c r="ERL56" s="389"/>
      <c r="ERU56" s="389"/>
      <c r="ERV56" s="389"/>
      <c r="ESE56" s="389"/>
      <c r="ESF56" s="389"/>
      <c r="ESO56" s="389"/>
      <c r="ESP56" s="389"/>
      <c r="ESY56" s="389"/>
      <c r="ESZ56" s="389"/>
      <c r="ETI56" s="389"/>
      <c r="ETJ56" s="389"/>
      <c r="ETS56" s="389"/>
      <c r="ETT56" s="389"/>
      <c r="EUC56" s="389"/>
      <c r="EUD56" s="389"/>
      <c r="EUM56" s="389"/>
      <c r="EUN56" s="389"/>
      <c r="EUW56" s="389"/>
      <c r="EUX56" s="389"/>
      <c r="EVG56" s="389"/>
      <c r="EVH56" s="389"/>
      <c r="EVQ56" s="389"/>
      <c r="EVR56" s="389"/>
      <c r="EWA56" s="389"/>
      <c r="EWB56" s="389"/>
      <c r="EWK56" s="389"/>
      <c r="EWL56" s="389"/>
      <c r="EWU56" s="389"/>
      <c r="EWV56" s="389"/>
      <c r="EXE56" s="389"/>
      <c r="EXF56" s="389"/>
      <c r="EXO56" s="389"/>
      <c r="EXP56" s="389"/>
      <c r="EXY56" s="389"/>
      <c r="EXZ56" s="389"/>
      <c r="EYI56" s="389"/>
      <c r="EYJ56" s="389"/>
      <c r="EYS56" s="389"/>
      <c r="EYT56" s="389"/>
      <c r="EZC56" s="389"/>
      <c r="EZD56" s="389"/>
      <c r="EZM56" s="389"/>
      <c r="EZN56" s="389"/>
      <c r="EZW56" s="389"/>
      <c r="EZX56" s="389"/>
      <c r="FAG56" s="389"/>
      <c r="FAH56" s="389"/>
      <c r="FAQ56" s="389"/>
      <c r="FAR56" s="389"/>
      <c r="FBA56" s="389"/>
      <c r="FBB56" s="389"/>
      <c r="FBK56" s="389"/>
      <c r="FBL56" s="389"/>
      <c r="FBU56" s="389"/>
      <c r="FBV56" s="389"/>
      <c r="FCE56" s="389"/>
      <c r="FCF56" s="389"/>
      <c r="FCO56" s="389"/>
      <c r="FCP56" s="389"/>
      <c r="FCY56" s="389"/>
      <c r="FCZ56" s="389"/>
      <c r="FDI56" s="389"/>
      <c r="FDJ56" s="389"/>
      <c r="FDS56" s="389"/>
      <c r="FDT56" s="389"/>
      <c r="FEC56" s="389"/>
      <c r="FED56" s="389"/>
      <c r="FEM56" s="389"/>
      <c r="FEN56" s="389"/>
      <c r="FEW56" s="389"/>
      <c r="FEX56" s="389"/>
      <c r="FFG56" s="389"/>
      <c r="FFH56" s="389"/>
      <c r="FFQ56" s="389"/>
      <c r="FFR56" s="389"/>
      <c r="FGA56" s="389"/>
      <c r="FGB56" s="389"/>
      <c r="FGK56" s="389"/>
      <c r="FGL56" s="389"/>
      <c r="FGU56" s="389"/>
      <c r="FGV56" s="389"/>
      <c r="FHE56" s="389"/>
      <c r="FHF56" s="389"/>
      <c r="FHO56" s="389"/>
      <c r="FHP56" s="389"/>
      <c r="FHY56" s="389"/>
      <c r="FHZ56" s="389"/>
      <c r="FII56" s="389"/>
      <c r="FIJ56" s="389"/>
      <c r="FIS56" s="389"/>
      <c r="FIT56" s="389"/>
      <c r="FJC56" s="389"/>
      <c r="FJD56" s="389"/>
      <c r="FJM56" s="389"/>
      <c r="FJN56" s="389"/>
      <c r="FJW56" s="389"/>
      <c r="FJX56" s="389"/>
      <c r="FKG56" s="389"/>
      <c r="FKH56" s="389"/>
      <c r="FKQ56" s="389"/>
      <c r="FKR56" s="389"/>
      <c r="FLA56" s="389"/>
      <c r="FLB56" s="389"/>
      <c r="FLK56" s="389"/>
      <c r="FLL56" s="389"/>
      <c r="FLU56" s="389"/>
      <c r="FLV56" s="389"/>
      <c r="FME56" s="389"/>
      <c r="FMF56" s="389"/>
      <c r="FMO56" s="389"/>
      <c r="FMP56" s="389"/>
      <c r="FMY56" s="389"/>
      <c r="FMZ56" s="389"/>
      <c r="FNI56" s="389"/>
      <c r="FNJ56" s="389"/>
      <c r="FNS56" s="389"/>
      <c r="FNT56" s="389"/>
      <c r="FOC56" s="389"/>
      <c r="FOD56" s="389"/>
      <c r="FOM56" s="389"/>
      <c r="FON56" s="389"/>
      <c r="FOW56" s="389"/>
      <c r="FOX56" s="389"/>
      <c r="FPG56" s="389"/>
      <c r="FPH56" s="389"/>
      <c r="FPQ56" s="389"/>
      <c r="FPR56" s="389"/>
      <c r="FQA56" s="389"/>
      <c r="FQB56" s="389"/>
      <c r="FQK56" s="389"/>
      <c r="FQL56" s="389"/>
      <c r="FQU56" s="389"/>
      <c r="FQV56" s="389"/>
      <c r="FRE56" s="389"/>
      <c r="FRF56" s="389"/>
      <c r="FRO56" s="389"/>
      <c r="FRP56" s="389"/>
      <c r="FRY56" s="389"/>
      <c r="FRZ56" s="389"/>
      <c r="FSI56" s="389"/>
      <c r="FSJ56" s="389"/>
      <c r="FSS56" s="389"/>
      <c r="FST56" s="389"/>
      <c r="FTC56" s="389"/>
      <c r="FTD56" s="389"/>
      <c r="FTM56" s="389"/>
      <c r="FTN56" s="389"/>
      <c r="FTW56" s="389"/>
      <c r="FTX56" s="389"/>
      <c r="FUG56" s="389"/>
      <c r="FUH56" s="389"/>
      <c r="FUQ56" s="389"/>
      <c r="FUR56" s="389"/>
      <c r="FVA56" s="389"/>
      <c r="FVB56" s="389"/>
      <c r="FVK56" s="389"/>
      <c r="FVL56" s="389"/>
      <c r="FVU56" s="389"/>
      <c r="FVV56" s="389"/>
      <c r="FWE56" s="389"/>
      <c r="FWF56" s="389"/>
      <c r="FWO56" s="389"/>
      <c r="FWP56" s="389"/>
      <c r="FWY56" s="389"/>
      <c r="FWZ56" s="389"/>
      <c r="FXI56" s="389"/>
      <c r="FXJ56" s="389"/>
      <c r="FXS56" s="389"/>
      <c r="FXT56" s="389"/>
      <c r="FYC56" s="389"/>
      <c r="FYD56" s="389"/>
      <c r="FYM56" s="389"/>
      <c r="FYN56" s="389"/>
      <c r="FYW56" s="389"/>
      <c r="FYX56" s="389"/>
      <c r="FZG56" s="389"/>
      <c r="FZH56" s="389"/>
      <c r="FZQ56" s="389"/>
      <c r="FZR56" s="389"/>
      <c r="GAA56" s="389"/>
      <c r="GAB56" s="389"/>
      <c r="GAK56" s="389"/>
      <c r="GAL56" s="389"/>
      <c r="GAU56" s="389"/>
      <c r="GAV56" s="389"/>
      <c r="GBE56" s="389"/>
      <c r="GBF56" s="389"/>
      <c r="GBO56" s="389"/>
      <c r="GBP56" s="389"/>
      <c r="GBY56" s="389"/>
      <c r="GBZ56" s="389"/>
      <c r="GCI56" s="389"/>
      <c r="GCJ56" s="389"/>
      <c r="GCS56" s="389"/>
      <c r="GCT56" s="389"/>
      <c r="GDC56" s="389"/>
      <c r="GDD56" s="389"/>
      <c r="GDM56" s="389"/>
      <c r="GDN56" s="389"/>
      <c r="GDW56" s="389"/>
      <c r="GDX56" s="389"/>
      <c r="GEG56" s="389"/>
      <c r="GEH56" s="389"/>
      <c r="GEQ56" s="389"/>
      <c r="GER56" s="389"/>
      <c r="GFA56" s="389"/>
      <c r="GFB56" s="389"/>
      <c r="GFK56" s="389"/>
      <c r="GFL56" s="389"/>
      <c r="GFU56" s="389"/>
      <c r="GFV56" s="389"/>
      <c r="GGE56" s="389"/>
      <c r="GGF56" s="389"/>
      <c r="GGO56" s="389"/>
      <c r="GGP56" s="389"/>
      <c r="GGY56" s="389"/>
      <c r="GGZ56" s="389"/>
      <c r="GHI56" s="389"/>
      <c r="GHJ56" s="389"/>
      <c r="GHS56" s="389"/>
      <c r="GHT56" s="389"/>
      <c r="GIC56" s="389"/>
      <c r="GID56" s="389"/>
      <c r="GIM56" s="389"/>
      <c r="GIN56" s="389"/>
      <c r="GIW56" s="389"/>
      <c r="GIX56" s="389"/>
      <c r="GJG56" s="389"/>
      <c r="GJH56" s="389"/>
      <c r="GJQ56" s="389"/>
      <c r="GJR56" s="389"/>
      <c r="GKA56" s="389"/>
      <c r="GKB56" s="389"/>
      <c r="GKK56" s="389"/>
      <c r="GKL56" s="389"/>
      <c r="GKU56" s="389"/>
      <c r="GKV56" s="389"/>
      <c r="GLE56" s="389"/>
      <c r="GLF56" s="389"/>
      <c r="GLO56" s="389"/>
      <c r="GLP56" s="389"/>
      <c r="GLY56" s="389"/>
      <c r="GLZ56" s="389"/>
      <c r="GMI56" s="389"/>
      <c r="GMJ56" s="389"/>
      <c r="GMS56" s="389"/>
      <c r="GMT56" s="389"/>
      <c r="GNC56" s="389"/>
      <c r="GND56" s="389"/>
      <c r="GNM56" s="389"/>
      <c r="GNN56" s="389"/>
      <c r="GNW56" s="389"/>
      <c r="GNX56" s="389"/>
      <c r="GOG56" s="389"/>
      <c r="GOH56" s="389"/>
      <c r="GOQ56" s="389"/>
      <c r="GOR56" s="389"/>
      <c r="GPA56" s="389"/>
      <c r="GPB56" s="389"/>
      <c r="GPK56" s="389"/>
      <c r="GPL56" s="389"/>
      <c r="GPU56" s="389"/>
      <c r="GPV56" s="389"/>
      <c r="GQE56" s="389"/>
      <c r="GQF56" s="389"/>
      <c r="GQO56" s="389"/>
      <c r="GQP56" s="389"/>
      <c r="GQY56" s="389"/>
      <c r="GQZ56" s="389"/>
      <c r="GRI56" s="389"/>
      <c r="GRJ56" s="389"/>
      <c r="GRS56" s="389"/>
      <c r="GRT56" s="389"/>
      <c r="GSC56" s="389"/>
      <c r="GSD56" s="389"/>
      <c r="GSM56" s="389"/>
      <c r="GSN56" s="389"/>
      <c r="GSW56" s="389"/>
      <c r="GSX56" s="389"/>
      <c r="GTG56" s="389"/>
      <c r="GTH56" s="389"/>
      <c r="GTQ56" s="389"/>
      <c r="GTR56" s="389"/>
      <c r="GUA56" s="389"/>
      <c r="GUB56" s="389"/>
      <c r="GUK56" s="389"/>
      <c r="GUL56" s="389"/>
      <c r="GUU56" s="389"/>
      <c r="GUV56" s="389"/>
      <c r="GVE56" s="389"/>
      <c r="GVF56" s="389"/>
      <c r="GVO56" s="389"/>
      <c r="GVP56" s="389"/>
      <c r="GVY56" s="389"/>
      <c r="GVZ56" s="389"/>
      <c r="GWI56" s="389"/>
      <c r="GWJ56" s="389"/>
      <c r="GWS56" s="389"/>
      <c r="GWT56" s="389"/>
      <c r="GXC56" s="389"/>
      <c r="GXD56" s="389"/>
      <c r="GXM56" s="389"/>
      <c r="GXN56" s="389"/>
      <c r="GXW56" s="389"/>
      <c r="GXX56" s="389"/>
      <c r="GYG56" s="389"/>
      <c r="GYH56" s="389"/>
      <c r="GYQ56" s="389"/>
      <c r="GYR56" s="389"/>
      <c r="GZA56" s="389"/>
      <c r="GZB56" s="389"/>
      <c r="GZK56" s="389"/>
      <c r="GZL56" s="389"/>
      <c r="GZU56" s="389"/>
      <c r="GZV56" s="389"/>
      <c r="HAE56" s="389"/>
      <c r="HAF56" s="389"/>
      <c r="HAO56" s="389"/>
      <c r="HAP56" s="389"/>
      <c r="HAY56" s="389"/>
      <c r="HAZ56" s="389"/>
      <c r="HBI56" s="389"/>
      <c r="HBJ56" s="389"/>
      <c r="HBS56" s="389"/>
      <c r="HBT56" s="389"/>
      <c r="HCC56" s="389"/>
      <c r="HCD56" s="389"/>
      <c r="HCM56" s="389"/>
      <c r="HCN56" s="389"/>
      <c r="HCW56" s="389"/>
      <c r="HCX56" s="389"/>
      <c r="HDG56" s="389"/>
      <c r="HDH56" s="389"/>
      <c r="HDQ56" s="389"/>
      <c r="HDR56" s="389"/>
      <c r="HEA56" s="389"/>
      <c r="HEB56" s="389"/>
      <c r="HEK56" s="389"/>
      <c r="HEL56" s="389"/>
      <c r="HEU56" s="389"/>
      <c r="HEV56" s="389"/>
      <c r="HFE56" s="389"/>
      <c r="HFF56" s="389"/>
      <c r="HFO56" s="389"/>
      <c r="HFP56" s="389"/>
      <c r="HFY56" s="389"/>
      <c r="HFZ56" s="389"/>
      <c r="HGI56" s="389"/>
      <c r="HGJ56" s="389"/>
      <c r="HGS56" s="389"/>
      <c r="HGT56" s="389"/>
      <c r="HHC56" s="389"/>
      <c r="HHD56" s="389"/>
      <c r="HHM56" s="389"/>
      <c r="HHN56" s="389"/>
      <c r="HHW56" s="389"/>
      <c r="HHX56" s="389"/>
      <c r="HIG56" s="389"/>
      <c r="HIH56" s="389"/>
      <c r="HIQ56" s="389"/>
      <c r="HIR56" s="389"/>
      <c r="HJA56" s="389"/>
      <c r="HJB56" s="389"/>
      <c r="HJK56" s="389"/>
      <c r="HJL56" s="389"/>
      <c r="HJU56" s="389"/>
      <c r="HJV56" s="389"/>
      <c r="HKE56" s="389"/>
      <c r="HKF56" s="389"/>
      <c r="HKO56" s="389"/>
      <c r="HKP56" s="389"/>
      <c r="HKY56" s="389"/>
      <c r="HKZ56" s="389"/>
      <c r="HLI56" s="389"/>
      <c r="HLJ56" s="389"/>
      <c r="HLS56" s="389"/>
      <c r="HLT56" s="389"/>
      <c r="HMC56" s="389"/>
      <c r="HMD56" s="389"/>
      <c r="HMM56" s="389"/>
      <c r="HMN56" s="389"/>
      <c r="HMW56" s="389"/>
      <c r="HMX56" s="389"/>
      <c r="HNG56" s="389"/>
      <c r="HNH56" s="389"/>
      <c r="HNQ56" s="389"/>
      <c r="HNR56" s="389"/>
      <c r="HOA56" s="389"/>
      <c r="HOB56" s="389"/>
      <c r="HOK56" s="389"/>
      <c r="HOL56" s="389"/>
      <c r="HOU56" s="389"/>
      <c r="HOV56" s="389"/>
      <c r="HPE56" s="389"/>
      <c r="HPF56" s="389"/>
      <c r="HPO56" s="389"/>
      <c r="HPP56" s="389"/>
      <c r="HPY56" s="389"/>
      <c r="HPZ56" s="389"/>
      <c r="HQI56" s="389"/>
      <c r="HQJ56" s="389"/>
      <c r="HQS56" s="389"/>
      <c r="HQT56" s="389"/>
      <c r="HRC56" s="389"/>
      <c r="HRD56" s="389"/>
      <c r="HRM56" s="389"/>
      <c r="HRN56" s="389"/>
      <c r="HRW56" s="389"/>
      <c r="HRX56" s="389"/>
      <c r="HSG56" s="389"/>
      <c r="HSH56" s="389"/>
      <c r="HSQ56" s="389"/>
      <c r="HSR56" s="389"/>
      <c r="HTA56" s="389"/>
      <c r="HTB56" s="389"/>
      <c r="HTK56" s="389"/>
      <c r="HTL56" s="389"/>
      <c r="HTU56" s="389"/>
      <c r="HTV56" s="389"/>
      <c r="HUE56" s="389"/>
      <c r="HUF56" s="389"/>
      <c r="HUO56" s="389"/>
      <c r="HUP56" s="389"/>
      <c r="HUY56" s="389"/>
      <c r="HUZ56" s="389"/>
      <c r="HVI56" s="389"/>
      <c r="HVJ56" s="389"/>
      <c r="HVS56" s="389"/>
      <c r="HVT56" s="389"/>
      <c r="HWC56" s="389"/>
      <c r="HWD56" s="389"/>
      <c r="HWM56" s="389"/>
      <c r="HWN56" s="389"/>
      <c r="HWW56" s="389"/>
      <c r="HWX56" s="389"/>
      <c r="HXG56" s="389"/>
      <c r="HXH56" s="389"/>
      <c r="HXQ56" s="389"/>
      <c r="HXR56" s="389"/>
      <c r="HYA56" s="389"/>
      <c r="HYB56" s="389"/>
      <c r="HYK56" s="389"/>
      <c r="HYL56" s="389"/>
      <c r="HYU56" s="389"/>
      <c r="HYV56" s="389"/>
      <c r="HZE56" s="389"/>
      <c r="HZF56" s="389"/>
      <c r="HZO56" s="389"/>
      <c r="HZP56" s="389"/>
      <c r="HZY56" s="389"/>
      <c r="HZZ56" s="389"/>
      <c r="IAI56" s="389"/>
      <c r="IAJ56" s="389"/>
      <c r="IAS56" s="389"/>
      <c r="IAT56" s="389"/>
      <c r="IBC56" s="389"/>
      <c r="IBD56" s="389"/>
      <c r="IBM56" s="389"/>
      <c r="IBN56" s="389"/>
      <c r="IBW56" s="389"/>
      <c r="IBX56" s="389"/>
      <c r="ICG56" s="389"/>
      <c r="ICH56" s="389"/>
      <c r="ICQ56" s="389"/>
      <c r="ICR56" s="389"/>
      <c r="IDA56" s="389"/>
      <c r="IDB56" s="389"/>
      <c r="IDK56" s="389"/>
      <c r="IDL56" s="389"/>
      <c r="IDU56" s="389"/>
      <c r="IDV56" s="389"/>
      <c r="IEE56" s="389"/>
      <c r="IEF56" s="389"/>
      <c r="IEO56" s="389"/>
      <c r="IEP56" s="389"/>
      <c r="IEY56" s="389"/>
      <c r="IEZ56" s="389"/>
      <c r="IFI56" s="389"/>
      <c r="IFJ56" s="389"/>
      <c r="IFS56" s="389"/>
      <c r="IFT56" s="389"/>
      <c r="IGC56" s="389"/>
      <c r="IGD56" s="389"/>
      <c r="IGM56" s="389"/>
      <c r="IGN56" s="389"/>
      <c r="IGW56" s="389"/>
      <c r="IGX56" s="389"/>
      <c r="IHG56" s="389"/>
      <c r="IHH56" s="389"/>
      <c r="IHQ56" s="389"/>
      <c r="IHR56" s="389"/>
      <c r="IIA56" s="389"/>
      <c r="IIB56" s="389"/>
      <c r="IIK56" s="389"/>
      <c r="IIL56" s="389"/>
      <c r="IIU56" s="389"/>
      <c r="IIV56" s="389"/>
      <c r="IJE56" s="389"/>
      <c r="IJF56" s="389"/>
      <c r="IJO56" s="389"/>
      <c r="IJP56" s="389"/>
      <c r="IJY56" s="389"/>
      <c r="IJZ56" s="389"/>
      <c r="IKI56" s="389"/>
      <c r="IKJ56" s="389"/>
      <c r="IKS56" s="389"/>
      <c r="IKT56" s="389"/>
      <c r="ILC56" s="389"/>
      <c r="ILD56" s="389"/>
      <c r="ILM56" s="389"/>
      <c r="ILN56" s="389"/>
      <c r="ILW56" s="389"/>
      <c r="ILX56" s="389"/>
      <c r="IMG56" s="389"/>
      <c r="IMH56" s="389"/>
      <c r="IMQ56" s="389"/>
      <c r="IMR56" s="389"/>
      <c r="INA56" s="389"/>
      <c r="INB56" s="389"/>
      <c r="INK56" s="389"/>
      <c r="INL56" s="389"/>
      <c r="INU56" s="389"/>
      <c r="INV56" s="389"/>
      <c r="IOE56" s="389"/>
      <c r="IOF56" s="389"/>
      <c r="IOO56" s="389"/>
      <c r="IOP56" s="389"/>
      <c r="IOY56" s="389"/>
      <c r="IOZ56" s="389"/>
      <c r="IPI56" s="389"/>
      <c r="IPJ56" s="389"/>
      <c r="IPS56" s="389"/>
      <c r="IPT56" s="389"/>
      <c r="IQC56" s="389"/>
      <c r="IQD56" s="389"/>
      <c r="IQM56" s="389"/>
      <c r="IQN56" s="389"/>
      <c r="IQW56" s="389"/>
      <c r="IQX56" s="389"/>
      <c r="IRG56" s="389"/>
      <c r="IRH56" s="389"/>
      <c r="IRQ56" s="389"/>
      <c r="IRR56" s="389"/>
      <c r="ISA56" s="389"/>
      <c r="ISB56" s="389"/>
      <c r="ISK56" s="389"/>
      <c r="ISL56" s="389"/>
      <c r="ISU56" s="389"/>
      <c r="ISV56" s="389"/>
      <c r="ITE56" s="389"/>
      <c r="ITF56" s="389"/>
      <c r="ITO56" s="389"/>
      <c r="ITP56" s="389"/>
      <c r="ITY56" s="389"/>
      <c r="ITZ56" s="389"/>
      <c r="IUI56" s="389"/>
      <c r="IUJ56" s="389"/>
      <c r="IUS56" s="389"/>
      <c r="IUT56" s="389"/>
      <c r="IVC56" s="389"/>
      <c r="IVD56" s="389"/>
      <c r="IVM56" s="389"/>
      <c r="IVN56" s="389"/>
      <c r="IVW56" s="389"/>
      <c r="IVX56" s="389"/>
      <c r="IWG56" s="389"/>
      <c r="IWH56" s="389"/>
      <c r="IWQ56" s="389"/>
      <c r="IWR56" s="389"/>
      <c r="IXA56" s="389"/>
      <c r="IXB56" s="389"/>
      <c r="IXK56" s="389"/>
      <c r="IXL56" s="389"/>
      <c r="IXU56" s="389"/>
      <c r="IXV56" s="389"/>
      <c r="IYE56" s="389"/>
      <c r="IYF56" s="389"/>
      <c r="IYO56" s="389"/>
      <c r="IYP56" s="389"/>
      <c r="IYY56" s="389"/>
      <c r="IYZ56" s="389"/>
      <c r="IZI56" s="389"/>
      <c r="IZJ56" s="389"/>
      <c r="IZS56" s="389"/>
      <c r="IZT56" s="389"/>
      <c r="JAC56" s="389"/>
      <c r="JAD56" s="389"/>
      <c r="JAM56" s="389"/>
      <c r="JAN56" s="389"/>
      <c r="JAW56" s="389"/>
      <c r="JAX56" s="389"/>
      <c r="JBG56" s="389"/>
      <c r="JBH56" s="389"/>
      <c r="JBQ56" s="389"/>
      <c r="JBR56" s="389"/>
      <c r="JCA56" s="389"/>
      <c r="JCB56" s="389"/>
      <c r="JCK56" s="389"/>
      <c r="JCL56" s="389"/>
      <c r="JCU56" s="389"/>
      <c r="JCV56" s="389"/>
      <c r="JDE56" s="389"/>
      <c r="JDF56" s="389"/>
      <c r="JDO56" s="389"/>
      <c r="JDP56" s="389"/>
      <c r="JDY56" s="389"/>
      <c r="JDZ56" s="389"/>
      <c r="JEI56" s="389"/>
      <c r="JEJ56" s="389"/>
      <c r="JES56" s="389"/>
      <c r="JET56" s="389"/>
      <c r="JFC56" s="389"/>
      <c r="JFD56" s="389"/>
      <c r="JFM56" s="389"/>
      <c r="JFN56" s="389"/>
      <c r="JFW56" s="389"/>
      <c r="JFX56" s="389"/>
      <c r="JGG56" s="389"/>
      <c r="JGH56" s="389"/>
      <c r="JGQ56" s="389"/>
      <c r="JGR56" s="389"/>
      <c r="JHA56" s="389"/>
      <c r="JHB56" s="389"/>
      <c r="JHK56" s="389"/>
      <c r="JHL56" s="389"/>
      <c r="JHU56" s="389"/>
      <c r="JHV56" s="389"/>
      <c r="JIE56" s="389"/>
      <c r="JIF56" s="389"/>
      <c r="JIO56" s="389"/>
      <c r="JIP56" s="389"/>
      <c r="JIY56" s="389"/>
      <c r="JIZ56" s="389"/>
      <c r="JJI56" s="389"/>
      <c r="JJJ56" s="389"/>
      <c r="JJS56" s="389"/>
      <c r="JJT56" s="389"/>
      <c r="JKC56" s="389"/>
      <c r="JKD56" s="389"/>
      <c r="JKM56" s="389"/>
      <c r="JKN56" s="389"/>
      <c r="JKW56" s="389"/>
      <c r="JKX56" s="389"/>
      <c r="JLG56" s="389"/>
      <c r="JLH56" s="389"/>
      <c r="JLQ56" s="389"/>
      <c r="JLR56" s="389"/>
      <c r="JMA56" s="389"/>
      <c r="JMB56" s="389"/>
      <c r="JMK56" s="389"/>
      <c r="JML56" s="389"/>
      <c r="JMU56" s="389"/>
      <c r="JMV56" s="389"/>
      <c r="JNE56" s="389"/>
      <c r="JNF56" s="389"/>
      <c r="JNO56" s="389"/>
      <c r="JNP56" s="389"/>
      <c r="JNY56" s="389"/>
      <c r="JNZ56" s="389"/>
      <c r="JOI56" s="389"/>
      <c r="JOJ56" s="389"/>
      <c r="JOS56" s="389"/>
      <c r="JOT56" s="389"/>
      <c r="JPC56" s="389"/>
      <c r="JPD56" s="389"/>
      <c r="JPM56" s="389"/>
      <c r="JPN56" s="389"/>
      <c r="JPW56" s="389"/>
      <c r="JPX56" s="389"/>
      <c r="JQG56" s="389"/>
      <c r="JQH56" s="389"/>
      <c r="JQQ56" s="389"/>
      <c r="JQR56" s="389"/>
      <c r="JRA56" s="389"/>
      <c r="JRB56" s="389"/>
      <c r="JRK56" s="389"/>
      <c r="JRL56" s="389"/>
      <c r="JRU56" s="389"/>
      <c r="JRV56" s="389"/>
      <c r="JSE56" s="389"/>
      <c r="JSF56" s="389"/>
      <c r="JSO56" s="389"/>
      <c r="JSP56" s="389"/>
      <c r="JSY56" s="389"/>
      <c r="JSZ56" s="389"/>
      <c r="JTI56" s="389"/>
      <c r="JTJ56" s="389"/>
      <c r="JTS56" s="389"/>
      <c r="JTT56" s="389"/>
      <c r="JUC56" s="389"/>
      <c r="JUD56" s="389"/>
      <c r="JUM56" s="389"/>
      <c r="JUN56" s="389"/>
      <c r="JUW56" s="389"/>
      <c r="JUX56" s="389"/>
      <c r="JVG56" s="389"/>
      <c r="JVH56" s="389"/>
      <c r="JVQ56" s="389"/>
      <c r="JVR56" s="389"/>
      <c r="JWA56" s="389"/>
      <c r="JWB56" s="389"/>
      <c r="JWK56" s="389"/>
      <c r="JWL56" s="389"/>
      <c r="JWU56" s="389"/>
      <c r="JWV56" s="389"/>
      <c r="JXE56" s="389"/>
      <c r="JXF56" s="389"/>
      <c r="JXO56" s="389"/>
      <c r="JXP56" s="389"/>
      <c r="JXY56" s="389"/>
      <c r="JXZ56" s="389"/>
      <c r="JYI56" s="389"/>
      <c r="JYJ56" s="389"/>
      <c r="JYS56" s="389"/>
      <c r="JYT56" s="389"/>
      <c r="JZC56" s="389"/>
      <c r="JZD56" s="389"/>
      <c r="JZM56" s="389"/>
      <c r="JZN56" s="389"/>
      <c r="JZW56" s="389"/>
      <c r="JZX56" s="389"/>
      <c r="KAG56" s="389"/>
      <c r="KAH56" s="389"/>
      <c r="KAQ56" s="389"/>
      <c r="KAR56" s="389"/>
      <c r="KBA56" s="389"/>
      <c r="KBB56" s="389"/>
      <c r="KBK56" s="389"/>
      <c r="KBL56" s="389"/>
      <c r="KBU56" s="389"/>
      <c r="KBV56" s="389"/>
      <c r="KCE56" s="389"/>
      <c r="KCF56" s="389"/>
      <c r="KCO56" s="389"/>
      <c r="KCP56" s="389"/>
      <c r="KCY56" s="389"/>
      <c r="KCZ56" s="389"/>
      <c r="KDI56" s="389"/>
      <c r="KDJ56" s="389"/>
      <c r="KDS56" s="389"/>
      <c r="KDT56" s="389"/>
      <c r="KEC56" s="389"/>
      <c r="KED56" s="389"/>
      <c r="KEM56" s="389"/>
      <c r="KEN56" s="389"/>
      <c r="KEW56" s="389"/>
      <c r="KEX56" s="389"/>
      <c r="KFG56" s="389"/>
      <c r="KFH56" s="389"/>
      <c r="KFQ56" s="389"/>
      <c r="KFR56" s="389"/>
      <c r="KGA56" s="389"/>
      <c r="KGB56" s="389"/>
      <c r="KGK56" s="389"/>
      <c r="KGL56" s="389"/>
      <c r="KGU56" s="389"/>
      <c r="KGV56" s="389"/>
      <c r="KHE56" s="389"/>
      <c r="KHF56" s="389"/>
      <c r="KHO56" s="389"/>
      <c r="KHP56" s="389"/>
      <c r="KHY56" s="389"/>
      <c r="KHZ56" s="389"/>
      <c r="KII56" s="389"/>
      <c r="KIJ56" s="389"/>
      <c r="KIS56" s="389"/>
      <c r="KIT56" s="389"/>
      <c r="KJC56" s="389"/>
      <c r="KJD56" s="389"/>
      <c r="KJM56" s="389"/>
      <c r="KJN56" s="389"/>
      <c r="KJW56" s="389"/>
      <c r="KJX56" s="389"/>
      <c r="KKG56" s="389"/>
      <c r="KKH56" s="389"/>
      <c r="KKQ56" s="389"/>
      <c r="KKR56" s="389"/>
      <c r="KLA56" s="389"/>
      <c r="KLB56" s="389"/>
      <c r="KLK56" s="389"/>
      <c r="KLL56" s="389"/>
      <c r="KLU56" s="389"/>
      <c r="KLV56" s="389"/>
      <c r="KME56" s="389"/>
      <c r="KMF56" s="389"/>
      <c r="KMO56" s="389"/>
      <c r="KMP56" s="389"/>
      <c r="KMY56" s="389"/>
      <c r="KMZ56" s="389"/>
      <c r="KNI56" s="389"/>
      <c r="KNJ56" s="389"/>
      <c r="KNS56" s="389"/>
      <c r="KNT56" s="389"/>
      <c r="KOC56" s="389"/>
      <c r="KOD56" s="389"/>
      <c r="KOM56" s="389"/>
      <c r="KON56" s="389"/>
      <c r="KOW56" s="389"/>
      <c r="KOX56" s="389"/>
      <c r="KPG56" s="389"/>
      <c r="KPH56" s="389"/>
      <c r="KPQ56" s="389"/>
      <c r="KPR56" s="389"/>
      <c r="KQA56" s="389"/>
      <c r="KQB56" s="389"/>
      <c r="KQK56" s="389"/>
      <c r="KQL56" s="389"/>
      <c r="KQU56" s="389"/>
      <c r="KQV56" s="389"/>
      <c r="KRE56" s="389"/>
      <c r="KRF56" s="389"/>
      <c r="KRO56" s="389"/>
      <c r="KRP56" s="389"/>
      <c r="KRY56" s="389"/>
      <c r="KRZ56" s="389"/>
      <c r="KSI56" s="389"/>
      <c r="KSJ56" s="389"/>
      <c r="KSS56" s="389"/>
      <c r="KST56" s="389"/>
      <c r="KTC56" s="389"/>
      <c r="KTD56" s="389"/>
      <c r="KTM56" s="389"/>
      <c r="KTN56" s="389"/>
      <c r="KTW56" s="389"/>
      <c r="KTX56" s="389"/>
      <c r="KUG56" s="389"/>
      <c r="KUH56" s="389"/>
      <c r="KUQ56" s="389"/>
      <c r="KUR56" s="389"/>
      <c r="KVA56" s="389"/>
      <c r="KVB56" s="389"/>
      <c r="KVK56" s="389"/>
      <c r="KVL56" s="389"/>
      <c r="KVU56" s="389"/>
      <c r="KVV56" s="389"/>
      <c r="KWE56" s="389"/>
      <c r="KWF56" s="389"/>
      <c r="KWO56" s="389"/>
      <c r="KWP56" s="389"/>
      <c r="KWY56" s="389"/>
      <c r="KWZ56" s="389"/>
      <c r="KXI56" s="389"/>
      <c r="KXJ56" s="389"/>
      <c r="KXS56" s="389"/>
      <c r="KXT56" s="389"/>
      <c r="KYC56" s="389"/>
      <c r="KYD56" s="389"/>
      <c r="KYM56" s="389"/>
      <c r="KYN56" s="389"/>
      <c r="KYW56" s="389"/>
      <c r="KYX56" s="389"/>
      <c r="KZG56" s="389"/>
      <c r="KZH56" s="389"/>
      <c r="KZQ56" s="389"/>
      <c r="KZR56" s="389"/>
      <c r="LAA56" s="389"/>
      <c r="LAB56" s="389"/>
      <c r="LAK56" s="389"/>
      <c r="LAL56" s="389"/>
      <c r="LAU56" s="389"/>
      <c r="LAV56" s="389"/>
      <c r="LBE56" s="389"/>
      <c r="LBF56" s="389"/>
      <c r="LBO56" s="389"/>
      <c r="LBP56" s="389"/>
      <c r="LBY56" s="389"/>
      <c r="LBZ56" s="389"/>
      <c r="LCI56" s="389"/>
      <c r="LCJ56" s="389"/>
      <c r="LCS56" s="389"/>
      <c r="LCT56" s="389"/>
      <c r="LDC56" s="389"/>
      <c r="LDD56" s="389"/>
      <c r="LDM56" s="389"/>
      <c r="LDN56" s="389"/>
      <c r="LDW56" s="389"/>
      <c r="LDX56" s="389"/>
      <c r="LEG56" s="389"/>
      <c r="LEH56" s="389"/>
      <c r="LEQ56" s="389"/>
      <c r="LER56" s="389"/>
      <c r="LFA56" s="389"/>
      <c r="LFB56" s="389"/>
      <c r="LFK56" s="389"/>
      <c r="LFL56" s="389"/>
      <c r="LFU56" s="389"/>
      <c r="LFV56" s="389"/>
      <c r="LGE56" s="389"/>
      <c r="LGF56" s="389"/>
      <c r="LGO56" s="389"/>
      <c r="LGP56" s="389"/>
      <c r="LGY56" s="389"/>
      <c r="LGZ56" s="389"/>
      <c r="LHI56" s="389"/>
      <c r="LHJ56" s="389"/>
      <c r="LHS56" s="389"/>
      <c r="LHT56" s="389"/>
      <c r="LIC56" s="389"/>
      <c r="LID56" s="389"/>
      <c r="LIM56" s="389"/>
      <c r="LIN56" s="389"/>
      <c r="LIW56" s="389"/>
      <c r="LIX56" s="389"/>
      <c r="LJG56" s="389"/>
      <c r="LJH56" s="389"/>
      <c r="LJQ56" s="389"/>
      <c r="LJR56" s="389"/>
      <c r="LKA56" s="389"/>
      <c r="LKB56" s="389"/>
      <c r="LKK56" s="389"/>
      <c r="LKL56" s="389"/>
      <c r="LKU56" s="389"/>
      <c r="LKV56" s="389"/>
      <c r="LLE56" s="389"/>
      <c r="LLF56" s="389"/>
      <c r="LLO56" s="389"/>
      <c r="LLP56" s="389"/>
      <c r="LLY56" s="389"/>
      <c r="LLZ56" s="389"/>
      <c r="LMI56" s="389"/>
      <c r="LMJ56" s="389"/>
      <c r="LMS56" s="389"/>
      <c r="LMT56" s="389"/>
      <c r="LNC56" s="389"/>
      <c r="LND56" s="389"/>
      <c r="LNM56" s="389"/>
      <c r="LNN56" s="389"/>
      <c r="LNW56" s="389"/>
      <c r="LNX56" s="389"/>
      <c r="LOG56" s="389"/>
      <c r="LOH56" s="389"/>
      <c r="LOQ56" s="389"/>
      <c r="LOR56" s="389"/>
      <c r="LPA56" s="389"/>
      <c r="LPB56" s="389"/>
      <c r="LPK56" s="389"/>
      <c r="LPL56" s="389"/>
      <c r="LPU56" s="389"/>
      <c r="LPV56" s="389"/>
      <c r="LQE56" s="389"/>
      <c r="LQF56" s="389"/>
      <c r="LQO56" s="389"/>
      <c r="LQP56" s="389"/>
      <c r="LQY56" s="389"/>
      <c r="LQZ56" s="389"/>
      <c r="LRI56" s="389"/>
      <c r="LRJ56" s="389"/>
      <c r="LRS56" s="389"/>
      <c r="LRT56" s="389"/>
      <c r="LSC56" s="389"/>
      <c r="LSD56" s="389"/>
      <c r="LSM56" s="389"/>
      <c r="LSN56" s="389"/>
      <c r="LSW56" s="389"/>
      <c r="LSX56" s="389"/>
      <c r="LTG56" s="389"/>
      <c r="LTH56" s="389"/>
      <c r="LTQ56" s="389"/>
      <c r="LTR56" s="389"/>
      <c r="LUA56" s="389"/>
      <c r="LUB56" s="389"/>
      <c r="LUK56" s="389"/>
      <c r="LUL56" s="389"/>
      <c r="LUU56" s="389"/>
      <c r="LUV56" s="389"/>
      <c r="LVE56" s="389"/>
      <c r="LVF56" s="389"/>
      <c r="LVO56" s="389"/>
      <c r="LVP56" s="389"/>
      <c r="LVY56" s="389"/>
      <c r="LVZ56" s="389"/>
      <c r="LWI56" s="389"/>
      <c r="LWJ56" s="389"/>
      <c r="LWS56" s="389"/>
      <c r="LWT56" s="389"/>
      <c r="LXC56" s="389"/>
      <c r="LXD56" s="389"/>
      <c r="LXM56" s="389"/>
      <c r="LXN56" s="389"/>
      <c r="LXW56" s="389"/>
      <c r="LXX56" s="389"/>
      <c r="LYG56" s="389"/>
      <c r="LYH56" s="389"/>
      <c r="LYQ56" s="389"/>
      <c r="LYR56" s="389"/>
      <c r="LZA56" s="389"/>
      <c r="LZB56" s="389"/>
      <c r="LZK56" s="389"/>
      <c r="LZL56" s="389"/>
      <c r="LZU56" s="389"/>
      <c r="LZV56" s="389"/>
      <c r="MAE56" s="389"/>
      <c r="MAF56" s="389"/>
      <c r="MAO56" s="389"/>
      <c r="MAP56" s="389"/>
      <c r="MAY56" s="389"/>
      <c r="MAZ56" s="389"/>
      <c r="MBI56" s="389"/>
      <c r="MBJ56" s="389"/>
      <c r="MBS56" s="389"/>
      <c r="MBT56" s="389"/>
      <c r="MCC56" s="389"/>
      <c r="MCD56" s="389"/>
      <c r="MCM56" s="389"/>
      <c r="MCN56" s="389"/>
      <c r="MCW56" s="389"/>
      <c r="MCX56" s="389"/>
      <c r="MDG56" s="389"/>
      <c r="MDH56" s="389"/>
      <c r="MDQ56" s="389"/>
      <c r="MDR56" s="389"/>
      <c r="MEA56" s="389"/>
      <c r="MEB56" s="389"/>
      <c r="MEK56" s="389"/>
      <c r="MEL56" s="389"/>
      <c r="MEU56" s="389"/>
      <c r="MEV56" s="389"/>
      <c r="MFE56" s="389"/>
      <c r="MFF56" s="389"/>
      <c r="MFO56" s="389"/>
      <c r="MFP56" s="389"/>
      <c r="MFY56" s="389"/>
      <c r="MFZ56" s="389"/>
      <c r="MGI56" s="389"/>
      <c r="MGJ56" s="389"/>
      <c r="MGS56" s="389"/>
      <c r="MGT56" s="389"/>
      <c r="MHC56" s="389"/>
      <c r="MHD56" s="389"/>
      <c r="MHM56" s="389"/>
      <c r="MHN56" s="389"/>
      <c r="MHW56" s="389"/>
      <c r="MHX56" s="389"/>
      <c r="MIG56" s="389"/>
      <c r="MIH56" s="389"/>
      <c r="MIQ56" s="389"/>
      <c r="MIR56" s="389"/>
      <c r="MJA56" s="389"/>
      <c r="MJB56" s="389"/>
      <c r="MJK56" s="389"/>
      <c r="MJL56" s="389"/>
      <c r="MJU56" s="389"/>
      <c r="MJV56" s="389"/>
      <c r="MKE56" s="389"/>
      <c r="MKF56" s="389"/>
      <c r="MKO56" s="389"/>
      <c r="MKP56" s="389"/>
      <c r="MKY56" s="389"/>
      <c r="MKZ56" s="389"/>
      <c r="MLI56" s="389"/>
      <c r="MLJ56" s="389"/>
      <c r="MLS56" s="389"/>
      <c r="MLT56" s="389"/>
      <c r="MMC56" s="389"/>
      <c r="MMD56" s="389"/>
      <c r="MMM56" s="389"/>
      <c r="MMN56" s="389"/>
      <c r="MMW56" s="389"/>
      <c r="MMX56" s="389"/>
      <c r="MNG56" s="389"/>
      <c r="MNH56" s="389"/>
      <c r="MNQ56" s="389"/>
      <c r="MNR56" s="389"/>
      <c r="MOA56" s="389"/>
      <c r="MOB56" s="389"/>
      <c r="MOK56" s="389"/>
      <c r="MOL56" s="389"/>
      <c r="MOU56" s="389"/>
      <c r="MOV56" s="389"/>
      <c r="MPE56" s="389"/>
      <c r="MPF56" s="389"/>
      <c r="MPO56" s="389"/>
      <c r="MPP56" s="389"/>
      <c r="MPY56" s="389"/>
      <c r="MPZ56" s="389"/>
      <c r="MQI56" s="389"/>
      <c r="MQJ56" s="389"/>
      <c r="MQS56" s="389"/>
      <c r="MQT56" s="389"/>
      <c r="MRC56" s="389"/>
      <c r="MRD56" s="389"/>
      <c r="MRM56" s="389"/>
      <c r="MRN56" s="389"/>
      <c r="MRW56" s="389"/>
      <c r="MRX56" s="389"/>
      <c r="MSG56" s="389"/>
      <c r="MSH56" s="389"/>
      <c r="MSQ56" s="389"/>
      <c r="MSR56" s="389"/>
      <c r="MTA56" s="389"/>
      <c r="MTB56" s="389"/>
      <c r="MTK56" s="389"/>
      <c r="MTL56" s="389"/>
      <c r="MTU56" s="389"/>
      <c r="MTV56" s="389"/>
      <c r="MUE56" s="389"/>
      <c r="MUF56" s="389"/>
      <c r="MUO56" s="389"/>
      <c r="MUP56" s="389"/>
      <c r="MUY56" s="389"/>
      <c r="MUZ56" s="389"/>
      <c r="MVI56" s="389"/>
      <c r="MVJ56" s="389"/>
      <c r="MVS56" s="389"/>
      <c r="MVT56" s="389"/>
      <c r="MWC56" s="389"/>
      <c r="MWD56" s="389"/>
      <c r="MWM56" s="389"/>
      <c r="MWN56" s="389"/>
      <c r="MWW56" s="389"/>
      <c r="MWX56" s="389"/>
      <c r="MXG56" s="389"/>
      <c r="MXH56" s="389"/>
      <c r="MXQ56" s="389"/>
      <c r="MXR56" s="389"/>
      <c r="MYA56" s="389"/>
      <c r="MYB56" s="389"/>
      <c r="MYK56" s="389"/>
      <c r="MYL56" s="389"/>
      <c r="MYU56" s="389"/>
      <c r="MYV56" s="389"/>
      <c r="MZE56" s="389"/>
      <c r="MZF56" s="389"/>
      <c r="MZO56" s="389"/>
      <c r="MZP56" s="389"/>
      <c r="MZY56" s="389"/>
      <c r="MZZ56" s="389"/>
      <c r="NAI56" s="389"/>
      <c r="NAJ56" s="389"/>
      <c r="NAS56" s="389"/>
      <c r="NAT56" s="389"/>
      <c r="NBC56" s="389"/>
      <c r="NBD56" s="389"/>
      <c r="NBM56" s="389"/>
      <c r="NBN56" s="389"/>
      <c r="NBW56" s="389"/>
      <c r="NBX56" s="389"/>
      <c r="NCG56" s="389"/>
      <c r="NCH56" s="389"/>
      <c r="NCQ56" s="389"/>
      <c r="NCR56" s="389"/>
      <c r="NDA56" s="389"/>
      <c r="NDB56" s="389"/>
      <c r="NDK56" s="389"/>
      <c r="NDL56" s="389"/>
      <c r="NDU56" s="389"/>
      <c r="NDV56" s="389"/>
      <c r="NEE56" s="389"/>
      <c r="NEF56" s="389"/>
      <c r="NEO56" s="389"/>
      <c r="NEP56" s="389"/>
      <c r="NEY56" s="389"/>
      <c r="NEZ56" s="389"/>
      <c r="NFI56" s="389"/>
      <c r="NFJ56" s="389"/>
      <c r="NFS56" s="389"/>
      <c r="NFT56" s="389"/>
      <c r="NGC56" s="389"/>
      <c r="NGD56" s="389"/>
      <c r="NGM56" s="389"/>
      <c r="NGN56" s="389"/>
      <c r="NGW56" s="389"/>
      <c r="NGX56" s="389"/>
      <c r="NHG56" s="389"/>
      <c r="NHH56" s="389"/>
      <c r="NHQ56" s="389"/>
      <c r="NHR56" s="389"/>
      <c r="NIA56" s="389"/>
      <c r="NIB56" s="389"/>
      <c r="NIK56" s="389"/>
      <c r="NIL56" s="389"/>
      <c r="NIU56" s="389"/>
      <c r="NIV56" s="389"/>
      <c r="NJE56" s="389"/>
      <c r="NJF56" s="389"/>
      <c r="NJO56" s="389"/>
      <c r="NJP56" s="389"/>
      <c r="NJY56" s="389"/>
      <c r="NJZ56" s="389"/>
      <c r="NKI56" s="389"/>
      <c r="NKJ56" s="389"/>
      <c r="NKS56" s="389"/>
      <c r="NKT56" s="389"/>
      <c r="NLC56" s="389"/>
      <c r="NLD56" s="389"/>
      <c r="NLM56" s="389"/>
      <c r="NLN56" s="389"/>
      <c r="NLW56" s="389"/>
      <c r="NLX56" s="389"/>
      <c r="NMG56" s="389"/>
      <c r="NMH56" s="389"/>
      <c r="NMQ56" s="389"/>
      <c r="NMR56" s="389"/>
      <c r="NNA56" s="389"/>
      <c r="NNB56" s="389"/>
      <c r="NNK56" s="389"/>
      <c r="NNL56" s="389"/>
      <c r="NNU56" s="389"/>
      <c r="NNV56" s="389"/>
      <c r="NOE56" s="389"/>
      <c r="NOF56" s="389"/>
      <c r="NOO56" s="389"/>
      <c r="NOP56" s="389"/>
      <c r="NOY56" s="389"/>
      <c r="NOZ56" s="389"/>
      <c r="NPI56" s="389"/>
      <c r="NPJ56" s="389"/>
      <c r="NPS56" s="389"/>
      <c r="NPT56" s="389"/>
      <c r="NQC56" s="389"/>
      <c r="NQD56" s="389"/>
      <c r="NQM56" s="389"/>
      <c r="NQN56" s="389"/>
      <c r="NQW56" s="389"/>
      <c r="NQX56" s="389"/>
      <c r="NRG56" s="389"/>
      <c r="NRH56" s="389"/>
      <c r="NRQ56" s="389"/>
      <c r="NRR56" s="389"/>
      <c r="NSA56" s="389"/>
      <c r="NSB56" s="389"/>
      <c r="NSK56" s="389"/>
      <c r="NSL56" s="389"/>
      <c r="NSU56" s="389"/>
      <c r="NSV56" s="389"/>
      <c r="NTE56" s="389"/>
      <c r="NTF56" s="389"/>
      <c r="NTO56" s="389"/>
      <c r="NTP56" s="389"/>
      <c r="NTY56" s="389"/>
      <c r="NTZ56" s="389"/>
      <c r="NUI56" s="389"/>
      <c r="NUJ56" s="389"/>
      <c r="NUS56" s="389"/>
      <c r="NUT56" s="389"/>
      <c r="NVC56" s="389"/>
      <c r="NVD56" s="389"/>
      <c r="NVM56" s="389"/>
      <c r="NVN56" s="389"/>
      <c r="NVW56" s="389"/>
      <c r="NVX56" s="389"/>
      <c r="NWG56" s="389"/>
      <c r="NWH56" s="389"/>
      <c r="NWQ56" s="389"/>
      <c r="NWR56" s="389"/>
      <c r="NXA56" s="389"/>
      <c r="NXB56" s="389"/>
      <c r="NXK56" s="389"/>
      <c r="NXL56" s="389"/>
      <c r="NXU56" s="389"/>
      <c r="NXV56" s="389"/>
      <c r="NYE56" s="389"/>
      <c r="NYF56" s="389"/>
      <c r="NYO56" s="389"/>
      <c r="NYP56" s="389"/>
      <c r="NYY56" s="389"/>
      <c r="NYZ56" s="389"/>
      <c r="NZI56" s="389"/>
      <c r="NZJ56" s="389"/>
      <c r="NZS56" s="389"/>
      <c r="NZT56" s="389"/>
      <c r="OAC56" s="389"/>
      <c r="OAD56" s="389"/>
      <c r="OAM56" s="389"/>
      <c r="OAN56" s="389"/>
      <c r="OAW56" s="389"/>
      <c r="OAX56" s="389"/>
      <c r="OBG56" s="389"/>
      <c r="OBH56" s="389"/>
      <c r="OBQ56" s="389"/>
      <c r="OBR56" s="389"/>
      <c r="OCA56" s="389"/>
      <c r="OCB56" s="389"/>
      <c r="OCK56" s="389"/>
      <c r="OCL56" s="389"/>
      <c r="OCU56" s="389"/>
      <c r="OCV56" s="389"/>
      <c r="ODE56" s="389"/>
      <c r="ODF56" s="389"/>
      <c r="ODO56" s="389"/>
      <c r="ODP56" s="389"/>
      <c r="ODY56" s="389"/>
      <c r="ODZ56" s="389"/>
      <c r="OEI56" s="389"/>
      <c r="OEJ56" s="389"/>
      <c r="OES56" s="389"/>
      <c r="OET56" s="389"/>
      <c r="OFC56" s="389"/>
      <c r="OFD56" s="389"/>
      <c r="OFM56" s="389"/>
      <c r="OFN56" s="389"/>
      <c r="OFW56" s="389"/>
      <c r="OFX56" s="389"/>
      <c r="OGG56" s="389"/>
      <c r="OGH56" s="389"/>
      <c r="OGQ56" s="389"/>
      <c r="OGR56" s="389"/>
      <c r="OHA56" s="389"/>
      <c r="OHB56" s="389"/>
      <c r="OHK56" s="389"/>
      <c r="OHL56" s="389"/>
      <c r="OHU56" s="389"/>
      <c r="OHV56" s="389"/>
      <c r="OIE56" s="389"/>
      <c r="OIF56" s="389"/>
      <c r="OIO56" s="389"/>
      <c r="OIP56" s="389"/>
      <c r="OIY56" s="389"/>
      <c r="OIZ56" s="389"/>
      <c r="OJI56" s="389"/>
      <c r="OJJ56" s="389"/>
      <c r="OJS56" s="389"/>
      <c r="OJT56" s="389"/>
      <c r="OKC56" s="389"/>
      <c r="OKD56" s="389"/>
      <c r="OKM56" s="389"/>
      <c r="OKN56" s="389"/>
      <c r="OKW56" s="389"/>
      <c r="OKX56" s="389"/>
      <c r="OLG56" s="389"/>
      <c r="OLH56" s="389"/>
      <c r="OLQ56" s="389"/>
      <c r="OLR56" s="389"/>
      <c r="OMA56" s="389"/>
      <c r="OMB56" s="389"/>
      <c r="OMK56" s="389"/>
      <c r="OML56" s="389"/>
      <c r="OMU56" s="389"/>
      <c r="OMV56" s="389"/>
      <c r="ONE56" s="389"/>
      <c r="ONF56" s="389"/>
      <c r="ONO56" s="389"/>
      <c r="ONP56" s="389"/>
      <c r="ONY56" s="389"/>
      <c r="ONZ56" s="389"/>
      <c r="OOI56" s="389"/>
      <c r="OOJ56" s="389"/>
      <c r="OOS56" s="389"/>
      <c r="OOT56" s="389"/>
      <c r="OPC56" s="389"/>
      <c r="OPD56" s="389"/>
      <c r="OPM56" s="389"/>
      <c r="OPN56" s="389"/>
      <c r="OPW56" s="389"/>
      <c r="OPX56" s="389"/>
      <c r="OQG56" s="389"/>
      <c r="OQH56" s="389"/>
      <c r="OQQ56" s="389"/>
      <c r="OQR56" s="389"/>
      <c r="ORA56" s="389"/>
      <c r="ORB56" s="389"/>
      <c r="ORK56" s="389"/>
      <c r="ORL56" s="389"/>
      <c r="ORU56" s="389"/>
      <c r="ORV56" s="389"/>
      <c r="OSE56" s="389"/>
      <c r="OSF56" s="389"/>
      <c r="OSO56" s="389"/>
      <c r="OSP56" s="389"/>
      <c r="OSY56" s="389"/>
      <c r="OSZ56" s="389"/>
      <c r="OTI56" s="389"/>
      <c r="OTJ56" s="389"/>
      <c r="OTS56" s="389"/>
      <c r="OTT56" s="389"/>
      <c r="OUC56" s="389"/>
      <c r="OUD56" s="389"/>
      <c r="OUM56" s="389"/>
      <c r="OUN56" s="389"/>
      <c r="OUW56" s="389"/>
      <c r="OUX56" s="389"/>
      <c r="OVG56" s="389"/>
      <c r="OVH56" s="389"/>
      <c r="OVQ56" s="389"/>
      <c r="OVR56" s="389"/>
      <c r="OWA56" s="389"/>
      <c r="OWB56" s="389"/>
      <c r="OWK56" s="389"/>
      <c r="OWL56" s="389"/>
      <c r="OWU56" s="389"/>
      <c r="OWV56" s="389"/>
      <c r="OXE56" s="389"/>
      <c r="OXF56" s="389"/>
      <c r="OXO56" s="389"/>
      <c r="OXP56" s="389"/>
      <c r="OXY56" s="389"/>
      <c r="OXZ56" s="389"/>
      <c r="OYI56" s="389"/>
      <c r="OYJ56" s="389"/>
      <c r="OYS56" s="389"/>
      <c r="OYT56" s="389"/>
      <c r="OZC56" s="389"/>
      <c r="OZD56" s="389"/>
      <c r="OZM56" s="389"/>
      <c r="OZN56" s="389"/>
      <c r="OZW56" s="389"/>
      <c r="OZX56" s="389"/>
      <c r="PAG56" s="389"/>
      <c r="PAH56" s="389"/>
      <c r="PAQ56" s="389"/>
      <c r="PAR56" s="389"/>
      <c r="PBA56" s="389"/>
      <c r="PBB56" s="389"/>
      <c r="PBK56" s="389"/>
      <c r="PBL56" s="389"/>
      <c r="PBU56" s="389"/>
      <c r="PBV56" s="389"/>
      <c r="PCE56" s="389"/>
      <c r="PCF56" s="389"/>
      <c r="PCO56" s="389"/>
      <c r="PCP56" s="389"/>
      <c r="PCY56" s="389"/>
      <c r="PCZ56" s="389"/>
      <c r="PDI56" s="389"/>
      <c r="PDJ56" s="389"/>
      <c r="PDS56" s="389"/>
      <c r="PDT56" s="389"/>
      <c r="PEC56" s="389"/>
      <c r="PED56" s="389"/>
      <c r="PEM56" s="389"/>
      <c r="PEN56" s="389"/>
      <c r="PEW56" s="389"/>
      <c r="PEX56" s="389"/>
      <c r="PFG56" s="389"/>
      <c r="PFH56" s="389"/>
      <c r="PFQ56" s="389"/>
      <c r="PFR56" s="389"/>
      <c r="PGA56" s="389"/>
      <c r="PGB56" s="389"/>
      <c r="PGK56" s="389"/>
      <c r="PGL56" s="389"/>
      <c r="PGU56" s="389"/>
      <c r="PGV56" s="389"/>
      <c r="PHE56" s="389"/>
      <c r="PHF56" s="389"/>
      <c r="PHO56" s="389"/>
      <c r="PHP56" s="389"/>
      <c r="PHY56" s="389"/>
      <c r="PHZ56" s="389"/>
      <c r="PII56" s="389"/>
      <c r="PIJ56" s="389"/>
      <c r="PIS56" s="389"/>
      <c r="PIT56" s="389"/>
      <c r="PJC56" s="389"/>
      <c r="PJD56" s="389"/>
      <c r="PJM56" s="389"/>
      <c r="PJN56" s="389"/>
      <c r="PJW56" s="389"/>
      <c r="PJX56" s="389"/>
      <c r="PKG56" s="389"/>
      <c r="PKH56" s="389"/>
      <c r="PKQ56" s="389"/>
      <c r="PKR56" s="389"/>
      <c r="PLA56" s="389"/>
      <c r="PLB56" s="389"/>
      <c r="PLK56" s="389"/>
      <c r="PLL56" s="389"/>
      <c r="PLU56" s="389"/>
      <c r="PLV56" s="389"/>
      <c r="PME56" s="389"/>
      <c r="PMF56" s="389"/>
      <c r="PMO56" s="389"/>
      <c r="PMP56" s="389"/>
      <c r="PMY56" s="389"/>
      <c r="PMZ56" s="389"/>
      <c r="PNI56" s="389"/>
      <c r="PNJ56" s="389"/>
      <c r="PNS56" s="389"/>
      <c r="PNT56" s="389"/>
      <c r="POC56" s="389"/>
      <c r="POD56" s="389"/>
      <c r="POM56" s="389"/>
      <c r="PON56" s="389"/>
      <c r="POW56" s="389"/>
      <c r="POX56" s="389"/>
      <c r="PPG56" s="389"/>
      <c r="PPH56" s="389"/>
      <c r="PPQ56" s="389"/>
      <c r="PPR56" s="389"/>
      <c r="PQA56" s="389"/>
      <c r="PQB56" s="389"/>
      <c r="PQK56" s="389"/>
      <c r="PQL56" s="389"/>
      <c r="PQU56" s="389"/>
      <c r="PQV56" s="389"/>
      <c r="PRE56" s="389"/>
      <c r="PRF56" s="389"/>
      <c r="PRO56" s="389"/>
      <c r="PRP56" s="389"/>
      <c r="PRY56" s="389"/>
      <c r="PRZ56" s="389"/>
      <c r="PSI56" s="389"/>
      <c r="PSJ56" s="389"/>
      <c r="PSS56" s="389"/>
      <c r="PST56" s="389"/>
      <c r="PTC56" s="389"/>
      <c r="PTD56" s="389"/>
      <c r="PTM56" s="389"/>
      <c r="PTN56" s="389"/>
      <c r="PTW56" s="389"/>
      <c r="PTX56" s="389"/>
      <c r="PUG56" s="389"/>
      <c r="PUH56" s="389"/>
      <c r="PUQ56" s="389"/>
      <c r="PUR56" s="389"/>
      <c r="PVA56" s="389"/>
      <c r="PVB56" s="389"/>
      <c r="PVK56" s="389"/>
      <c r="PVL56" s="389"/>
      <c r="PVU56" s="389"/>
      <c r="PVV56" s="389"/>
      <c r="PWE56" s="389"/>
      <c r="PWF56" s="389"/>
      <c r="PWO56" s="389"/>
      <c r="PWP56" s="389"/>
      <c r="PWY56" s="389"/>
      <c r="PWZ56" s="389"/>
      <c r="PXI56" s="389"/>
      <c r="PXJ56" s="389"/>
      <c r="PXS56" s="389"/>
      <c r="PXT56" s="389"/>
      <c r="PYC56" s="389"/>
      <c r="PYD56" s="389"/>
      <c r="PYM56" s="389"/>
      <c r="PYN56" s="389"/>
      <c r="PYW56" s="389"/>
      <c r="PYX56" s="389"/>
      <c r="PZG56" s="389"/>
      <c r="PZH56" s="389"/>
      <c r="PZQ56" s="389"/>
      <c r="PZR56" s="389"/>
      <c r="QAA56" s="389"/>
      <c r="QAB56" s="389"/>
      <c r="QAK56" s="389"/>
      <c r="QAL56" s="389"/>
      <c r="QAU56" s="389"/>
      <c r="QAV56" s="389"/>
      <c r="QBE56" s="389"/>
      <c r="QBF56" s="389"/>
      <c r="QBO56" s="389"/>
      <c r="QBP56" s="389"/>
      <c r="QBY56" s="389"/>
      <c r="QBZ56" s="389"/>
      <c r="QCI56" s="389"/>
      <c r="QCJ56" s="389"/>
      <c r="QCS56" s="389"/>
      <c r="QCT56" s="389"/>
      <c r="QDC56" s="389"/>
      <c r="QDD56" s="389"/>
      <c r="QDM56" s="389"/>
      <c r="QDN56" s="389"/>
      <c r="QDW56" s="389"/>
      <c r="QDX56" s="389"/>
      <c r="QEG56" s="389"/>
      <c r="QEH56" s="389"/>
      <c r="QEQ56" s="389"/>
      <c r="QER56" s="389"/>
      <c r="QFA56" s="389"/>
      <c r="QFB56" s="389"/>
      <c r="QFK56" s="389"/>
      <c r="QFL56" s="389"/>
      <c r="QFU56" s="389"/>
      <c r="QFV56" s="389"/>
      <c r="QGE56" s="389"/>
      <c r="QGF56" s="389"/>
      <c r="QGO56" s="389"/>
      <c r="QGP56" s="389"/>
      <c r="QGY56" s="389"/>
      <c r="QGZ56" s="389"/>
      <c r="QHI56" s="389"/>
      <c r="QHJ56" s="389"/>
      <c r="QHS56" s="389"/>
      <c r="QHT56" s="389"/>
      <c r="QIC56" s="389"/>
      <c r="QID56" s="389"/>
      <c r="QIM56" s="389"/>
      <c r="QIN56" s="389"/>
      <c r="QIW56" s="389"/>
      <c r="QIX56" s="389"/>
      <c r="QJG56" s="389"/>
      <c r="QJH56" s="389"/>
      <c r="QJQ56" s="389"/>
      <c r="QJR56" s="389"/>
      <c r="QKA56" s="389"/>
      <c r="QKB56" s="389"/>
      <c r="QKK56" s="389"/>
      <c r="QKL56" s="389"/>
      <c r="QKU56" s="389"/>
      <c r="QKV56" s="389"/>
      <c r="QLE56" s="389"/>
      <c r="QLF56" s="389"/>
      <c r="QLO56" s="389"/>
      <c r="QLP56" s="389"/>
      <c r="QLY56" s="389"/>
      <c r="QLZ56" s="389"/>
      <c r="QMI56" s="389"/>
      <c r="QMJ56" s="389"/>
      <c r="QMS56" s="389"/>
      <c r="QMT56" s="389"/>
      <c r="QNC56" s="389"/>
      <c r="QND56" s="389"/>
      <c r="QNM56" s="389"/>
      <c r="QNN56" s="389"/>
      <c r="QNW56" s="389"/>
      <c r="QNX56" s="389"/>
      <c r="QOG56" s="389"/>
      <c r="QOH56" s="389"/>
      <c r="QOQ56" s="389"/>
      <c r="QOR56" s="389"/>
      <c r="QPA56" s="389"/>
      <c r="QPB56" s="389"/>
      <c r="QPK56" s="389"/>
      <c r="QPL56" s="389"/>
      <c r="QPU56" s="389"/>
      <c r="QPV56" s="389"/>
      <c r="QQE56" s="389"/>
      <c r="QQF56" s="389"/>
      <c r="QQO56" s="389"/>
      <c r="QQP56" s="389"/>
      <c r="QQY56" s="389"/>
      <c r="QQZ56" s="389"/>
      <c r="QRI56" s="389"/>
      <c r="QRJ56" s="389"/>
      <c r="QRS56" s="389"/>
      <c r="QRT56" s="389"/>
      <c r="QSC56" s="389"/>
      <c r="QSD56" s="389"/>
      <c r="QSM56" s="389"/>
      <c r="QSN56" s="389"/>
      <c r="QSW56" s="389"/>
      <c r="QSX56" s="389"/>
      <c r="QTG56" s="389"/>
      <c r="QTH56" s="389"/>
      <c r="QTQ56" s="389"/>
      <c r="QTR56" s="389"/>
      <c r="QUA56" s="389"/>
      <c r="QUB56" s="389"/>
      <c r="QUK56" s="389"/>
      <c r="QUL56" s="389"/>
      <c r="QUU56" s="389"/>
      <c r="QUV56" s="389"/>
      <c r="QVE56" s="389"/>
      <c r="QVF56" s="389"/>
      <c r="QVO56" s="389"/>
      <c r="QVP56" s="389"/>
      <c r="QVY56" s="389"/>
      <c r="QVZ56" s="389"/>
      <c r="QWI56" s="389"/>
      <c r="QWJ56" s="389"/>
      <c r="QWS56" s="389"/>
      <c r="QWT56" s="389"/>
      <c r="QXC56" s="389"/>
      <c r="QXD56" s="389"/>
      <c r="QXM56" s="389"/>
      <c r="QXN56" s="389"/>
      <c r="QXW56" s="389"/>
      <c r="QXX56" s="389"/>
      <c r="QYG56" s="389"/>
      <c r="QYH56" s="389"/>
      <c r="QYQ56" s="389"/>
      <c r="QYR56" s="389"/>
      <c r="QZA56" s="389"/>
      <c r="QZB56" s="389"/>
      <c r="QZK56" s="389"/>
      <c r="QZL56" s="389"/>
      <c r="QZU56" s="389"/>
      <c r="QZV56" s="389"/>
      <c r="RAE56" s="389"/>
      <c r="RAF56" s="389"/>
      <c r="RAO56" s="389"/>
      <c r="RAP56" s="389"/>
      <c r="RAY56" s="389"/>
      <c r="RAZ56" s="389"/>
      <c r="RBI56" s="389"/>
      <c r="RBJ56" s="389"/>
      <c r="RBS56" s="389"/>
      <c r="RBT56" s="389"/>
      <c r="RCC56" s="389"/>
      <c r="RCD56" s="389"/>
      <c r="RCM56" s="389"/>
      <c r="RCN56" s="389"/>
      <c r="RCW56" s="389"/>
      <c r="RCX56" s="389"/>
      <c r="RDG56" s="389"/>
      <c r="RDH56" s="389"/>
      <c r="RDQ56" s="389"/>
      <c r="RDR56" s="389"/>
      <c r="REA56" s="389"/>
      <c r="REB56" s="389"/>
      <c r="REK56" s="389"/>
      <c r="REL56" s="389"/>
      <c r="REU56" s="389"/>
      <c r="REV56" s="389"/>
      <c r="RFE56" s="389"/>
      <c r="RFF56" s="389"/>
      <c r="RFO56" s="389"/>
      <c r="RFP56" s="389"/>
      <c r="RFY56" s="389"/>
      <c r="RFZ56" s="389"/>
      <c r="RGI56" s="389"/>
      <c r="RGJ56" s="389"/>
      <c r="RGS56" s="389"/>
      <c r="RGT56" s="389"/>
      <c r="RHC56" s="389"/>
      <c r="RHD56" s="389"/>
      <c r="RHM56" s="389"/>
      <c r="RHN56" s="389"/>
      <c r="RHW56" s="389"/>
      <c r="RHX56" s="389"/>
      <c r="RIG56" s="389"/>
      <c r="RIH56" s="389"/>
      <c r="RIQ56" s="389"/>
      <c r="RIR56" s="389"/>
      <c r="RJA56" s="389"/>
      <c r="RJB56" s="389"/>
      <c r="RJK56" s="389"/>
      <c r="RJL56" s="389"/>
      <c r="RJU56" s="389"/>
      <c r="RJV56" s="389"/>
      <c r="RKE56" s="389"/>
      <c r="RKF56" s="389"/>
      <c r="RKO56" s="389"/>
      <c r="RKP56" s="389"/>
      <c r="RKY56" s="389"/>
      <c r="RKZ56" s="389"/>
      <c r="RLI56" s="389"/>
      <c r="RLJ56" s="389"/>
      <c r="RLS56" s="389"/>
      <c r="RLT56" s="389"/>
      <c r="RMC56" s="389"/>
      <c r="RMD56" s="389"/>
      <c r="RMM56" s="389"/>
      <c r="RMN56" s="389"/>
      <c r="RMW56" s="389"/>
      <c r="RMX56" s="389"/>
      <c r="RNG56" s="389"/>
      <c r="RNH56" s="389"/>
      <c r="RNQ56" s="389"/>
      <c r="RNR56" s="389"/>
      <c r="ROA56" s="389"/>
      <c r="ROB56" s="389"/>
      <c r="ROK56" s="389"/>
      <c r="ROL56" s="389"/>
      <c r="ROU56" s="389"/>
      <c r="ROV56" s="389"/>
      <c r="RPE56" s="389"/>
      <c r="RPF56" s="389"/>
      <c r="RPO56" s="389"/>
      <c r="RPP56" s="389"/>
      <c r="RPY56" s="389"/>
      <c r="RPZ56" s="389"/>
      <c r="RQI56" s="389"/>
      <c r="RQJ56" s="389"/>
      <c r="RQS56" s="389"/>
      <c r="RQT56" s="389"/>
      <c r="RRC56" s="389"/>
      <c r="RRD56" s="389"/>
      <c r="RRM56" s="389"/>
      <c r="RRN56" s="389"/>
      <c r="RRW56" s="389"/>
      <c r="RRX56" s="389"/>
      <c r="RSG56" s="389"/>
      <c r="RSH56" s="389"/>
      <c r="RSQ56" s="389"/>
      <c r="RSR56" s="389"/>
      <c r="RTA56" s="389"/>
      <c r="RTB56" s="389"/>
      <c r="RTK56" s="389"/>
      <c r="RTL56" s="389"/>
      <c r="RTU56" s="389"/>
      <c r="RTV56" s="389"/>
      <c r="RUE56" s="389"/>
      <c r="RUF56" s="389"/>
      <c r="RUO56" s="389"/>
      <c r="RUP56" s="389"/>
      <c r="RUY56" s="389"/>
      <c r="RUZ56" s="389"/>
      <c r="RVI56" s="389"/>
      <c r="RVJ56" s="389"/>
      <c r="RVS56" s="389"/>
      <c r="RVT56" s="389"/>
      <c r="RWC56" s="389"/>
      <c r="RWD56" s="389"/>
      <c r="RWM56" s="389"/>
      <c r="RWN56" s="389"/>
      <c r="RWW56" s="389"/>
      <c r="RWX56" s="389"/>
      <c r="RXG56" s="389"/>
      <c r="RXH56" s="389"/>
      <c r="RXQ56" s="389"/>
      <c r="RXR56" s="389"/>
      <c r="RYA56" s="389"/>
      <c r="RYB56" s="389"/>
      <c r="RYK56" s="389"/>
      <c r="RYL56" s="389"/>
      <c r="RYU56" s="389"/>
      <c r="RYV56" s="389"/>
      <c r="RZE56" s="389"/>
      <c r="RZF56" s="389"/>
      <c r="RZO56" s="389"/>
      <c r="RZP56" s="389"/>
      <c r="RZY56" s="389"/>
      <c r="RZZ56" s="389"/>
      <c r="SAI56" s="389"/>
      <c r="SAJ56" s="389"/>
      <c r="SAS56" s="389"/>
      <c r="SAT56" s="389"/>
      <c r="SBC56" s="389"/>
      <c r="SBD56" s="389"/>
      <c r="SBM56" s="389"/>
      <c r="SBN56" s="389"/>
      <c r="SBW56" s="389"/>
      <c r="SBX56" s="389"/>
      <c r="SCG56" s="389"/>
      <c r="SCH56" s="389"/>
      <c r="SCQ56" s="389"/>
      <c r="SCR56" s="389"/>
      <c r="SDA56" s="389"/>
      <c r="SDB56" s="389"/>
      <c r="SDK56" s="389"/>
      <c r="SDL56" s="389"/>
      <c r="SDU56" s="389"/>
      <c r="SDV56" s="389"/>
      <c r="SEE56" s="389"/>
      <c r="SEF56" s="389"/>
      <c r="SEO56" s="389"/>
      <c r="SEP56" s="389"/>
      <c r="SEY56" s="389"/>
      <c r="SEZ56" s="389"/>
      <c r="SFI56" s="389"/>
      <c r="SFJ56" s="389"/>
      <c r="SFS56" s="389"/>
      <c r="SFT56" s="389"/>
      <c r="SGC56" s="389"/>
      <c r="SGD56" s="389"/>
      <c r="SGM56" s="389"/>
      <c r="SGN56" s="389"/>
      <c r="SGW56" s="389"/>
      <c r="SGX56" s="389"/>
      <c r="SHG56" s="389"/>
      <c r="SHH56" s="389"/>
      <c r="SHQ56" s="389"/>
      <c r="SHR56" s="389"/>
      <c r="SIA56" s="389"/>
      <c r="SIB56" s="389"/>
      <c r="SIK56" s="389"/>
      <c r="SIL56" s="389"/>
      <c r="SIU56" s="389"/>
      <c r="SIV56" s="389"/>
      <c r="SJE56" s="389"/>
      <c r="SJF56" s="389"/>
      <c r="SJO56" s="389"/>
      <c r="SJP56" s="389"/>
      <c r="SJY56" s="389"/>
      <c r="SJZ56" s="389"/>
      <c r="SKI56" s="389"/>
      <c r="SKJ56" s="389"/>
      <c r="SKS56" s="389"/>
      <c r="SKT56" s="389"/>
      <c r="SLC56" s="389"/>
      <c r="SLD56" s="389"/>
      <c r="SLM56" s="389"/>
      <c r="SLN56" s="389"/>
      <c r="SLW56" s="389"/>
      <c r="SLX56" s="389"/>
      <c r="SMG56" s="389"/>
      <c r="SMH56" s="389"/>
      <c r="SMQ56" s="389"/>
      <c r="SMR56" s="389"/>
      <c r="SNA56" s="389"/>
      <c r="SNB56" s="389"/>
      <c r="SNK56" s="389"/>
      <c r="SNL56" s="389"/>
      <c r="SNU56" s="389"/>
      <c r="SNV56" s="389"/>
      <c r="SOE56" s="389"/>
      <c r="SOF56" s="389"/>
      <c r="SOO56" s="389"/>
      <c r="SOP56" s="389"/>
      <c r="SOY56" s="389"/>
      <c r="SOZ56" s="389"/>
      <c r="SPI56" s="389"/>
      <c r="SPJ56" s="389"/>
      <c r="SPS56" s="389"/>
      <c r="SPT56" s="389"/>
      <c r="SQC56" s="389"/>
      <c r="SQD56" s="389"/>
      <c r="SQM56" s="389"/>
      <c r="SQN56" s="389"/>
      <c r="SQW56" s="389"/>
      <c r="SQX56" s="389"/>
      <c r="SRG56" s="389"/>
      <c r="SRH56" s="389"/>
      <c r="SRQ56" s="389"/>
      <c r="SRR56" s="389"/>
      <c r="SSA56" s="389"/>
      <c r="SSB56" s="389"/>
      <c r="SSK56" s="389"/>
      <c r="SSL56" s="389"/>
      <c r="SSU56" s="389"/>
      <c r="SSV56" s="389"/>
      <c r="STE56" s="389"/>
      <c r="STF56" s="389"/>
      <c r="STO56" s="389"/>
      <c r="STP56" s="389"/>
      <c r="STY56" s="389"/>
      <c r="STZ56" s="389"/>
      <c r="SUI56" s="389"/>
      <c r="SUJ56" s="389"/>
      <c r="SUS56" s="389"/>
      <c r="SUT56" s="389"/>
      <c r="SVC56" s="389"/>
      <c r="SVD56" s="389"/>
      <c r="SVM56" s="389"/>
      <c r="SVN56" s="389"/>
      <c r="SVW56" s="389"/>
      <c r="SVX56" s="389"/>
      <c r="SWG56" s="389"/>
      <c r="SWH56" s="389"/>
      <c r="SWQ56" s="389"/>
      <c r="SWR56" s="389"/>
      <c r="SXA56" s="389"/>
      <c r="SXB56" s="389"/>
      <c r="SXK56" s="389"/>
      <c r="SXL56" s="389"/>
      <c r="SXU56" s="389"/>
      <c r="SXV56" s="389"/>
      <c r="SYE56" s="389"/>
      <c r="SYF56" s="389"/>
      <c r="SYO56" s="389"/>
      <c r="SYP56" s="389"/>
      <c r="SYY56" s="389"/>
      <c r="SYZ56" s="389"/>
      <c r="SZI56" s="389"/>
      <c r="SZJ56" s="389"/>
      <c r="SZS56" s="389"/>
      <c r="SZT56" s="389"/>
      <c r="TAC56" s="389"/>
      <c r="TAD56" s="389"/>
      <c r="TAM56" s="389"/>
      <c r="TAN56" s="389"/>
      <c r="TAW56" s="389"/>
      <c r="TAX56" s="389"/>
      <c r="TBG56" s="389"/>
      <c r="TBH56" s="389"/>
      <c r="TBQ56" s="389"/>
      <c r="TBR56" s="389"/>
      <c r="TCA56" s="389"/>
      <c r="TCB56" s="389"/>
      <c r="TCK56" s="389"/>
      <c r="TCL56" s="389"/>
      <c r="TCU56" s="389"/>
      <c r="TCV56" s="389"/>
      <c r="TDE56" s="389"/>
      <c r="TDF56" s="389"/>
      <c r="TDO56" s="389"/>
      <c r="TDP56" s="389"/>
      <c r="TDY56" s="389"/>
      <c r="TDZ56" s="389"/>
      <c r="TEI56" s="389"/>
      <c r="TEJ56" s="389"/>
      <c r="TES56" s="389"/>
      <c r="TET56" s="389"/>
      <c r="TFC56" s="389"/>
      <c r="TFD56" s="389"/>
      <c r="TFM56" s="389"/>
      <c r="TFN56" s="389"/>
      <c r="TFW56" s="389"/>
      <c r="TFX56" s="389"/>
      <c r="TGG56" s="389"/>
      <c r="TGH56" s="389"/>
      <c r="TGQ56" s="389"/>
      <c r="TGR56" s="389"/>
      <c r="THA56" s="389"/>
      <c r="THB56" s="389"/>
      <c r="THK56" s="389"/>
      <c r="THL56" s="389"/>
      <c r="THU56" s="389"/>
      <c r="THV56" s="389"/>
      <c r="TIE56" s="389"/>
      <c r="TIF56" s="389"/>
      <c r="TIO56" s="389"/>
      <c r="TIP56" s="389"/>
      <c r="TIY56" s="389"/>
      <c r="TIZ56" s="389"/>
      <c r="TJI56" s="389"/>
      <c r="TJJ56" s="389"/>
      <c r="TJS56" s="389"/>
      <c r="TJT56" s="389"/>
      <c r="TKC56" s="389"/>
      <c r="TKD56" s="389"/>
      <c r="TKM56" s="389"/>
      <c r="TKN56" s="389"/>
      <c r="TKW56" s="389"/>
      <c r="TKX56" s="389"/>
      <c r="TLG56" s="389"/>
      <c r="TLH56" s="389"/>
      <c r="TLQ56" s="389"/>
      <c r="TLR56" s="389"/>
      <c r="TMA56" s="389"/>
      <c r="TMB56" s="389"/>
      <c r="TMK56" s="389"/>
      <c r="TML56" s="389"/>
      <c r="TMU56" s="389"/>
      <c r="TMV56" s="389"/>
      <c r="TNE56" s="389"/>
      <c r="TNF56" s="389"/>
      <c r="TNO56" s="389"/>
      <c r="TNP56" s="389"/>
      <c r="TNY56" s="389"/>
      <c r="TNZ56" s="389"/>
      <c r="TOI56" s="389"/>
      <c r="TOJ56" s="389"/>
      <c r="TOS56" s="389"/>
      <c r="TOT56" s="389"/>
      <c r="TPC56" s="389"/>
      <c r="TPD56" s="389"/>
      <c r="TPM56" s="389"/>
      <c r="TPN56" s="389"/>
      <c r="TPW56" s="389"/>
      <c r="TPX56" s="389"/>
      <c r="TQG56" s="389"/>
      <c r="TQH56" s="389"/>
      <c r="TQQ56" s="389"/>
      <c r="TQR56" s="389"/>
      <c r="TRA56" s="389"/>
      <c r="TRB56" s="389"/>
      <c r="TRK56" s="389"/>
      <c r="TRL56" s="389"/>
      <c r="TRU56" s="389"/>
      <c r="TRV56" s="389"/>
      <c r="TSE56" s="389"/>
      <c r="TSF56" s="389"/>
      <c r="TSO56" s="389"/>
      <c r="TSP56" s="389"/>
      <c r="TSY56" s="389"/>
      <c r="TSZ56" s="389"/>
      <c r="TTI56" s="389"/>
      <c r="TTJ56" s="389"/>
      <c r="TTS56" s="389"/>
      <c r="TTT56" s="389"/>
      <c r="TUC56" s="389"/>
      <c r="TUD56" s="389"/>
      <c r="TUM56" s="389"/>
      <c r="TUN56" s="389"/>
      <c r="TUW56" s="389"/>
      <c r="TUX56" s="389"/>
      <c r="TVG56" s="389"/>
      <c r="TVH56" s="389"/>
      <c r="TVQ56" s="389"/>
      <c r="TVR56" s="389"/>
      <c r="TWA56" s="389"/>
      <c r="TWB56" s="389"/>
      <c r="TWK56" s="389"/>
      <c r="TWL56" s="389"/>
      <c r="TWU56" s="389"/>
      <c r="TWV56" s="389"/>
      <c r="TXE56" s="389"/>
      <c r="TXF56" s="389"/>
      <c r="TXO56" s="389"/>
      <c r="TXP56" s="389"/>
      <c r="TXY56" s="389"/>
      <c r="TXZ56" s="389"/>
      <c r="TYI56" s="389"/>
      <c r="TYJ56" s="389"/>
      <c r="TYS56" s="389"/>
      <c r="TYT56" s="389"/>
      <c r="TZC56" s="389"/>
      <c r="TZD56" s="389"/>
      <c r="TZM56" s="389"/>
      <c r="TZN56" s="389"/>
      <c r="TZW56" s="389"/>
      <c r="TZX56" s="389"/>
      <c r="UAG56" s="389"/>
      <c r="UAH56" s="389"/>
      <c r="UAQ56" s="389"/>
      <c r="UAR56" s="389"/>
      <c r="UBA56" s="389"/>
      <c r="UBB56" s="389"/>
      <c r="UBK56" s="389"/>
      <c r="UBL56" s="389"/>
      <c r="UBU56" s="389"/>
      <c r="UBV56" s="389"/>
      <c r="UCE56" s="389"/>
      <c r="UCF56" s="389"/>
      <c r="UCO56" s="389"/>
      <c r="UCP56" s="389"/>
      <c r="UCY56" s="389"/>
      <c r="UCZ56" s="389"/>
      <c r="UDI56" s="389"/>
      <c r="UDJ56" s="389"/>
      <c r="UDS56" s="389"/>
      <c r="UDT56" s="389"/>
      <c r="UEC56" s="389"/>
      <c r="UED56" s="389"/>
      <c r="UEM56" s="389"/>
      <c r="UEN56" s="389"/>
      <c r="UEW56" s="389"/>
      <c r="UEX56" s="389"/>
      <c r="UFG56" s="389"/>
      <c r="UFH56" s="389"/>
      <c r="UFQ56" s="389"/>
      <c r="UFR56" s="389"/>
      <c r="UGA56" s="389"/>
      <c r="UGB56" s="389"/>
      <c r="UGK56" s="389"/>
      <c r="UGL56" s="389"/>
      <c r="UGU56" s="389"/>
      <c r="UGV56" s="389"/>
      <c r="UHE56" s="389"/>
      <c r="UHF56" s="389"/>
      <c r="UHO56" s="389"/>
      <c r="UHP56" s="389"/>
      <c r="UHY56" s="389"/>
      <c r="UHZ56" s="389"/>
      <c r="UII56" s="389"/>
      <c r="UIJ56" s="389"/>
      <c r="UIS56" s="389"/>
      <c r="UIT56" s="389"/>
      <c r="UJC56" s="389"/>
      <c r="UJD56" s="389"/>
      <c r="UJM56" s="389"/>
      <c r="UJN56" s="389"/>
      <c r="UJW56" s="389"/>
      <c r="UJX56" s="389"/>
      <c r="UKG56" s="389"/>
      <c r="UKH56" s="389"/>
      <c r="UKQ56" s="389"/>
      <c r="UKR56" s="389"/>
      <c r="ULA56" s="389"/>
      <c r="ULB56" s="389"/>
      <c r="ULK56" s="389"/>
      <c r="ULL56" s="389"/>
      <c r="ULU56" s="389"/>
      <c r="ULV56" s="389"/>
      <c r="UME56" s="389"/>
      <c r="UMF56" s="389"/>
      <c r="UMO56" s="389"/>
      <c r="UMP56" s="389"/>
      <c r="UMY56" s="389"/>
      <c r="UMZ56" s="389"/>
      <c r="UNI56" s="389"/>
      <c r="UNJ56" s="389"/>
      <c r="UNS56" s="389"/>
      <c r="UNT56" s="389"/>
      <c r="UOC56" s="389"/>
      <c r="UOD56" s="389"/>
      <c r="UOM56" s="389"/>
      <c r="UON56" s="389"/>
      <c r="UOW56" s="389"/>
      <c r="UOX56" s="389"/>
      <c r="UPG56" s="389"/>
      <c r="UPH56" s="389"/>
      <c r="UPQ56" s="389"/>
      <c r="UPR56" s="389"/>
      <c r="UQA56" s="389"/>
      <c r="UQB56" s="389"/>
      <c r="UQK56" s="389"/>
      <c r="UQL56" s="389"/>
      <c r="UQU56" s="389"/>
      <c r="UQV56" s="389"/>
      <c r="URE56" s="389"/>
      <c r="URF56" s="389"/>
      <c r="URO56" s="389"/>
      <c r="URP56" s="389"/>
      <c r="URY56" s="389"/>
      <c r="URZ56" s="389"/>
      <c r="USI56" s="389"/>
      <c r="USJ56" s="389"/>
      <c r="USS56" s="389"/>
      <c r="UST56" s="389"/>
      <c r="UTC56" s="389"/>
      <c r="UTD56" s="389"/>
      <c r="UTM56" s="389"/>
      <c r="UTN56" s="389"/>
      <c r="UTW56" s="389"/>
      <c r="UTX56" s="389"/>
      <c r="UUG56" s="389"/>
      <c r="UUH56" s="389"/>
      <c r="UUQ56" s="389"/>
      <c r="UUR56" s="389"/>
      <c r="UVA56" s="389"/>
      <c r="UVB56" s="389"/>
      <c r="UVK56" s="389"/>
      <c r="UVL56" s="389"/>
      <c r="UVU56" s="389"/>
      <c r="UVV56" s="389"/>
      <c r="UWE56" s="389"/>
      <c r="UWF56" s="389"/>
      <c r="UWO56" s="389"/>
      <c r="UWP56" s="389"/>
      <c r="UWY56" s="389"/>
      <c r="UWZ56" s="389"/>
      <c r="UXI56" s="389"/>
      <c r="UXJ56" s="389"/>
      <c r="UXS56" s="389"/>
      <c r="UXT56" s="389"/>
      <c r="UYC56" s="389"/>
      <c r="UYD56" s="389"/>
      <c r="UYM56" s="389"/>
      <c r="UYN56" s="389"/>
      <c r="UYW56" s="389"/>
      <c r="UYX56" s="389"/>
      <c r="UZG56" s="389"/>
      <c r="UZH56" s="389"/>
      <c r="UZQ56" s="389"/>
      <c r="UZR56" s="389"/>
      <c r="VAA56" s="389"/>
      <c r="VAB56" s="389"/>
      <c r="VAK56" s="389"/>
      <c r="VAL56" s="389"/>
      <c r="VAU56" s="389"/>
      <c r="VAV56" s="389"/>
      <c r="VBE56" s="389"/>
      <c r="VBF56" s="389"/>
      <c r="VBO56" s="389"/>
      <c r="VBP56" s="389"/>
      <c r="VBY56" s="389"/>
      <c r="VBZ56" s="389"/>
      <c r="VCI56" s="389"/>
      <c r="VCJ56" s="389"/>
      <c r="VCS56" s="389"/>
      <c r="VCT56" s="389"/>
      <c r="VDC56" s="389"/>
      <c r="VDD56" s="389"/>
      <c r="VDM56" s="389"/>
      <c r="VDN56" s="389"/>
      <c r="VDW56" s="389"/>
      <c r="VDX56" s="389"/>
      <c r="VEG56" s="389"/>
      <c r="VEH56" s="389"/>
      <c r="VEQ56" s="389"/>
      <c r="VER56" s="389"/>
      <c r="VFA56" s="389"/>
      <c r="VFB56" s="389"/>
      <c r="VFK56" s="389"/>
      <c r="VFL56" s="389"/>
      <c r="VFU56" s="389"/>
      <c r="VFV56" s="389"/>
      <c r="VGE56" s="389"/>
      <c r="VGF56" s="389"/>
      <c r="VGO56" s="389"/>
      <c r="VGP56" s="389"/>
      <c r="VGY56" s="389"/>
      <c r="VGZ56" s="389"/>
      <c r="VHI56" s="389"/>
      <c r="VHJ56" s="389"/>
      <c r="VHS56" s="389"/>
      <c r="VHT56" s="389"/>
      <c r="VIC56" s="389"/>
      <c r="VID56" s="389"/>
      <c r="VIM56" s="389"/>
      <c r="VIN56" s="389"/>
      <c r="VIW56" s="389"/>
      <c r="VIX56" s="389"/>
      <c r="VJG56" s="389"/>
      <c r="VJH56" s="389"/>
      <c r="VJQ56" s="389"/>
      <c r="VJR56" s="389"/>
      <c r="VKA56" s="389"/>
      <c r="VKB56" s="389"/>
      <c r="VKK56" s="389"/>
      <c r="VKL56" s="389"/>
      <c r="VKU56" s="389"/>
      <c r="VKV56" s="389"/>
      <c r="VLE56" s="389"/>
      <c r="VLF56" s="389"/>
      <c r="VLO56" s="389"/>
      <c r="VLP56" s="389"/>
      <c r="VLY56" s="389"/>
      <c r="VLZ56" s="389"/>
      <c r="VMI56" s="389"/>
      <c r="VMJ56" s="389"/>
      <c r="VMS56" s="389"/>
      <c r="VMT56" s="389"/>
      <c r="VNC56" s="389"/>
      <c r="VND56" s="389"/>
      <c r="VNM56" s="389"/>
      <c r="VNN56" s="389"/>
      <c r="VNW56" s="389"/>
      <c r="VNX56" s="389"/>
      <c r="VOG56" s="389"/>
      <c r="VOH56" s="389"/>
      <c r="VOQ56" s="389"/>
      <c r="VOR56" s="389"/>
      <c r="VPA56" s="389"/>
      <c r="VPB56" s="389"/>
      <c r="VPK56" s="389"/>
      <c r="VPL56" s="389"/>
      <c r="VPU56" s="389"/>
      <c r="VPV56" s="389"/>
      <c r="VQE56" s="389"/>
      <c r="VQF56" s="389"/>
      <c r="VQO56" s="389"/>
      <c r="VQP56" s="389"/>
      <c r="VQY56" s="389"/>
      <c r="VQZ56" s="389"/>
      <c r="VRI56" s="389"/>
      <c r="VRJ56" s="389"/>
      <c r="VRS56" s="389"/>
      <c r="VRT56" s="389"/>
      <c r="VSC56" s="389"/>
      <c r="VSD56" s="389"/>
      <c r="VSM56" s="389"/>
      <c r="VSN56" s="389"/>
      <c r="VSW56" s="389"/>
      <c r="VSX56" s="389"/>
      <c r="VTG56" s="389"/>
      <c r="VTH56" s="389"/>
      <c r="VTQ56" s="389"/>
      <c r="VTR56" s="389"/>
      <c r="VUA56" s="389"/>
      <c r="VUB56" s="389"/>
      <c r="VUK56" s="389"/>
      <c r="VUL56" s="389"/>
      <c r="VUU56" s="389"/>
      <c r="VUV56" s="389"/>
      <c r="VVE56" s="389"/>
      <c r="VVF56" s="389"/>
      <c r="VVO56" s="389"/>
      <c r="VVP56" s="389"/>
      <c r="VVY56" s="389"/>
      <c r="VVZ56" s="389"/>
      <c r="VWI56" s="389"/>
      <c r="VWJ56" s="389"/>
      <c r="VWS56" s="389"/>
      <c r="VWT56" s="389"/>
      <c r="VXC56" s="389"/>
      <c r="VXD56" s="389"/>
      <c r="VXM56" s="389"/>
      <c r="VXN56" s="389"/>
      <c r="VXW56" s="389"/>
      <c r="VXX56" s="389"/>
      <c r="VYG56" s="389"/>
      <c r="VYH56" s="389"/>
      <c r="VYQ56" s="389"/>
      <c r="VYR56" s="389"/>
      <c r="VZA56" s="389"/>
      <c r="VZB56" s="389"/>
      <c r="VZK56" s="389"/>
      <c r="VZL56" s="389"/>
      <c r="VZU56" s="389"/>
      <c r="VZV56" s="389"/>
      <c r="WAE56" s="389"/>
      <c r="WAF56" s="389"/>
      <c r="WAO56" s="389"/>
      <c r="WAP56" s="389"/>
      <c r="WAY56" s="389"/>
      <c r="WAZ56" s="389"/>
      <c r="WBI56" s="389"/>
      <c r="WBJ56" s="389"/>
      <c r="WBS56" s="389"/>
      <c r="WBT56" s="389"/>
      <c r="WCC56" s="389"/>
      <c r="WCD56" s="389"/>
      <c r="WCM56" s="389"/>
      <c r="WCN56" s="389"/>
      <c r="WCW56" s="389"/>
      <c r="WCX56" s="389"/>
      <c r="WDG56" s="389"/>
      <c r="WDH56" s="389"/>
      <c r="WDQ56" s="389"/>
      <c r="WDR56" s="389"/>
      <c r="WEA56" s="389"/>
      <c r="WEB56" s="389"/>
      <c r="WEK56" s="389"/>
      <c r="WEL56" s="389"/>
      <c r="WEU56" s="389"/>
      <c r="WEV56" s="389"/>
      <c r="WFE56" s="389"/>
      <c r="WFF56" s="389"/>
      <c r="WFO56" s="389"/>
      <c r="WFP56" s="389"/>
      <c r="WFY56" s="389"/>
      <c r="WFZ56" s="389"/>
      <c r="WGI56" s="389"/>
      <c r="WGJ56" s="389"/>
      <c r="WGS56" s="389"/>
      <c r="WGT56" s="389"/>
      <c r="WHC56" s="389"/>
      <c r="WHD56" s="389"/>
      <c r="WHM56" s="389"/>
      <c r="WHN56" s="389"/>
      <c r="WHW56" s="389"/>
      <c r="WHX56" s="389"/>
      <c r="WIG56" s="389"/>
      <c r="WIH56" s="389"/>
      <c r="WIQ56" s="389"/>
      <c r="WIR56" s="389"/>
      <c r="WJA56" s="389"/>
      <c r="WJB56" s="389"/>
      <c r="WJK56" s="389"/>
      <c r="WJL56" s="389"/>
      <c r="WJU56" s="389"/>
      <c r="WJV56" s="389"/>
      <c r="WKE56" s="389"/>
      <c r="WKF56" s="389"/>
      <c r="WKO56" s="389"/>
      <c r="WKP56" s="389"/>
      <c r="WKY56" s="389"/>
      <c r="WKZ56" s="389"/>
      <c r="WLI56" s="389"/>
      <c r="WLJ56" s="389"/>
      <c r="WLS56" s="389"/>
      <c r="WLT56" s="389"/>
      <c r="WMC56" s="389"/>
      <c r="WMD56" s="389"/>
      <c r="WMM56" s="389"/>
      <c r="WMN56" s="389"/>
      <c r="WMW56" s="389"/>
      <c r="WMX56" s="389"/>
      <c r="WNG56" s="389"/>
      <c r="WNH56" s="389"/>
      <c r="WNQ56" s="389"/>
      <c r="WNR56" s="389"/>
      <c r="WOA56" s="389"/>
      <c r="WOB56" s="389"/>
      <c r="WOK56" s="389"/>
      <c r="WOL56" s="389"/>
      <c r="WOU56" s="389"/>
      <c r="WOV56" s="389"/>
      <c r="WPE56" s="389"/>
      <c r="WPF56" s="389"/>
      <c r="WPO56" s="389"/>
      <c r="WPP56" s="389"/>
      <c r="WPY56" s="389"/>
      <c r="WPZ56" s="389"/>
      <c r="WQI56" s="389"/>
      <c r="WQJ56" s="389"/>
      <c r="WQS56" s="389"/>
      <c r="WQT56" s="389"/>
      <c r="WRC56" s="389"/>
      <c r="WRD56" s="389"/>
      <c r="WRM56" s="389"/>
      <c r="WRN56" s="389"/>
      <c r="WRW56" s="389"/>
      <c r="WRX56" s="389"/>
      <c r="WSG56" s="389"/>
      <c r="WSH56" s="389"/>
      <c r="WSQ56" s="389"/>
      <c r="WSR56" s="389"/>
      <c r="WTA56" s="389"/>
      <c r="WTB56" s="389"/>
      <c r="WTK56" s="389"/>
      <c r="WTL56" s="389"/>
      <c r="WTU56" s="389"/>
      <c r="WTV56" s="389"/>
      <c r="WUE56" s="389"/>
      <c r="WUF56" s="389"/>
      <c r="WUO56" s="389"/>
      <c r="WUP56" s="389"/>
      <c r="WUY56" s="389"/>
      <c r="WUZ56" s="389"/>
      <c r="WVI56" s="389"/>
      <c r="WVJ56" s="389"/>
      <c r="WVS56" s="389"/>
      <c r="WVT56" s="389"/>
      <c r="WWC56" s="389"/>
      <c r="WWD56" s="389"/>
      <c r="WWM56" s="389"/>
      <c r="WWN56" s="389"/>
      <c r="WWW56" s="389"/>
      <c r="WWX56" s="389"/>
      <c r="WXG56" s="389"/>
      <c r="WXH56" s="389"/>
      <c r="WXQ56" s="389"/>
      <c r="WXR56" s="389"/>
      <c r="WYA56" s="389"/>
      <c r="WYB56" s="389"/>
      <c r="WYK56" s="389"/>
      <c r="WYL56" s="389"/>
      <c r="WYU56" s="389"/>
      <c r="WYV56" s="389"/>
      <c r="WZE56" s="389"/>
      <c r="WZF56" s="389"/>
      <c r="WZO56" s="389"/>
      <c r="WZP56" s="389"/>
      <c r="WZY56" s="389"/>
      <c r="WZZ56" s="389"/>
      <c r="XAI56" s="389"/>
      <c r="XAJ56" s="389"/>
      <c r="XAS56" s="389"/>
      <c r="XAT56" s="389"/>
      <c r="XBC56" s="389"/>
      <c r="XBD56" s="389"/>
      <c r="XBM56" s="389"/>
      <c r="XBN56" s="389"/>
      <c r="XBW56" s="389"/>
      <c r="XBX56" s="389"/>
      <c r="XCG56" s="389"/>
      <c r="XCH56" s="389"/>
      <c r="XCQ56" s="389"/>
      <c r="XCR56" s="389"/>
      <c r="XDA56" s="389"/>
      <c r="XDB56" s="389"/>
      <c r="XDK56" s="389"/>
      <c r="XDL56" s="389"/>
      <c r="XDU56" s="389"/>
      <c r="XDV56" s="389"/>
      <c r="XEE56" s="389"/>
      <c r="XEF56" s="389"/>
      <c r="XEO56" s="389"/>
      <c r="XEP56" s="389"/>
      <c r="XEY56" s="389"/>
      <c r="XEZ56" s="389"/>
    </row>
    <row r="57" spans="1:1020 1029:2040 2049:3070 3079:4090 4099:5120 5129:6140 6149:7160 7169:8190 8199:9210 9219:10240 10249:11260 11269:12280 12289:13310 13319:14330 14339:15360 15369:16380" ht="56.25" customHeight="1" thickBot="1" x14ac:dyDescent="0.25">
      <c r="A57" s="1470" t="s">
        <v>4</v>
      </c>
      <c r="B57" s="1472" t="s">
        <v>306</v>
      </c>
      <c r="C57" s="1474" t="s">
        <v>264</v>
      </c>
      <c r="D57" s="1475"/>
      <c r="E57" s="1476" t="s">
        <v>373</v>
      </c>
      <c r="F57" s="1478" t="s">
        <v>276</v>
      </c>
      <c r="G57" s="1480" t="s">
        <v>27</v>
      </c>
      <c r="H57" s="1481"/>
      <c r="I57" s="1480" t="s">
        <v>307</v>
      </c>
      <c r="J57" s="1481"/>
      <c r="K57" s="1480" t="s">
        <v>560</v>
      </c>
      <c r="L57" s="1481"/>
      <c r="M57" s="1136" t="s">
        <v>58</v>
      </c>
    </row>
    <row r="58" spans="1:1020 1029:2040 2049:3070 3079:4090 4099:5120 5129:6140 6149:7160 7169:8190 8199:9210 9219:10240 10249:11260 11269:12280 12289:13310 13319:14330 14339:15360 15369:16380" ht="56.25" customHeight="1" thickBot="1" x14ac:dyDescent="0.25">
      <c r="A58" s="1471"/>
      <c r="B58" s="1473"/>
      <c r="C58" s="1137" t="s">
        <v>267</v>
      </c>
      <c r="D58" s="1137" t="s">
        <v>275</v>
      </c>
      <c r="E58" s="1477"/>
      <c r="F58" s="1479"/>
      <c r="G58" s="1170" t="s">
        <v>561</v>
      </c>
      <c r="H58" s="1170" t="s">
        <v>562</v>
      </c>
      <c r="I58" s="1170" t="s">
        <v>561</v>
      </c>
      <c r="J58" s="1170" t="s">
        <v>562</v>
      </c>
      <c r="K58" s="1170" t="s">
        <v>561</v>
      </c>
      <c r="L58" s="1170" t="s">
        <v>562</v>
      </c>
      <c r="M58" s="1136" t="s">
        <v>59</v>
      </c>
    </row>
    <row r="59" spans="1:1020 1029:2040 2049:3070 3079:4090 4099:5120 5129:6140 6149:7160 7169:8190 8199:9210 9219:10240 10249:11260 11269:12280 12289:13310 13319:14330 14339:15360 15369:16380" ht="27.95" customHeight="1" x14ac:dyDescent="0.2">
      <c r="A59" s="1074">
        <v>1</v>
      </c>
      <c r="B59" s="1157">
        <f>'DATOS %'!F48</f>
        <v>0</v>
      </c>
      <c r="C59" s="1163" t="str">
        <f>'DATOS %'!B48</f>
        <v>1 mg</v>
      </c>
      <c r="D59" s="1164" t="e">
        <f>'1 mg % '!$F$75</f>
        <v>#N/A</v>
      </c>
      <c r="E59" s="1160">
        <f>'DATOS %'!Z134</f>
        <v>0.06</v>
      </c>
      <c r="F59" s="1075">
        <f>'DATOS %'!AA134</f>
        <v>0.2</v>
      </c>
      <c r="G59" s="1076" t="e">
        <f>'mili Max-Min % '!C12</f>
        <v>#N/A</v>
      </c>
      <c r="H59" s="1077" t="e">
        <f>'mili Max-Min % '!C11</f>
        <v>#N/A</v>
      </c>
      <c r="I59" s="1077" t="e">
        <f>'mili Max-Min % '!D12</f>
        <v>#N/A</v>
      </c>
      <c r="J59" s="1077" t="e">
        <f>'mili Max-Min % '!D11</f>
        <v>#N/A</v>
      </c>
      <c r="K59" s="1078" t="e">
        <f>'mili Max-Min % '!E12</f>
        <v>#N/A</v>
      </c>
      <c r="L59" s="1077" t="e">
        <f>'mili Max-Min % '!E11</f>
        <v>#N/A</v>
      </c>
      <c r="M59" s="1079" t="e">
        <f t="shared" ref="M59:M70" si="0">IF(ABS(D59)+E59&lt;=F59,"SI","NO")</f>
        <v>#N/A</v>
      </c>
    </row>
    <row r="60" spans="1:1020 1029:2040 2049:3070 3079:4090 4099:5120 5129:6140 6149:7160 7169:8190 8199:9210 9219:10240 10249:11260 11269:12280 12289:13310 13319:14330 14339:15360 15369:16380" ht="27.95" customHeight="1" x14ac:dyDescent="0.2">
      <c r="A60" s="1080">
        <v>2</v>
      </c>
      <c r="B60" s="1158">
        <f>'DATOS %'!F49</f>
        <v>0</v>
      </c>
      <c r="C60" s="1165" t="str">
        <f>'DATOS %'!B49</f>
        <v>2 mg</v>
      </c>
      <c r="D60" s="1166" t="e">
        <f>'2 mg %'!F75</f>
        <v>#N/A</v>
      </c>
      <c r="E60" s="1161">
        <f>'DATOS %'!Z135</f>
        <v>0.06</v>
      </c>
      <c r="F60" s="1081">
        <f>'DATOS %'!AA135</f>
        <v>0.2</v>
      </c>
      <c r="G60" s="1082" t="e">
        <f>'mili Max-Min % '!C21</f>
        <v>#N/A</v>
      </c>
      <c r="H60" s="1083" t="e">
        <f>'mili Max-Min % '!C20</f>
        <v>#N/A</v>
      </c>
      <c r="I60" s="1083" t="e">
        <f>'mili Max-Min % '!D21</f>
        <v>#N/A</v>
      </c>
      <c r="J60" s="1083" t="e">
        <f>'mili Max-Min % '!D20</f>
        <v>#N/A</v>
      </c>
      <c r="K60" s="1083" t="e">
        <f>'mili Max-Min % '!E21</f>
        <v>#N/A</v>
      </c>
      <c r="L60" s="1084" t="e">
        <f>'mili Max-Min % '!E20</f>
        <v>#N/A</v>
      </c>
      <c r="M60" s="1085" t="e">
        <f t="shared" si="0"/>
        <v>#N/A</v>
      </c>
    </row>
    <row r="61" spans="1:1020 1029:2040 2049:3070 3079:4090 4099:5120 5129:6140 6149:7160 7169:8190 8199:9210 9219:10240 10249:11260 11269:12280 12289:13310 13319:14330 14339:15360 15369:16380" ht="27.95" customHeight="1" x14ac:dyDescent="0.2">
      <c r="A61" s="1080">
        <v>3</v>
      </c>
      <c r="B61" s="1158">
        <f>'DATOS %'!F50</f>
        <v>0</v>
      </c>
      <c r="C61" s="1165" t="str">
        <f>'DATOS %'!B49</f>
        <v>2 mg</v>
      </c>
      <c r="D61" s="1166" t="e">
        <f>'2 mg + % '!F75</f>
        <v>#N/A</v>
      </c>
      <c r="E61" s="1161">
        <f>'DATOS %'!Z136</f>
        <v>0.06</v>
      </c>
      <c r="F61" s="1081">
        <f>'DATOS %'!AA136</f>
        <v>0.2</v>
      </c>
      <c r="G61" s="1082" t="e">
        <f>'mili Max-Min % '!C30</f>
        <v>#N/A</v>
      </c>
      <c r="H61" s="1083" t="e">
        <f>'mili Max-Min % '!C29</f>
        <v>#N/A</v>
      </c>
      <c r="I61" s="1083" t="e">
        <f>'mili Max-Min % '!D30</f>
        <v>#N/A</v>
      </c>
      <c r="J61" s="1083" t="e">
        <f>'mili Max-Min % '!D29</f>
        <v>#N/A</v>
      </c>
      <c r="K61" s="1083" t="e">
        <f>'mili Max-Min % '!E30</f>
        <v>#N/A</v>
      </c>
      <c r="L61" s="1084" t="e">
        <f>'mili Max-Min % '!E29</f>
        <v>#N/A</v>
      </c>
      <c r="M61" s="1085" t="e">
        <f t="shared" si="0"/>
        <v>#N/A</v>
      </c>
    </row>
    <row r="62" spans="1:1020 1029:2040 2049:3070 3079:4090 4099:5120 5129:6140 6149:7160 7169:8190 8199:9210 9219:10240 10249:11260 11269:12280 12289:13310 13319:14330 14339:15360 15369:16380" ht="27.95" customHeight="1" x14ac:dyDescent="0.2">
      <c r="A62" s="1080">
        <v>4</v>
      </c>
      <c r="B62" s="1158">
        <f>'DATOS %'!F51</f>
        <v>0</v>
      </c>
      <c r="C62" s="1165" t="str">
        <f>'DATOS %'!B51</f>
        <v>5 mg</v>
      </c>
      <c r="D62" s="1166" t="e">
        <f>'5 mg % '!F75</f>
        <v>#N/A</v>
      </c>
      <c r="E62" s="1161">
        <f>'DATOS %'!Z137</f>
        <v>0.06</v>
      </c>
      <c r="F62" s="1081">
        <f>'DATOS %'!AA137</f>
        <v>0.2</v>
      </c>
      <c r="G62" s="1082" t="e">
        <f>'mili Max-Min % '!C39</f>
        <v>#N/A</v>
      </c>
      <c r="H62" s="1083" t="e">
        <f>'mili Max-Min % '!C38</f>
        <v>#N/A</v>
      </c>
      <c r="I62" s="1083" t="e">
        <f>'mili Max-Min % '!D39</f>
        <v>#N/A</v>
      </c>
      <c r="J62" s="1083" t="e">
        <f>'mili Max-Min % '!D38</f>
        <v>#N/A</v>
      </c>
      <c r="K62" s="1083" t="e">
        <f>'mili Max-Min % '!E39</f>
        <v>#N/A</v>
      </c>
      <c r="L62" s="1084" t="e">
        <f>'mili Max-Min % '!E38</f>
        <v>#N/A</v>
      </c>
      <c r="M62" s="1085" t="e">
        <f t="shared" si="0"/>
        <v>#N/A</v>
      </c>
    </row>
    <row r="63" spans="1:1020 1029:2040 2049:3070 3079:4090 4099:5120 5129:6140 6149:7160 7169:8190 8199:9210 9219:10240 10249:11260 11269:12280 12289:13310 13319:14330 14339:15360 15369:16380" s="1213" customFormat="1" ht="27.95" customHeight="1" x14ac:dyDescent="0.2">
      <c r="A63" s="1080">
        <v>5</v>
      </c>
      <c r="B63" s="1158">
        <f>'DATOS %'!F52</f>
        <v>0</v>
      </c>
      <c r="C63" s="1165" t="str">
        <f>'DATOS %'!B52</f>
        <v>10 mg</v>
      </c>
      <c r="D63" s="1166" t="e">
        <f>'10 mg % '!F75</f>
        <v>#N/A</v>
      </c>
      <c r="E63" s="1161">
        <f>'DATOS %'!Z138</f>
        <v>0.08</v>
      </c>
      <c r="F63" s="1081">
        <f>'DATOS %'!AA138</f>
        <v>0.25</v>
      </c>
      <c r="G63" s="1082" t="e">
        <f>'mili Max-Min % '!I12</f>
        <v>#N/A</v>
      </c>
      <c r="H63" s="1083" t="e">
        <f>'mili Max-Min % '!I11</f>
        <v>#N/A</v>
      </c>
      <c r="I63" s="1083" t="e">
        <f>'mili Max-Min % '!J12</f>
        <v>#N/A</v>
      </c>
      <c r="J63" s="1083" t="e">
        <f>'mili Max-Min % '!J11</f>
        <v>#N/A</v>
      </c>
      <c r="K63" s="1083" t="e">
        <f>'mili Max-Min % '!K12</f>
        <v>#N/A</v>
      </c>
      <c r="L63" s="1084" t="e">
        <f>'mili Max-Min % '!K11</f>
        <v>#N/A</v>
      </c>
      <c r="M63" s="1085" t="e">
        <f t="shared" si="0"/>
        <v>#N/A</v>
      </c>
      <c r="O63" s="1173"/>
      <c r="P63" s="1173"/>
      <c r="Q63" s="1173"/>
      <c r="R63" s="1173"/>
      <c r="S63" s="1173"/>
      <c r="T63" s="1173"/>
      <c r="U63" s="1173"/>
      <c r="V63" s="1173"/>
    </row>
    <row r="64" spans="1:1020 1029:2040 2049:3070 3079:4090 4099:5120 5129:6140 6149:7160 7169:8190 8199:9210 9219:10240 10249:11260 11269:12280 12289:13310 13319:14330 14339:15360 15369:16380" ht="27.95" customHeight="1" x14ac:dyDescent="0.2">
      <c r="A64" s="1080">
        <v>6</v>
      </c>
      <c r="B64" s="1158">
        <f>'DATOS %'!F53</f>
        <v>0</v>
      </c>
      <c r="C64" s="1165" t="str">
        <f>'DATOS %'!B53</f>
        <v>20 mg</v>
      </c>
      <c r="D64" s="1166" t="e">
        <f>'20 mg % '!F75</f>
        <v>#N/A</v>
      </c>
      <c r="E64" s="1161">
        <f>'DATOS %'!Z139</f>
        <v>0.1</v>
      </c>
      <c r="F64" s="1086">
        <f>'DATOS %'!AA139</f>
        <v>0.3</v>
      </c>
      <c r="G64" s="1082" t="e">
        <f>'mili Max-Min % '!I21</f>
        <v>#N/A</v>
      </c>
      <c r="H64" s="1083" t="e">
        <f>'mili Max-Min % '!I20</f>
        <v>#N/A</v>
      </c>
      <c r="I64" s="1083" t="e">
        <f>'mili Max-Min % '!J21</f>
        <v>#N/A</v>
      </c>
      <c r="J64" s="1083" t="e">
        <f>'mili Max-Min % '!J20</f>
        <v>#N/A</v>
      </c>
      <c r="K64" s="1083" t="e">
        <f>'mili Max-Min % '!K21</f>
        <v>#N/A</v>
      </c>
      <c r="L64" s="1084" t="e">
        <f>'mili Max-Min % '!K20</f>
        <v>#N/A</v>
      </c>
      <c r="M64" s="1085" t="e">
        <f t="shared" si="0"/>
        <v>#N/A</v>
      </c>
    </row>
    <row r="65" spans="1:15" ht="27.95" customHeight="1" x14ac:dyDescent="0.2">
      <c r="A65" s="1080">
        <v>7</v>
      </c>
      <c r="B65" s="1158">
        <f>'DATOS %'!F54</f>
        <v>0</v>
      </c>
      <c r="C65" s="1165" t="str">
        <f>'DATOS %'!B53</f>
        <v>20 mg</v>
      </c>
      <c r="D65" s="1166" t="e">
        <f>'20 mg + % '!F75</f>
        <v>#N/A</v>
      </c>
      <c r="E65" s="1161">
        <f>'DATOS %'!Z140</f>
        <v>0.1</v>
      </c>
      <c r="F65" s="1086">
        <f>'DATOS %'!AA140</f>
        <v>0.3</v>
      </c>
      <c r="G65" s="1082" t="e">
        <f>'mili Max-Min % '!I30</f>
        <v>#N/A</v>
      </c>
      <c r="H65" s="1083" t="e">
        <f>'mili Max-Min % '!I29</f>
        <v>#N/A</v>
      </c>
      <c r="I65" s="1083" t="e">
        <f>'mili Max-Min % '!J30</f>
        <v>#N/A</v>
      </c>
      <c r="J65" s="1083" t="e">
        <f>'mili Max-Min % '!J29</f>
        <v>#N/A</v>
      </c>
      <c r="K65" s="1083" t="e">
        <f>'mili Max-Min % '!K30</f>
        <v>#N/A</v>
      </c>
      <c r="L65" s="1084" t="e">
        <f>'mili Max-Min % '!K29</f>
        <v>#N/A</v>
      </c>
      <c r="M65" s="1085" t="e">
        <f t="shared" si="0"/>
        <v>#N/A</v>
      </c>
    </row>
    <row r="66" spans="1:15" ht="27.95" customHeight="1" x14ac:dyDescent="0.2">
      <c r="A66" s="1080">
        <v>8</v>
      </c>
      <c r="B66" s="1158">
        <f>'DATOS %'!F55</f>
        <v>0</v>
      </c>
      <c r="C66" s="1165" t="str">
        <f>'DATOS %'!B55</f>
        <v>50 mg</v>
      </c>
      <c r="D66" s="1166" t="e">
        <f>'50 mg % '!F75</f>
        <v>#N/A</v>
      </c>
      <c r="E66" s="1161">
        <f>'DATOS %'!Z141</f>
        <v>0.12</v>
      </c>
      <c r="F66" s="1086">
        <f>'DATOS %'!AA141</f>
        <v>0.4</v>
      </c>
      <c r="G66" s="1082" t="e">
        <f>'mili Max-Min % '!I39</f>
        <v>#N/A</v>
      </c>
      <c r="H66" s="1083" t="e">
        <f>'mili Max-Min % '!I38</f>
        <v>#N/A</v>
      </c>
      <c r="I66" s="1083" t="e">
        <f>'mili Max-Min % '!J39</f>
        <v>#N/A</v>
      </c>
      <c r="J66" s="1083" t="e">
        <f>'mili Max-Min % '!J38</f>
        <v>#N/A</v>
      </c>
      <c r="K66" s="1083" t="e">
        <f>'mili Max-Min % '!K39</f>
        <v>#N/A</v>
      </c>
      <c r="L66" s="1084" t="e">
        <f>'mili Max-Min % '!K38</f>
        <v>#N/A</v>
      </c>
      <c r="M66" s="1085" t="e">
        <f t="shared" si="0"/>
        <v>#N/A</v>
      </c>
    </row>
    <row r="67" spans="1:15" ht="27.95" customHeight="1" x14ac:dyDescent="0.2">
      <c r="A67" s="1080">
        <v>9</v>
      </c>
      <c r="B67" s="1158">
        <f>'DATOS %'!F56</f>
        <v>0</v>
      </c>
      <c r="C67" s="1165" t="str">
        <f>'DATOS %'!B56</f>
        <v>100 mg</v>
      </c>
      <c r="D67" s="1166" t="e">
        <f>'100 mg % '!F75</f>
        <v>#N/A</v>
      </c>
      <c r="E67" s="1161">
        <f>'DATOS %'!Z142</f>
        <v>0.16</v>
      </c>
      <c r="F67" s="1086">
        <f>'DATOS %'!AA142</f>
        <v>0.5</v>
      </c>
      <c r="G67" s="1082" t="e">
        <f>'mili Max-Min % '!O12</f>
        <v>#N/A</v>
      </c>
      <c r="H67" s="1083" t="e">
        <f>'mili Max-Min % '!O11</f>
        <v>#N/A</v>
      </c>
      <c r="I67" s="1083" t="e">
        <f>'mili Max-Min % '!P12</f>
        <v>#N/A</v>
      </c>
      <c r="J67" s="1083" t="e">
        <f>'mili Max-Min % '!P11</f>
        <v>#N/A</v>
      </c>
      <c r="K67" s="1083" t="e">
        <f>'mili Max-Min % '!Q12</f>
        <v>#N/A</v>
      </c>
      <c r="L67" s="1084" t="e">
        <f>'mili Max-Min % '!Q11</f>
        <v>#N/A</v>
      </c>
      <c r="M67" s="1085" t="e">
        <f t="shared" si="0"/>
        <v>#N/A</v>
      </c>
    </row>
    <row r="68" spans="1:15" ht="27.95" customHeight="1" x14ac:dyDescent="0.2">
      <c r="A68" s="1080">
        <v>10</v>
      </c>
      <c r="B68" s="1158">
        <f>'DATOS %'!F57</f>
        <v>0</v>
      </c>
      <c r="C68" s="1165" t="str">
        <f>'DATOS %'!B57</f>
        <v>200 mg</v>
      </c>
      <c r="D68" s="1166" t="e">
        <f>'200 mg % '!F75</f>
        <v>#N/A</v>
      </c>
      <c r="E68" s="1161">
        <f>'DATOS %'!Z143</f>
        <v>0.2</v>
      </c>
      <c r="F68" s="1086">
        <f>'DATOS %'!AA143</f>
        <v>0.6</v>
      </c>
      <c r="G68" s="1082" t="e">
        <f>'mili Max-Min % '!O21</f>
        <v>#N/A</v>
      </c>
      <c r="H68" s="1083" t="e">
        <f>'mili Max-Min % '!O20</f>
        <v>#N/A</v>
      </c>
      <c r="I68" s="1083" t="e">
        <f>'mili Max-Min % '!P21</f>
        <v>#N/A</v>
      </c>
      <c r="J68" s="1083" t="e">
        <f>'mili Max-Min % '!P20</f>
        <v>#N/A</v>
      </c>
      <c r="K68" s="1083" t="e">
        <f>'mili Max-Min % '!Q21</f>
        <v>#N/A</v>
      </c>
      <c r="L68" s="1084" t="e">
        <f>'mili Max-Min % '!Q20</f>
        <v>#N/A</v>
      </c>
      <c r="M68" s="1085" t="e">
        <f t="shared" si="0"/>
        <v>#N/A</v>
      </c>
    </row>
    <row r="69" spans="1:15" ht="27.95" customHeight="1" x14ac:dyDescent="0.2">
      <c r="A69" s="1080">
        <v>11</v>
      </c>
      <c r="B69" s="1158">
        <f>'DATOS %'!F58</f>
        <v>0</v>
      </c>
      <c r="C69" s="1165" t="str">
        <f>'DATOS %'!B57</f>
        <v>200 mg</v>
      </c>
      <c r="D69" s="1166" t="e">
        <f>'200 mg + %'!F75</f>
        <v>#N/A</v>
      </c>
      <c r="E69" s="1161">
        <f>'DATOS %'!Z144</f>
        <v>0.2</v>
      </c>
      <c r="F69" s="1086">
        <f>'DATOS %'!AA144</f>
        <v>0.6</v>
      </c>
      <c r="G69" s="1082" t="e">
        <f>'mili Max-Min % '!O30</f>
        <v>#N/A</v>
      </c>
      <c r="H69" s="1083" t="e">
        <f>'mili Max-Min % '!O29</f>
        <v>#N/A</v>
      </c>
      <c r="I69" s="1083" t="e">
        <f>'mili Max-Min % '!P30</f>
        <v>#N/A</v>
      </c>
      <c r="J69" s="1083" t="e">
        <f>'mili Max-Min % '!P29</f>
        <v>#N/A</v>
      </c>
      <c r="K69" s="1083" t="e">
        <f>'mili Max-Min % '!Q30</f>
        <v>#N/A</v>
      </c>
      <c r="L69" s="1084" t="e">
        <f>'mili Max-Min % '!Q29</f>
        <v>#N/A</v>
      </c>
      <c r="M69" s="1085" t="e">
        <f t="shared" si="0"/>
        <v>#N/A</v>
      </c>
    </row>
    <row r="70" spans="1:15" ht="27.95" customHeight="1" thickBot="1" x14ac:dyDescent="0.25">
      <c r="A70" s="1087">
        <v>12</v>
      </c>
      <c r="B70" s="1159">
        <f>'DATOS %'!F59</f>
        <v>0</v>
      </c>
      <c r="C70" s="1167" t="str">
        <f>'DATOS %'!B59</f>
        <v>500 mg</v>
      </c>
      <c r="D70" s="1168" t="e">
        <f>'500 mg % '!F75</f>
        <v>#N/A</v>
      </c>
      <c r="E70" s="1162">
        <f>'DATOS %'!Z145</f>
        <v>0.25</v>
      </c>
      <c r="F70" s="1088">
        <f>'DATOS %'!AA145</f>
        <v>0.8</v>
      </c>
      <c r="G70" s="1089" t="e">
        <f>'mili Max-Min % '!O39</f>
        <v>#N/A</v>
      </c>
      <c r="H70" s="1090" t="e">
        <f>'mili Max-Min % '!O38</f>
        <v>#N/A</v>
      </c>
      <c r="I70" s="1090" t="e">
        <f>'mili Max-Min % '!P39</f>
        <v>#N/A</v>
      </c>
      <c r="J70" s="1090" t="e">
        <f>'mili Max-Min % '!P38</f>
        <v>#N/A</v>
      </c>
      <c r="K70" s="1090" t="e">
        <f>'mili Max-Min % '!Q39</f>
        <v>#N/A</v>
      </c>
      <c r="L70" s="1091" t="e">
        <f>'mili Max-Min % '!Q38</f>
        <v>#N/A</v>
      </c>
      <c r="M70" s="1092" t="e">
        <f t="shared" si="0"/>
        <v>#N/A</v>
      </c>
      <c r="O70" s="1249"/>
    </row>
    <row r="71" spans="1:15" ht="20.100000000000001" customHeight="1" x14ac:dyDescent="0.2">
      <c r="A71" s="1240"/>
      <c r="B71" s="1240"/>
      <c r="C71" s="1240"/>
      <c r="D71" s="1240"/>
      <c r="E71" s="1240"/>
      <c r="F71" s="1240"/>
      <c r="G71" s="1241"/>
      <c r="H71" s="1241"/>
      <c r="I71" s="1241"/>
      <c r="J71" s="1242"/>
    </row>
    <row r="72" spans="1:15" ht="20.100000000000001" customHeight="1" x14ac:dyDescent="0.2">
      <c r="A72" s="1483" t="s">
        <v>456</v>
      </c>
      <c r="B72" s="1483"/>
      <c r="C72" s="1483"/>
      <c r="D72" s="1483"/>
      <c r="E72" s="1483"/>
      <c r="F72" s="1483"/>
      <c r="G72" s="1483"/>
      <c r="H72" s="1483"/>
      <c r="I72" s="1483"/>
      <c r="J72" s="1483"/>
      <c r="K72" s="1483"/>
      <c r="L72" s="1483"/>
      <c r="M72" s="1483"/>
    </row>
    <row r="73" spans="1:15" ht="20.100000000000001" customHeight="1" x14ac:dyDescent="0.2">
      <c r="A73" s="1483"/>
      <c r="B73" s="1483"/>
      <c r="C73" s="1483"/>
      <c r="D73" s="1483"/>
      <c r="E73" s="1483"/>
      <c r="F73" s="1483"/>
      <c r="G73" s="1483"/>
      <c r="H73" s="1483"/>
      <c r="I73" s="1483"/>
      <c r="J73" s="1483"/>
      <c r="K73" s="1483"/>
      <c r="L73" s="1483"/>
      <c r="M73" s="1483"/>
    </row>
    <row r="74" spans="1:15" ht="20.100000000000001" customHeight="1" x14ac:dyDescent="0.2">
      <c r="A74" s="1483"/>
      <c r="B74" s="1483"/>
      <c r="C74" s="1483"/>
      <c r="D74" s="1483"/>
      <c r="E74" s="1483"/>
      <c r="F74" s="1483"/>
      <c r="G74" s="1483"/>
      <c r="H74" s="1483"/>
      <c r="I74" s="1483"/>
      <c r="J74" s="1483"/>
      <c r="K74" s="1483"/>
      <c r="L74" s="1483"/>
      <c r="M74" s="1483"/>
    </row>
    <row r="75" spans="1:15" ht="20.100000000000001" customHeight="1" x14ac:dyDescent="0.2">
      <c r="A75" s="1243"/>
      <c r="B75" s="1243"/>
      <c r="C75" s="1243"/>
      <c r="D75" s="1243"/>
      <c r="E75" s="1243"/>
      <c r="F75" s="1243"/>
      <c r="G75" s="1243"/>
      <c r="H75" s="1243"/>
      <c r="I75" s="1243"/>
      <c r="J75" s="1243"/>
    </row>
    <row r="76" spans="1:15" ht="18.75" customHeight="1" x14ac:dyDescent="0.2">
      <c r="A76" s="1243"/>
      <c r="B76" s="1243"/>
      <c r="C76" s="1243"/>
      <c r="D76" s="1243"/>
      <c r="E76" s="1243"/>
      <c r="F76" s="1243"/>
      <c r="G76" s="1243"/>
      <c r="H76" s="1243"/>
      <c r="I76" s="1243"/>
      <c r="J76" s="1243"/>
    </row>
    <row r="77" spans="1:15" ht="125.1" customHeight="1" x14ac:dyDescent="0.2">
      <c r="A77" s="1244"/>
      <c r="B77" s="1244"/>
      <c r="C77" s="1244"/>
      <c r="D77" s="1244"/>
      <c r="E77" s="1244"/>
      <c r="F77" s="1244"/>
      <c r="G77" s="1244"/>
      <c r="H77" s="1244"/>
      <c r="I77" s="1244"/>
      <c r="J77" s="1244"/>
    </row>
    <row r="78" spans="1:15" ht="35.1" customHeight="1" x14ac:dyDescent="0.2">
      <c r="A78" s="1244"/>
      <c r="B78" s="1244"/>
      <c r="C78" s="1244"/>
      <c r="D78" s="1244"/>
      <c r="E78" s="1244"/>
      <c r="F78" s="1244"/>
      <c r="G78" s="1244"/>
      <c r="H78" s="1244"/>
      <c r="I78" s="1244"/>
      <c r="J78" s="1244"/>
    </row>
    <row r="79" spans="1:15" ht="35.1" customHeight="1" x14ac:dyDescent="0.2">
      <c r="A79" s="1244"/>
      <c r="B79" s="1244"/>
      <c r="C79" s="1244"/>
      <c r="D79" s="1244"/>
      <c r="E79" s="1244"/>
      <c r="F79" s="1244"/>
      <c r="G79" s="1244"/>
      <c r="H79" s="1446" t="s">
        <v>459</v>
      </c>
      <c r="I79" s="1446"/>
      <c r="J79" s="1446"/>
      <c r="K79" s="1446"/>
      <c r="L79" s="1469">
        <f>L3</f>
        <v>0</v>
      </c>
      <c r="M79" s="1469"/>
    </row>
    <row r="80" spans="1:15" ht="23.1" customHeight="1" x14ac:dyDescent="0.2">
      <c r="A80" s="1482" t="s">
        <v>251</v>
      </c>
      <c r="B80" s="1482"/>
      <c r="C80" s="1482"/>
      <c r="D80" s="1482"/>
    </row>
    <row r="81" spans="1:13" ht="20.100000000000001" customHeight="1" x14ac:dyDescent="0.2"/>
    <row r="82" spans="1:13" s="1245" customFormat="1" ht="33" customHeight="1" x14ac:dyDescent="0.25">
      <c r="A82" s="1169" t="s">
        <v>130</v>
      </c>
      <c r="B82" s="1438" t="s">
        <v>270</v>
      </c>
      <c r="C82" s="1438"/>
      <c r="D82" s="1438"/>
      <c r="E82" s="1438"/>
      <c r="F82" s="1438"/>
      <c r="G82" s="1438"/>
      <c r="H82" s="1438"/>
      <c r="I82" s="1438"/>
      <c r="J82" s="1438"/>
      <c r="K82" s="1438"/>
      <c r="L82" s="1438"/>
      <c r="M82" s="1438"/>
    </row>
    <row r="83" spans="1:13" s="1245" customFormat="1" ht="33" customHeight="1" x14ac:dyDescent="0.25">
      <c r="A83" s="1169" t="s">
        <v>130</v>
      </c>
      <c r="B83" s="1438" t="s">
        <v>271</v>
      </c>
      <c r="C83" s="1438"/>
      <c r="D83" s="1438"/>
      <c r="E83" s="1438"/>
      <c r="F83" s="1438"/>
      <c r="G83" s="1438"/>
      <c r="H83" s="1438"/>
      <c r="I83" s="1438"/>
      <c r="J83" s="1438"/>
      <c r="K83" s="1438"/>
      <c r="L83" s="1438"/>
      <c r="M83" s="1438"/>
    </row>
    <row r="84" spans="1:13" s="1245" customFormat="1" ht="33" customHeight="1" x14ac:dyDescent="0.25">
      <c r="A84" s="1169" t="s">
        <v>130</v>
      </c>
      <c r="B84" s="1438" t="s">
        <v>284</v>
      </c>
      <c r="C84" s="1438"/>
      <c r="D84" s="1438"/>
      <c r="E84" s="1438"/>
      <c r="F84" s="1438"/>
      <c r="G84" s="1438"/>
      <c r="H84" s="1438"/>
      <c r="I84" s="1438"/>
      <c r="J84" s="1438"/>
      <c r="K84" s="1438"/>
      <c r="L84" s="1438"/>
      <c r="M84" s="1438"/>
    </row>
    <row r="85" spans="1:13" s="1245" customFormat="1" ht="23.1" customHeight="1" x14ac:dyDescent="0.25">
      <c r="A85" s="1169" t="s">
        <v>130</v>
      </c>
      <c r="B85" s="1438" t="s">
        <v>317</v>
      </c>
      <c r="C85" s="1438"/>
      <c r="D85" s="1438"/>
      <c r="E85" s="1438"/>
      <c r="F85" s="1438"/>
      <c r="G85" s="1438"/>
      <c r="H85" s="1438"/>
      <c r="I85" s="1438"/>
      <c r="J85" s="1438"/>
      <c r="K85" s="1438"/>
      <c r="L85" s="1438"/>
      <c r="M85" s="1438"/>
    </row>
    <row r="86" spans="1:13" s="1245" customFormat="1" ht="23.1" customHeight="1" x14ac:dyDescent="0.25">
      <c r="A86" s="1169" t="s">
        <v>130</v>
      </c>
      <c r="B86" s="1438" t="s">
        <v>185</v>
      </c>
      <c r="C86" s="1438"/>
      <c r="D86" s="1438"/>
      <c r="E86" s="1438"/>
      <c r="F86" s="1438"/>
      <c r="G86" s="1438"/>
      <c r="H86" s="1438"/>
      <c r="I86" s="1438"/>
      <c r="J86" s="1438"/>
      <c r="K86" s="1438"/>
      <c r="L86" s="1438"/>
      <c r="M86" s="1438"/>
    </row>
    <row r="87" spans="1:13" s="1245" customFormat="1" ht="33" customHeight="1" x14ac:dyDescent="0.25">
      <c r="A87" s="1169" t="s">
        <v>130</v>
      </c>
      <c r="B87" s="1438" t="s">
        <v>272</v>
      </c>
      <c r="C87" s="1438"/>
      <c r="D87" s="1438"/>
      <c r="E87" s="1438"/>
      <c r="F87" s="1438"/>
      <c r="G87" s="1438"/>
      <c r="H87" s="1438"/>
      <c r="I87" s="1438"/>
      <c r="J87" s="1438"/>
      <c r="K87" s="1438"/>
      <c r="L87" s="1438"/>
      <c r="M87" s="1438"/>
    </row>
    <row r="88" spans="1:13" s="1245" customFormat="1" ht="23.1" customHeight="1" x14ac:dyDescent="0.25">
      <c r="A88" s="1169" t="s">
        <v>130</v>
      </c>
      <c r="B88" s="1438" t="s">
        <v>295</v>
      </c>
      <c r="C88" s="1438"/>
      <c r="D88" s="1438"/>
      <c r="E88" s="1438"/>
      <c r="F88" s="1438"/>
      <c r="G88" s="1438"/>
      <c r="H88" s="1438"/>
      <c r="I88" s="1438"/>
      <c r="J88" s="1438"/>
      <c r="K88" s="1438"/>
      <c r="L88" s="1438"/>
      <c r="M88" s="1438"/>
    </row>
    <row r="89" spans="1:13" s="1245" customFormat="1" ht="23.1" customHeight="1" x14ac:dyDescent="0.25">
      <c r="A89" s="1169" t="s">
        <v>130</v>
      </c>
      <c r="B89" s="1438" t="s">
        <v>285</v>
      </c>
      <c r="C89" s="1438"/>
      <c r="D89" s="1438"/>
      <c r="E89" s="1438"/>
      <c r="F89" s="1438"/>
      <c r="G89" s="1438"/>
      <c r="H89" s="1438"/>
      <c r="I89" s="1438"/>
      <c r="J89" s="1438"/>
      <c r="K89" s="1438"/>
      <c r="L89" s="1438"/>
      <c r="M89" s="1438"/>
    </row>
    <row r="90" spans="1:13" ht="23.1" customHeight="1" x14ac:dyDescent="0.2">
      <c r="A90" s="1169" t="s">
        <v>130</v>
      </c>
      <c r="B90" s="1438" t="s">
        <v>308</v>
      </c>
      <c r="C90" s="1438"/>
      <c r="D90" s="1438"/>
      <c r="E90" s="1438"/>
      <c r="F90" s="1438"/>
      <c r="G90" s="1438"/>
      <c r="H90" s="1438"/>
      <c r="I90" s="1438"/>
      <c r="J90" s="1438"/>
      <c r="K90" s="1438"/>
      <c r="L90" s="1438"/>
      <c r="M90" s="1438"/>
    </row>
    <row r="91" spans="1:13" ht="23.1" customHeight="1" x14ac:dyDescent="0.2">
      <c r="A91" s="1169" t="s">
        <v>130</v>
      </c>
      <c r="B91" s="1438" t="s">
        <v>349</v>
      </c>
      <c r="C91" s="1438"/>
      <c r="D91" s="1438"/>
      <c r="E91" s="1438"/>
      <c r="F91" s="1438"/>
      <c r="G91" s="1438"/>
      <c r="H91" s="1438"/>
      <c r="I91" s="1438"/>
      <c r="J91" s="1438"/>
      <c r="K91" s="1438"/>
      <c r="L91" s="1438"/>
      <c r="M91" s="1438"/>
    </row>
    <row r="92" spans="1:13" ht="33" customHeight="1" x14ac:dyDescent="0.2">
      <c r="A92" s="1169" t="s">
        <v>130</v>
      </c>
      <c r="B92" s="1438" t="s">
        <v>545</v>
      </c>
      <c r="C92" s="1438"/>
      <c r="D92" s="1438"/>
      <c r="E92" s="1438"/>
      <c r="F92" s="1438"/>
      <c r="G92" s="1438"/>
      <c r="H92" s="1438"/>
      <c r="I92" s="1438"/>
      <c r="J92" s="1438"/>
      <c r="K92" s="1438"/>
      <c r="L92" s="1438"/>
      <c r="M92" s="1438"/>
    </row>
    <row r="93" spans="1:13" ht="20.100000000000001" customHeight="1" x14ac:dyDescent="0.2">
      <c r="A93" s="395"/>
      <c r="B93" s="1250"/>
      <c r="C93" s="1250"/>
      <c r="D93" s="1250"/>
      <c r="E93" s="1250"/>
      <c r="F93" s="1250"/>
      <c r="G93" s="1250"/>
      <c r="H93" s="1250"/>
    </row>
    <row r="94" spans="1:13" ht="20.100000000000001" customHeight="1" x14ac:dyDescent="0.2"/>
    <row r="95" spans="1:13" ht="23.1" customHeight="1" x14ac:dyDescent="0.25">
      <c r="A95" s="1484" t="s">
        <v>16</v>
      </c>
      <c r="B95" s="1484"/>
      <c r="C95" s="1484"/>
      <c r="E95" s="396"/>
    </row>
    <row r="96" spans="1:13" ht="20.100000000000001" customHeight="1" x14ac:dyDescent="0.2"/>
    <row r="97" spans="1:13" ht="20.100000000000001" customHeight="1" x14ac:dyDescent="0.2">
      <c r="G97" s="1246"/>
      <c r="J97" s="1174"/>
    </row>
    <row r="98" spans="1:13" ht="23.1" customHeight="1" thickBot="1" x14ac:dyDescent="0.3">
      <c r="A98" s="396"/>
      <c r="B98" s="1468"/>
      <c r="C98" s="1468"/>
      <c r="D98" s="1468"/>
      <c r="E98" s="1468"/>
      <c r="F98" s="397"/>
      <c r="I98" s="1468"/>
      <c r="J98" s="1468"/>
      <c r="K98" s="1468"/>
      <c r="L98" s="1468"/>
      <c r="M98" s="397"/>
    </row>
    <row r="99" spans="1:13" ht="23.1" customHeight="1" x14ac:dyDescent="0.2">
      <c r="B99" s="1442" t="s">
        <v>247</v>
      </c>
      <c r="C99" s="1442"/>
      <c r="D99" s="1442"/>
      <c r="E99" s="1442"/>
      <c r="F99" s="1190"/>
      <c r="I99" s="1443" t="s">
        <v>127</v>
      </c>
      <c r="J99" s="1443"/>
      <c r="K99" s="1443"/>
      <c r="L99" s="1443"/>
    </row>
    <row r="100" spans="1:13" ht="27" customHeight="1" x14ac:dyDescent="0.25">
      <c r="A100" s="396"/>
      <c r="B100" s="1439" t="e">
        <f>VLOOKUP($F$98,'DATOS %'!$V$161:$Y$165,4,FALSE)</f>
        <v>#N/A</v>
      </c>
      <c r="C100" s="1439"/>
      <c r="D100" s="1439"/>
      <c r="E100" s="1439"/>
      <c r="F100" s="524"/>
      <c r="I100" s="1439" t="e">
        <f>VLOOKUP($M$98,'DATOS %'!V161:AA165,6,FALSE)</f>
        <v>#N/A</v>
      </c>
      <c r="J100" s="1439"/>
      <c r="K100" s="1439"/>
      <c r="L100" s="1439"/>
    </row>
    <row r="101" spans="1:13" ht="23.1" customHeight="1" x14ac:dyDescent="0.2">
      <c r="B101" s="1439" t="e">
        <f>VLOOKUP($F$98,'DATOS %'!$V$161:$Y$165,2,FALSE)</f>
        <v>#N/A</v>
      </c>
      <c r="C101" s="1439"/>
      <c r="D101" s="1439"/>
      <c r="E101" s="1439"/>
      <c r="F101" s="1190"/>
      <c r="I101" s="1439" t="e">
        <f>VLOOKUP($M$98,'DATOS %'!$V$161:$AA$165,2,FALSE)</f>
        <v>#N/A</v>
      </c>
      <c r="J101" s="1439"/>
      <c r="K101" s="1439"/>
      <c r="L101" s="1439"/>
    </row>
    <row r="102" spans="1:13" x14ac:dyDescent="0.2">
      <c r="J102" s="1174"/>
    </row>
    <row r="103" spans="1:13" ht="23.1" customHeight="1" x14ac:dyDescent="0.2">
      <c r="B103" s="1440" t="s">
        <v>296</v>
      </c>
      <c r="C103" s="1440"/>
      <c r="D103" s="1437"/>
      <c r="E103" s="1437"/>
      <c r="G103" s="1444" t="s">
        <v>350</v>
      </c>
      <c r="H103" s="1444"/>
      <c r="I103" s="1444"/>
      <c r="J103" s="1441"/>
      <c r="K103" s="1441"/>
      <c r="L103" s="1180"/>
      <c r="M103" s="1180"/>
    </row>
    <row r="104" spans="1:13" x14ac:dyDescent="0.2">
      <c r="J104" s="1174"/>
    </row>
    <row r="105" spans="1:13" ht="23.1" customHeight="1" x14ac:dyDescent="0.25">
      <c r="A105" s="1436" t="s">
        <v>60</v>
      </c>
      <c r="B105" s="1436"/>
      <c r="C105" s="1436"/>
      <c r="D105" s="1436"/>
      <c r="E105" s="1436"/>
      <c r="F105" s="1436"/>
      <c r="G105" s="1436"/>
      <c r="H105" s="1436"/>
      <c r="I105" s="1436"/>
      <c r="J105" s="1436"/>
      <c r="K105" s="1436"/>
      <c r="L105" s="1436"/>
      <c r="M105" s="1436"/>
    </row>
  </sheetData>
  <sheetProtection password="CF5C" sheet="1" objects="1" scenarios="1"/>
  <mergeCells count="100">
    <mergeCell ref="B87:M87"/>
    <mergeCell ref="A105:M105"/>
    <mergeCell ref="H3:K3"/>
    <mergeCell ref="H32:K32"/>
    <mergeCell ref="H54:K54"/>
    <mergeCell ref="H79:K79"/>
    <mergeCell ref="B101:E101"/>
    <mergeCell ref="I101:L101"/>
    <mergeCell ref="B103:C103"/>
    <mergeCell ref="D103:E103"/>
    <mergeCell ref="G103:I103"/>
    <mergeCell ref="J103:K103"/>
    <mergeCell ref="B98:E98"/>
    <mergeCell ref="I98:L98"/>
    <mergeCell ref="B99:E99"/>
    <mergeCell ref="I99:L99"/>
    <mergeCell ref="I100:L100"/>
    <mergeCell ref="B88:M88"/>
    <mergeCell ref="B89:M89"/>
    <mergeCell ref="B90:M90"/>
    <mergeCell ref="B91:M91"/>
    <mergeCell ref="B92:M92"/>
    <mergeCell ref="A95:C95"/>
    <mergeCell ref="B100:E100"/>
    <mergeCell ref="C57:D57"/>
    <mergeCell ref="E57:E58"/>
    <mergeCell ref="F57:F58"/>
    <mergeCell ref="G57:H57"/>
    <mergeCell ref="B86:M86"/>
    <mergeCell ref="B82:M82"/>
    <mergeCell ref="B83:M83"/>
    <mergeCell ref="B84:M84"/>
    <mergeCell ref="B85:M85"/>
    <mergeCell ref="I57:J57"/>
    <mergeCell ref="K57:L57"/>
    <mergeCell ref="A72:M74"/>
    <mergeCell ref="L79:M79"/>
    <mergeCell ref="A80:D80"/>
    <mergeCell ref="A57:A58"/>
    <mergeCell ref="B57:B58"/>
    <mergeCell ref="A47:J47"/>
    <mergeCell ref="A49:M50"/>
    <mergeCell ref="A52:J52"/>
    <mergeCell ref="L54:M54"/>
    <mergeCell ref="A55:J55"/>
    <mergeCell ref="B45:D45"/>
    <mergeCell ref="H45:I45"/>
    <mergeCell ref="J45:K45"/>
    <mergeCell ref="B37:C37"/>
    <mergeCell ref="D37:E37"/>
    <mergeCell ref="F37:G37"/>
    <mergeCell ref="A38:B38"/>
    <mergeCell ref="C38:D38"/>
    <mergeCell ref="E38:F38"/>
    <mergeCell ref="A40:J40"/>
    <mergeCell ref="A41:M42"/>
    <mergeCell ref="B44:D44"/>
    <mergeCell ref="H44:I44"/>
    <mergeCell ref="J44:K44"/>
    <mergeCell ref="L32:M32"/>
    <mergeCell ref="A33:J33"/>
    <mergeCell ref="B35:C36"/>
    <mergeCell ref="D35:E36"/>
    <mergeCell ref="F35:G36"/>
    <mergeCell ref="H35:K35"/>
    <mergeCell ref="H36:I36"/>
    <mergeCell ref="J36:K36"/>
    <mergeCell ref="A28:M28"/>
    <mergeCell ref="A17:C17"/>
    <mergeCell ref="D17:E17"/>
    <mergeCell ref="F17:G17"/>
    <mergeCell ref="A19:E19"/>
    <mergeCell ref="F19:J19"/>
    <mergeCell ref="A21:F21"/>
    <mergeCell ref="A22:M22"/>
    <mergeCell ref="B23:E23"/>
    <mergeCell ref="A24:D24"/>
    <mergeCell ref="E24:F24"/>
    <mergeCell ref="A26:J26"/>
    <mergeCell ref="A16:C16"/>
    <mergeCell ref="D16:G16"/>
    <mergeCell ref="A7:B7"/>
    <mergeCell ref="D7:J7"/>
    <mergeCell ref="A8:B8"/>
    <mergeCell ref="D8:G8"/>
    <mergeCell ref="A10:C10"/>
    <mergeCell ref="D10:E10"/>
    <mergeCell ref="F10:H10"/>
    <mergeCell ref="I10:J10"/>
    <mergeCell ref="A12:J12"/>
    <mergeCell ref="A14:C14"/>
    <mergeCell ref="D14:J14"/>
    <mergeCell ref="A15:C15"/>
    <mergeCell ref="D15:G15"/>
    <mergeCell ref="A1:M1"/>
    <mergeCell ref="L3:M3"/>
    <mergeCell ref="A4:C4"/>
    <mergeCell ref="G4:H4"/>
    <mergeCell ref="A6:B6"/>
    <mergeCell ref="D6:J6"/>
  </mergeCells>
  <dataValidations count="1">
    <dataValidation type="list" allowBlank="1" showInputMessage="1" showErrorMessage="1" sqref="F98" xr:uid="{00000000-0002-0000-2C00-000000000000}">
      <formula1>$V$157:$V$161</formula1>
    </dataValidation>
  </dataValidations>
  <printOptions horizontalCentered="1"/>
  <pageMargins left="0.70866141732283472" right="0.70866141732283472" top="0.6692913385826772" bottom="0" header="0.31496062992125984" footer="0.31496062992125984"/>
  <pageSetup scale="70" orientation="portrait" r:id="rId1"/>
  <headerFooter>
    <oddHeader xml:space="preserve">&amp;C&amp;"-,Negrita"
     MODIFICACIÓN AL CERTIFICADO DE CALIBRACIÓN DE PESAS </oddHeader>
    <oddFooter>&amp;R
RT03-F40 Vr.9 (2021-05-21)
&amp;P de &amp;N</oddFooter>
  </headerFooter>
  <rowBreaks count="3" manualBreakCount="3">
    <brk id="29" max="12" man="1"/>
    <brk id="51" max="12" man="1"/>
    <brk id="76" max="12" man="1"/>
  </rowBreaks>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2C00-000001000000}">
          <x14:formula1>
            <xm:f>'DATOS %'!$V$161:$V$165</xm:f>
          </x14:formula1>
          <xm:sqref>M98</xm:sqref>
        </x14:dataValidation>
        <x14:dataValidation type="list" allowBlank="1" showInputMessage="1" showErrorMessage="1" xr:uid="{00000000-0002-0000-2C00-000002000000}">
          <x14:formula1>
            <xm:f>'DATOS %'!$B$175:$B$187</xm:f>
          </x14:formula1>
          <xm:sqref>K34</xm:sqref>
        </x14:dataValidation>
      </x14:dataValidations>
    </ext>
  </extLs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rgb="FF92D050"/>
  </sheetPr>
  <dimension ref="A1:XEZ118"/>
  <sheetViews>
    <sheetView showGridLines="0" view="pageBreakPreview" zoomScale="70" zoomScaleNormal="100" zoomScaleSheetLayoutView="70" workbookViewId="0">
      <selection activeCell="I9" sqref="I9"/>
    </sheetView>
  </sheetViews>
  <sheetFormatPr baseColWidth="10" defaultColWidth="11.42578125" defaultRowHeight="15" x14ac:dyDescent="0.2"/>
  <cols>
    <col min="1" max="1" width="5.7109375" style="818" customWidth="1"/>
    <col min="2" max="2" width="15.42578125" style="818" customWidth="1"/>
    <col min="3" max="3" width="12.28515625" style="818" customWidth="1"/>
    <col min="4" max="4" width="10.140625" style="818" customWidth="1"/>
    <col min="5" max="5" width="16" style="818" customWidth="1"/>
    <col min="6" max="6" width="13.85546875" style="818" customWidth="1"/>
    <col min="7" max="13" width="9.7109375" style="818" customWidth="1"/>
    <col min="14" max="16384" width="11.42578125" style="818"/>
  </cols>
  <sheetData>
    <row r="1" spans="1:13" ht="125.1" customHeight="1" x14ac:dyDescent="0.2">
      <c r="A1" s="1739"/>
      <c r="B1" s="1739"/>
      <c r="C1" s="1739"/>
      <c r="D1" s="1739"/>
      <c r="E1" s="1739"/>
      <c r="F1" s="1739"/>
      <c r="G1" s="1739"/>
      <c r="H1" s="1739"/>
      <c r="I1" s="1739"/>
      <c r="J1" s="1739"/>
      <c r="K1" s="1739"/>
      <c r="L1" s="1739"/>
      <c r="M1" s="1739"/>
    </row>
    <row r="2" spans="1:13" ht="35.1" customHeight="1" x14ac:dyDescent="0.2">
      <c r="A2" s="964"/>
      <c r="B2" s="964"/>
      <c r="C2" s="964"/>
      <c r="D2" s="964"/>
      <c r="E2" s="964"/>
      <c r="F2" s="964"/>
    </row>
    <row r="3" spans="1:13" ht="35.1" customHeight="1" x14ac:dyDescent="0.2">
      <c r="A3" s="964"/>
      <c r="B3" s="964"/>
      <c r="C3" s="964"/>
      <c r="D3" s="964"/>
      <c r="E3" s="964"/>
      <c r="F3" s="964"/>
      <c r="H3" s="1446" t="s">
        <v>459</v>
      </c>
      <c r="I3" s="1446"/>
      <c r="J3" s="1446"/>
      <c r="K3" s="1446"/>
      <c r="L3" s="1447">
        <f>'DATOS %'!J8</f>
        <v>0</v>
      </c>
      <c r="M3" s="1447"/>
    </row>
    <row r="4" spans="1:13" ht="24.95" customHeight="1" x14ac:dyDescent="0.25">
      <c r="A4" s="1463" t="s">
        <v>6</v>
      </c>
      <c r="B4" s="1463"/>
      <c r="C4" s="1463"/>
      <c r="D4" s="819"/>
      <c r="E4" s="819"/>
      <c r="G4" s="1464"/>
      <c r="H4" s="1464"/>
    </row>
    <row r="5" spans="1:13" ht="20.100000000000001" customHeight="1" x14ac:dyDescent="0.2">
      <c r="A5" s="969"/>
      <c r="B5" s="819"/>
      <c r="C5" s="819"/>
      <c r="D5" s="819"/>
      <c r="E5" s="819"/>
      <c r="F5" s="819"/>
    </row>
    <row r="6" spans="1:13" ht="24.95" customHeight="1" x14ac:dyDescent="0.2">
      <c r="A6" s="1740" t="s">
        <v>286</v>
      </c>
      <c r="B6" s="1740"/>
      <c r="D6" s="1741">
        <f>('DATOS %'!E8)</f>
        <v>0</v>
      </c>
      <c r="E6" s="1741"/>
      <c r="F6" s="1741"/>
      <c r="G6" s="1741"/>
      <c r="H6" s="1741"/>
      <c r="I6" s="1741"/>
      <c r="J6" s="1741"/>
    </row>
    <row r="7" spans="1:13" ht="24.95" customHeight="1" x14ac:dyDescent="0.2">
      <c r="A7" s="1740" t="s">
        <v>287</v>
      </c>
      <c r="B7" s="1740"/>
      <c r="C7" s="820"/>
      <c r="D7" s="1741">
        <f>'DATOS %'!F8</f>
        <v>0</v>
      </c>
      <c r="E7" s="1741"/>
      <c r="F7" s="1741"/>
      <c r="G7" s="1741"/>
      <c r="H7" s="1741"/>
      <c r="I7" s="1741"/>
      <c r="J7" s="1741"/>
    </row>
    <row r="8" spans="1:13" ht="24.95" customHeight="1" x14ac:dyDescent="0.2">
      <c r="A8" s="1740" t="s">
        <v>288</v>
      </c>
      <c r="B8" s="1740"/>
      <c r="D8" s="1741" t="str">
        <f>PROPER('DATOS %'!C8)</f>
        <v/>
      </c>
      <c r="E8" s="1741"/>
      <c r="F8" s="1741"/>
      <c r="G8" s="1741"/>
    </row>
    <row r="9" spans="1:13" ht="24.95" customHeight="1" x14ac:dyDescent="0.2">
      <c r="A9" s="967"/>
      <c r="B9" s="967"/>
      <c r="D9" s="967"/>
      <c r="E9" s="967"/>
      <c r="F9" s="819"/>
    </row>
    <row r="10" spans="1:13" ht="24.95" customHeight="1" x14ac:dyDescent="0.2">
      <c r="A10" s="1740" t="s">
        <v>289</v>
      </c>
      <c r="B10" s="1740"/>
      <c r="C10" s="1740"/>
      <c r="D10" s="1745">
        <f>'DATOS %'!D8</f>
        <v>0</v>
      </c>
      <c r="E10" s="1745"/>
      <c r="F10" s="1746" t="s">
        <v>290</v>
      </c>
      <c r="G10" s="1746"/>
      <c r="H10" s="1746"/>
      <c r="I10" s="1745" t="e">
        <f>'10 kg %'!E4</f>
        <v>#N/A</v>
      </c>
      <c r="J10" s="1745"/>
    </row>
    <row r="11" spans="1:13" ht="24.95" customHeight="1" x14ac:dyDescent="0.2">
      <c r="A11" s="819"/>
      <c r="B11" s="819"/>
      <c r="C11" s="819"/>
      <c r="D11" s="819"/>
      <c r="E11" s="819"/>
      <c r="F11" s="819"/>
    </row>
    <row r="12" spans="1:13" ht="24.95" customHeight="1" x14ac:dyDescent="0.2">
      <c r="A12" s="1467" t="s">
        <v>245</v>
      </c>
      <c r="B12" s="1467"/>
      <c r="C12" s="1467"/>
      <c r="D12" s="1467"/>
      <c r="E12" s="1467"/>
      <c r="F12" s="1467"/>
      <c r="G12" s="1467"/>
      <c r="H12" s="1467"/>
      <c r="I12" s="1467"/>
      <c r="J12" s="1467"/>
    </row>
    <row r="13" spans="1:13" ht="20.100000000000001" customHeight="1" x14ac:dyDescent="0.2">
      <c r="A13" s="965"/>
      <c r="B13" s="965"/>
      <c r="C13" s="965"/>
      <c r="D13" s="965"/>
      <c r="E13" s="965"/>
      <c r="F13" s="819"/>
    </row>
    <row r="14" spans="1:13" ht="24.95" customHeight="1" x14ac:dyDescent="0.2">
      <c r="A14" s="1740" t="s">
        <v>291</v>
      </c>
      <c r="B14" s="1740"/>
      <c r="C14" s="1740"/>
      <c r="D14" s="1454" t="s">
        <v>332</v>
      </c>
      <c r="E14" s="1454"/>
      <c r="F14" s="1454"/>
      <c r="G14" s="1454"/>
      <c r="H14" s="1454"/>
      <c r="I14" s="1454"/>
      <c r="J14" s="1454"/>
    </row>
    <row r="15" spans="1:13" ht="24.95" customHeight="1" x14ac:dyDescent="0.2">
      <c r="A15" s="1740" t="s">
        <v>292</v>
      </c>
      <c r="B15" s="1740"/>
      <c r="C15" s="1740"/>
      <c r="D15" s="1742" t="str">
        <f>PROPER('DATOS %'!D48)</f>
        <v/>
      </c>
      <c r="E15" s="1743"/>
      <c r="F15" s="1743"/>
      <c r="G15" s="1743"/>
      <c r="H15" s="969"/>
      <c r="I15" s="969"/>
      <c r="J15" s="969"/>
    </row>
    <row r="16" spans="1:13" ht="24.95" customHeight="1" x14ac:dyDescent="0.2">
      <c r="A16" s="1740" t="s">
        <v>293</v>
      </c>
      <c r="B16" s="1740"/>
      <c r="C16" s="1740"/>
      <c r="D16" s="1744">
        <f>'DATOS %'!E48</f>
        <v>0</v>
      </c>
      <c r="E16" s="1744"/>
      <c r="F16" s="1744"/>
      <c r="G16" s="1744"/>
      <c r="H16" s="969"/>
      <c r="I16" s="969"/>
      <c r="J16" s="969"/>
    </row>
    <row r="17" spans="1:13" ht="24.95" customHeight="1" x14ac:dyDescent="0.2">
      <c r="A17" s="1740" t="s">
        <v>11</v>
      </c>
      <c r="B17" s="1740"/>
      <c r="C17" s="1740"/>
      <c r="D17" s="1748">
        <f>'DATOS %'!C48</f>
        <v>0</v>
      </c>
      <c r="E17" s="1748"/>
      <c r="F17" s="1745"/>
      <c r="G17" s="1745"/>
    </row>
    <row r="18" spans="1:13" ht="24.95" customHeight="1" x14ac:dyDescent="0.2">
      <c r="A18" s="967"/>
      <c r="B18" s="967"/>
      <c r="C18" s="967"/>
      <c r="D18" s="821"/>
      <c r="E18" s="969"/>
      <c r="F18" s="969"/>
      <c r="G18" s="969"/>
    </row>
    <row r="19" spans="1:13" ht="24.95" customHeight="1" x14ac:dyDescent="0.2">
      <c r="A19" s="1740" t="s">
        <v>12</v>
      </c>
      <c r="B19" s="1740"/>
      <c r="C19" s="1740"/>
      <c r="D19" s="1740"/>
      <c r="E19" s="1740"/>
      <c r="F19" s="1740">
        <f>'DATOS %'!C80</f>
        <v>0</v>
      </c>
      <c r="G19" s="1740"/>
      <c r="H19" s="1740"/>
      <c r="I19" s="1740"/>
      <c r="J19" s="1740"/>
    </row>
    <row r="20" spans="1:13" ht="24.95" customHeight="1" x14ac:dyDescent="0.2">
      <c r="A20" s="967"/>
      <c r="B20" s="967"/>
      <c r="C20" s="967"/>
      <c r="D20" s="967"/>
      <c r="E20" s="967"/>
      <c r="F20" s="967"/>
      <c r="G20" s="819"/>
    </row>
    <row r="21" spans="1:13" ht="24.95" customHeight="1" x14ac:dyDescent="0.2">
      <c r="A21" s="1463" t="s">
        <v>205</v>
      </c>
      <c r="B21" s="1463"/>
      <c r="C21" s="1463"/>
      <c r="D21" s="1463"/>
      <c r="E21" s="1463"/>
      <c r="F21" s="1463"/>
    </row>
    <row r="22" spans="1:13" ht="24.95" customHeight="1" x14ac:dyDescent="0.2">
      <c r="A22" s="1459" t="str">
        <f>'DATOS %'!G8</f>
        <v>Laboratorio de calibración de masa y volumen, avenida carrera  50 # 26-55 Int 2,  piso 5.</v>
      </c>
      <c r="B22" s="1459"/>
      <c r="C22" s="1459"/>
      <c r="D22" s="1459"/>
      <c r="E22" s="1459"/>
      <c r="F22" s="1459"/>
      <c r="G22" s="1459"/>
      <c r="H22" s="1459"/>
      <c r="I22" s="1459"/>
      <c r="J22" s="1459"/>
      <c r="K22" s="1459"/>
      <c r="L22" s="1459"/>
      <c r="M22" s="1459"/>
    </row>
    <row r="23" spans="1:13" ht="24.95" customHeight="1" x14ac:dyDescent="0.2">
      <c r="B23" s="1463"/>
      <c r="C23" s="1463"/>
      <c r="D23" s="1463"/>
      <c r="E23" s="1463"/>
      <c r="F23" s="965"/>
      <c r="G23" s="969"/>
    </row>
    <row r="24" spans="1:13" ht="24.95" customHeight="1" x14ac:dyDescent="0.2">
      <c r="A24" s="1463" t="s">
        <v>206</v>
      </c>
      <c r="B24" s="1463"/>
      <c r="C24" s="1463"/>
      <c r="D24" s="1463"/>
      <c r="E24" s="1747">
        <f>'DATOS %'!I8</f>
        <v>0</v>
      </c>
      <c r="F24" s="1747"/>
      <c r="G24" s="822"/>
      <c r="H24" s="822"/>
    </row>
    <row r="25" spans="1:13" ht="24.95" customHeight="1" x14ac:dyDescent="0.25">
      <c r="A25" s="969"/>
      <c r="B25" s="969"/>
      <c r="C25" s="969"/>
      <c r="D25" s="969"/>
      <c r="E25" s="969"/>
      <c r="F25" s="969"/>
      <c r="G25" s="966"/>
      <c r="H25" s="966"/>
      <c r="I25" s="819"/>
      <c r="J25" s="819"/>
    </row>
    <row r="26" spans="1:13" ht="24.95" customHeight="1" x14ac:dyDescent="0.2">
      <c r="A26" s="1413" t="s">
        <v>248</v>
      </c>
      <c r="B26" s="1413"/>
      <c r="C26" s="1413"/>
      <c r="D26" s="1413"/>
      <c r="E26" s="1413"/>
      <c r="F26" s="1413"/>
      <c r="G26" s="1413"/>
      <c r="H26" s="1413"/>
      <c r="I26" s="1413"/>
      <c r="J26" s="1413"/>
    </row>
    <row r="27" spans="1:13" ht="20.100000000000001" customHeight="1" x14ac:dyDescent="0.2">
      <c r="A27" s="960"/>
      <c r="B27" s="960"/>
      <c r="C27" s="960"/>
      <c r="D27" s="960"/>
      <c r="G27" s="819"/>
    </row>
    <row r="28" spans="1:13" ht="33" customHeight="1" x14ac:dyDescent="0.2">
      <c r="A28" s="1452" t="s">
        <v>455</v>
      </c>
      <c r="B28" s="1452"/>
      <c r="C28" s="1452"/>
      <c r="D28" s="1452"/>
      <c r="E28" s="1452"/>
      <c r="F28" s="1452"/>
      <c r="G28" s="1452"/>
      <c r="H28" s="1452"/>
      <c r="I28" s="1452"/>
      <c r="J28" s="1452"/>
      <c r="K28" s="1452"/>
      <c r="L28" s="1452"/>
      <c r="M28" s="1452"/>
    </row>
    <row r="29" spans="1:13" ht="20.100000000000001" customHeight="1" x14ac:dyDescent="0.25">
      <c r="G29" s="966"/>
      <c r="H29" s="966"/>
      <c r="I29" s="823"/>
      <c r="J29" s="823"/>
    </row>
    <row r="30" spans="1:13" ht="125.1" customHeight="1" x14ac:dyDescent="0.25">
      <c r="G30" s="966"/>
      <c r="H30" s="966"/>
      <c r="I30" s="823"/>
      <c r="J30" s="823"/>
    </row>
    <row r="31" spans="1:13" ht="35.1" customHeight="1" x14ac:dyDescent="0.25">
      <c r="G31" s="966"/>
      <c r="H31" s="966"/>
      <c r="I31" s="823"/>
      <c r="J31" s="823"/>
    </row>
    <row r="32" spans="1:13" ht="35.1" customHeight="1" x14ac:dyDescent="0.2">
      <c r="H32" s="1446" t="s">
        <v>459</v>
      </c>
      <c r="I32" s="1446"/>
      <c r="J32" s="1446"/>
      <c r="K32" s="1446"/>
      <c r="L32" s="1447">
        <f>L3</f>
        <v>0</v>
      </c>
      <c r="M32" s="1447"/>
    </row>
    <row r="33" spans="1:13" ht="23.1" customHeight="1" x14ac:dyDescent="0.2">
      <c r="A33" s="1413" t="s">
        <v>268</v>
      </c>
      <c r="B33" s="1413"/>
      <c r="C33" s="1413"/>
      <c r="D33" s="1413"/>
      <c r="E33" s="1413"/>
      <c r="F33" s="1413"/>
      <c r="G33" s="1413"/>
      <c r="H33" s="1413"/>
      <c r="I33" s="1413"/>
      <c r="J33" s="1413"/>
    </row>
    <row r="34" spans="1:13" ht="15" customHeight="1" x14ac:dyDescent="0.2">
      <c r="A34" s="1719"/>
      <c r="B34" s="1719"/>
      <c r="C34" s="1719"/>
      <c r="D34" s="1719"/>
      <c r="E34" s="1719"/>
      <c r="F34" s="1719"/>
      <c r="G34" s="1719"/>
      <c r="H34" s="1719"/>
      <c r="I34" s="1719"/>
      <c r="J34" s="1719"/>
    </row>
    <row r="35" spans="1:13" ht="15" customHeight="1" thickBot="1" x14ac:dyDescent="0.25">
      <c r="A35" s="968"/>
      <c r="B35" s="968"/>
      <c r="C35" s="968"/>
      <c r="D35" s="968"/>
      <c r="E35" s="968"/>
      <c r="F35" s="968"/>
      <c r="G35" s="968"/>
      <c r="K35" s="388"/>
    </row>
    <row r="36" spans="1:13" ht="32.1" customHeight="1" thickBot="1" x14ac:dyDescent="0.25">
      <c r="B36" s="1419" t="s">
        <v>256</v>
      </c>
      <c r="C36" s="1420"/>
      <c r="D36" s="1419" t="s">
        <v>218</v>
      </c>
      <c r="E36" s="1420"/>
      <c r="F36" s="1419" t="s">
        <v>219</v>
      </c>
      <c r="G36" s="1420"/>
      <c r="H36" s="1423" t="s">
        <v>220</v>
      </c>
      <c r="I36" s="1424"/>
      <c r="J36" s="1424"/>
      <c r="K36" s="1425"/>
    </row>
    <row r="37" spans="1:13" ht="45.95" customHeight="1" thickBot="1" x14ac:dyDescent="0.25">
      <c r="B37" s="1421"/>
      <c r="C37" s="1422"/>
      <c r="D37" s="1421"/>
      <c r="E37" s="1422"/>
      <c r="F37" s="1421"/>
      <c r="G37" s="1422"/>
      <c r="H37" s="1426" t="s">
        <v>221</v>
      </c>
      <c r="I37" s="1427"/>
      <c r="J37" s="1428" t="s">
        <v>325</v>
      </c>
      <c r="K37" s="1429"/>
    </row>
    <row r="38" spans="1:13" ht="45.95" customHeight="1" thickBot="1" x14ac:dyDescent="0.25">
      <c r="B38" s="1430" t="str">
        <f>D14</f>
        <v>Juego de pesas de 1 g a 10 kg</v>
      </c>
      <c r="C38" s="1431"/>
      <c r="D38" s="1432" t="s">
        <v>5</v>
      </c>
      <c r="E38" s="1433"/>
      <c r="F38" s="1749" t="e">
        <f>VLOOKUP($K$35,'DATOS %'!B175:G185,1,FALSE)</f>
        <v>#N/A</v>
      </c>
      <c r="G38" s="1750"/>
      <c r="H38" s="824" t="e">
        <f>VLOOKUP($K$35,'DATOS %'!B175:G186,3,FALSE)</f>
        <v>#N/A</v>
      </c>
      <c r="I38" s="825" t="s">
        <v>213</v>
      </c>
      <c r="J38" s="826" t="e">
        <f>VLOOKUP($K$35,'DATOS %'!B175:G185,5,FALSE)</f>
        <v>#N/A</v>
      </c>
      <c r="K38" s="827" t="s">
        <v>128</v>
      </c>
    </row>
    <row r="39" spans="1:13" ht="39.950000000000003" hidden="1" customHeight="1" thickBot="1" x14ac:dyDescent="0.25">
      <c r="A39" s="1751"/>
      <c r="B39" s="1752"/>
      <c r="C39" s="1751"/>
      <c r="D39" s="1753"/>
      <c r="E39" s="1754"/>
      <c r="F39" s="1752"/>
      <c r="G39" s="828"/>
      <c r="H39" s="829"/>
      <c r="I39" s="828"/>
      <c r="J39" s="830"/>
    </row>
    <row r="40" spans="1:13" ht="27" customHeight="1" x14ac:dyDescent="0.2"/>
    <row r="41" spans="1:13" ht="23.1" customHeight="1" x14ac:dyDescent="0.2">
      <c r="A41" s="1413" t="s">
        <v>257</v>
      </c>
      <c r="B41" s="1413"/>
      <c r="C41" s="1413"/>
      <c r="D41" s="1413"/>
      <c r="E41" s="1413"/>
      <c r="F41" s="1413"/>
      <c r="G41" s="1413"/>
      <c r="H41" s="1413"/>
      <c r="I41" s="1413"/>
      <c r="J41" s="1413"/>
    </row>
    <row r="42" spans="1:13" ht="20.100000000000001" customHeight="1" x14ac:dyDescent="0.2">
      <c r="A42" s="389"/>
    </row>
    <row r="43" spans="1:13" ht="23.1" customHeight="1" x14ac:dyDescent="0.2">
      <c r="A43" s="1452" t="s">
        <v>246</v>
      </c>
      <c r="B43" s="1452"/>
      <c r="C43" s="1452"/>
      <c r="D43" s="1452"/>
      <c r="E43" s="1452"/>
      <c r="F43" s="1452"/>
      <c r="G43" s="1452"/>
      <c r="H43" s="1452"/>
      <c r="I43" s="1452"/>
      <c r="J43" s="1452"/>
      <c r="K43" s="1452"/>
      <c r="L43" s="1452"/>
      <c r="M43" s="1452"/>
    </row>
    <row r="44" spans="1:13" ht="23.1" customHeight="1" x14ac:dyDescent="0.2">
      <c r="A44" s="1452"/>
      <c r="B44" s="1452"/>
      <c r="C44" s="1452"/>
      <c r="D44" s="1452"/>
      <c r="E44" s="1452"/>
      <c r="F44" s="1452"/>
      <c r="G44" s="1452"/>
      <c r="H44" s="1452"/>
      <c r="I44" s="1452"/>
      <c r="J44" s="1452"/>
      <c r="K44" s="1452"/>
      <c r="L44" s="1452"/>
      <c r="M44" s="1452"/>
    </row>
    <row r="45" spans="1:13" ht="23.1" customHeight="1" x14ac:dyDescent="0.2">
      <c r="A45" s="1452"/>
      <c r="B45" s="1452"/>
      <c r="C45" s="1452"/>
      <c r="D45" s="1452"/>
      <c r="E45" s="1452"/>
      <c r="F45" s="1452"/>
      <c r="G45" s="1452"/>
      <c r="H45" s="1452"/>
      <c r="I45" s="1452"/>
      <c r="J45" s="1452"/>
      <c r="K45" s="1452"/>
      <c r="L45" s="1452"/>
      <c r="M45" s="1452"/>
    </row>
    <row r="46" spans="1:13" ht="20.100000000000001" customHeight="1" thickBot="1" x14ac:dyDescent="0.25">
      <c r="A46" s="831"/>
      <c r="B46" s="831"/>
      <c r="C46" s="831"/>
      <c r="D46" s="831"/>
      <c r="E46" s="831"/>
      <c r="F46" s="831"/>
      <c r="G46" s="831"/>
      <c r="H46" s="831"/>
      <c r="I46" s="831"/>
      <c r="J46" s="831"/>
    </row>
    <row r="47" spans="1:13" ht="42" customHeight="1" thickBot="1" x14ac:dyDescent="0.25">
      <c r="B47" s="1448" t="s">
        <v>13</v>
      </c>
      <c r="C47" s="1448"/>
      <c r="D47" s="1448"/>
      <c r="E47" s="963" t="s">
        <v>21</v>
      </c>
      <c r="F47" s="963" t="s">
        <v>10</v>
      </c>
      <c r="G47" s="390" t="s">
        <v>209</v>
      </c>
      <c r="H47" s="1448" t="s">
        <v>14</v>
      </c>
      <c r="I47" s="1448"/>
      <c r="J47" s="1448" t="s">
        <v>8</v>
      </c>
      <c r="K47" s="1448"/>
    </row>
    <row r="48" spans="1:13" ht="42" customHeight="1" thickBot="1" x14ac:dyDescent="0.25">
      <c r="B48" s="1449" t="s">
        <v>440</v>
      </c>
      <c r="C48" s="1449"/>
      <c r="D48" s="1449"/>
      <c r="E48" s="391" t="e">
        <f>VLOOKUP('1 g %'!$E$6,'DATOS %'!N11:AA62,2,FALSE)</f>
        <v>#N/A</v>
      </c>
      <c r="F48" s="971" t="e">
        <f>VLOOKUP('1 g %'!$E$6,'DATOS %'!N11:AA62,3,FALSE)</f>
        <v>#N/A</v>
      </c>
      <c r="G48" s="392" t="e">
        <f>VLOOKUP('1 g %'!$E$6,'DATOS %'!N11:AA62,14,FALSE)</f>
        <v>#N/A</v>
      </c>
      <c r="H48" s="1450" t="e">
        <f>VLOOKUP('1 g %'!$E$6,'DATOS %'!N11:AA62,6,FALSE)</f>
        <v>#N/A</v>
      </c>
      <c r="I48" s="1450"/>
      <c r="J48" s="1451" t="e">
        <f>VLOOKUP('1 g %'!$E$6,'DATOS %'!N11:AA62,7,FALSE)</f>
        <v>#N/A</v>
      </c>
      <c r="K48" s="1451"/>
    </row>
    <row r="49" spans="1:1020 1029:2040 2049:3070 3079:4090 4099:5120 5129:6140 6149:7160 7169:8190 8199:9210 9219:10240 10249:11260 11269:12280 12289:13310 13319:14330 14339:15360 15369:16380" ht="42" customHeight="1" thickBot="1" x14ac:dyDescent="0.25">
      <c r="B49" s="1692" t="s">
        <v>294</v>
      </c>
      <c r="C49" s="1692"/>
      <c r="D49" s="1692"/>
      <c r="E49" s="391" t="e">
        <f>VLOOKUP('10 kg %'!$E$6,'DATOS %'!N11:AA62,2,FALSE)</f>
        <v>#N/A</v>
      </c>
      <c r="F49" s="971" t="e">
        <f>VLOOKUP('10 kg %'!$E$6,'DATOS %'!N11:AA62,3,FALSE)</f>
        <v>#N/A</v>
      </c>
      <c r="G49" s="392" t="e">
        <f>VLOOKUP('10 kg %'!$E$6,'DATOS %'!N11:AA62,14,FALSE)</f>
        <v>#N/A</v>
      </c>
      <c r="H49" s="1693" t="e">
        <f>VLOOKUP('10 kg %'!$E$6,'DATOS %'!N11:AA62,6,FALSE)</f>
        <v>#N/A</v>
      </c>
      <c r="I49" s="1694"/>
      <c r="J49" s="1451" t="e">
        <f>VLOOKUP('10 kg %'!$E$6,'DATOS %'!N11:AA62,7,FALSE)</f>
        <v>#N/A</v>
      </c>
      <c r="K49" s="1451"/>
    </row>
    <row r="50" spans="1:1020 1029:2040 2049:3070 3079:4090 4099:5120 5129:6140 6149:7160 7169:8190 8199:9210 9219:10240 10249:11260 11269:12280 12289:13310 13319:14330 14339:15360 15369:16380" ht="27" customHeight="1" x14ac:dyDescent="0.2">
      <c r="A50" s="961"/>
      <c r="B50" s="961"/>
      <c r="C50" s="961"/>
      <c r="D50" s="393"/>
      <c r="E50" s="961"/>
      <c r="F50" s="961"/>
      <c r="G50" s="961"/>
      <c r="H50" s="961"/>
      <c r="I50" s="394"/>
      <c r="J50" s="394"/>
    </row>
    <row r="51" spans="1:1020 1029:2040 2049:3070 3079:4090 4099:5120 5129:6140 6149:7160 7169:8190 8199:9210 9219:10240 10249:11260 11269:12280 12289:13310 13319:14330 14339:15360 15369:16380" ht="23.1" customHeight="1" x14ac:dyDescent="0.2">
      <c r="A51" s="1418" t="s">
        <v>249</v>
      </c>
      <c r="B51" s="1418"/>
      <c r="C51" s="1418"/>
      <c r="D51" s="1418"/>
      <c r="E51" s="1418"/>
      <c r="F51" s="1418"/>
      <c r="G51" s="1418"/>
      <c r="H51" s="1418"/>
      <c r="I51" s="1418"/>
      <c r="J51" s="1418"/>
    </row>
    <row r="52" spans="1:1020 1029:2040 2049:3070 3079:4090 4099:5120 5129:6140 6149:7160 7169:8190 8199:9210 9219:10240 10249:11260 11269:12280 12289:13310 13319:14330 14339:15360 15369:16380" ht="20.100000000000001" customHeight="1" x14ac:dyDescent="0.2">
      <c r="A52" s="389"/>
      <c r="B52" s="389"/>
    </row>
    <row r="53" spans="1:1020 1029:2040 2049:3070 3079:4090 4099:5120 5129:6140 6149:7160 7169:8190 8199:9210 9219:10240 10249:11260 11269:12280 12289:13310 13319:14330 14339:15360 15369:16380" ht="30" customHeight="1" x14ac:dyDescent="0.2">
      <c r="A53" s="1453" t="s">
        <v>269</v>
      </c>
      <c r="B53" s="1453"/>
      <c r="C53" s="1453"/>
      <c r="D53" s="1453"/>
      <c r="E53" s="1453"/>
      <c r="F53" s="1453"/>
      <c r="G53" s="1453"/>
      <c r="H53" s="1453"/>
      <c r="I53" s="1453"/>
      <c r="J53" s="1453"/>
      <c r="K53" s="1453"/>
      <c r="L53" s="1453"/>
      <c r="M53" s="1453"/>
    </row>
    <row r="54" spans="1:1020 1029:2040 2049:3070 3079:4090 4099:5120 5129:6140 6149:7160 7169:8190 8199:9210 9219:10240 10249:11260 11269:12280 12289:13310 13319:14330 14339:15360 15369:16380" ht="30" customHeight="1" x14ac:dyDescent="0.2">
      <c r="A54" s="1453"/>
      <c r="B54" s="1453"/>
      <c r="C54" s="1453"/>
      <c r="D54" s="1453"/>
      <c r="E54" s="1453"/>
      <c r="F54" s="1453"/>
      <c r="G54" s="1453"/>
      <c r="H54" s="1453"/>
      <c r="I54" s="1453"/>
      <c r="J54" s="1453"/>
      <c r="K54" s="1453"/>
      <c r="L54" s="1453"/>
      <c r="M54" s="1453"/>
    </row>
    <row r="55" spans="1:1020 1029:2040 2049:3070 3079:4090 4099:5120 5129:6140 6149:7160 7169:8190 8199:9210 9219:10240 10249:11260 11269:12280 12289:13310 13319:14330 14339:15360 15369:16380" ht="18" customHeight="1" x14ac:dyDescent="0.2">
      <c r="A55" s="832"/>
      <c r="B55" s="832"/>
      <c r="C55" s="832"/>
      <c r="D55" s="832"/>
      <c r="E55" s="832"/>
      <c r="F55" s="832"/>
      <c r="G55" s="832"/>
      <c r="H55" s="832"/>
      <c r="I55" s="832"/>
      <c r="J55" s="832"/>
    </row>
    <row r="56" spans="1:1020 1029:2040 2049:3070 3079:4090 4099:5120 5129:6140 6149:7160 7169:8190 8199:9210 9219:10240 10249:11260 11269:12280 12289:13310 13319:14330 14339:15360 15369:16380" ht="125.1" customHeight="1" x14ac:dyDescent="0.2">
      <c r="A56" s="1755"/>
      <c r="B56" s="1755"/>
      <c r="C56" s="1755"/>
      <c r="D56" s="1755"/>
      <c r="E56" s="1755"/>
      <c r="F56" s="1755"/>
      <c r="G56" s="1755"/>
      <c r="H56" s="1755"/>
      <c r="I56" s="1755"/>
      <c r="J56" s="1755"/>
      <c r="K56" s="1755"/>
      <c r="L56" s="1755"/>
      <c r="M56" s="1755"/>
    </row>
    <row r="57" spans="1:1020 1029:2040 2049:3070 3079:4090 4099:5120 5129:6140 6149:7160 7169:8190 8199:9210 9219:10240 10249:11260 11269:12280 12289:13310 13319:14330 14339:15360 15369:16380" ht="35.1" customHeight="1" x14ac:dyDescent="0.2">
      <c r="A57" s="832"/>
      <c r="B57" s="832"/>
      <c r="C57" s="832"/>
      <c r="D57" s="832"/>
      <c r="E57" s="832"/>
      <c r="F57" s="832"/>
    </row>
    <row r="58" spans="1:1020 1029:2040 2049:3070 3079:4090 4099:5120 5129:6140 6149:7160 7169:8190 8199:9210 9219:10240 10249:11260 11269:12280 12289:13310 13319:14330 14339:15360 15369:16380" ht="35.1" customHeight="1" x14ac:dyDescent="0.2">
      <c r="A58" s="832"/>
      <c r="B58" s="832"/>
      <c r="C58" s="832"/>
      <c r="D58" s="832"/>
      <c r="E58" s="832"/>
      <c r="F58" s="832"/>
      <c r="H58" s="1446" t="s">
        <v>459</v>
      </c>
      <c r="I58" s="1446"/>
      <c r="J58" s="1446"/>
      <c r="K58" s="1446"/>
      <c r="L58" s="1469">
        <f>L3</f>
        <v>0</v>
      </c>
      <c r="M58" s="1469"/>
    </row>
    <row r="59" spans="1:1020 1029:2040 2049:3070 3079:4090 4099:5120 5129:6140 6149:7160 7169:8190 8199:9210 9219:10240 10249:11260 11269:12280 12289:13310 13319:14330 14339:15360 15369:16380" ht="23.1" customHeight="1" x14ac:dyDescent="0.2">
      <c r="A59" s="1418" t="s">
        <v>250</v>
      </c>
      <c r="B59" s="1418"/>
      <c r="C59" s="1418"/>
      <c r="D59" s="1418"/>
      <c r="E59" s="1418"/>
      <c r="F59" s="1418"/>
      <c r="G59" s="1418"/>
      <c r="H59" s="1418"/>
      <c r="I59" s="1418"/>
      <c r="J59" s="1418"/>
    </row>
    <row r="60" spans="1:1020 1029:2040 2049:3070 3079:4090 4099:5120 5129:6140 6149:7160 7169:8190 8199:9210 9219:10240 10249:11260 11269:12280 12289:13310 13319:14330 14339:15360 15369:16380" ht="20.100000000000001" customHeight="1" thickBot="1" x14ac:dyDescent="0.25">
      <c r="A60" s="389"/>
      <c r="B60" s="389"/>
      <c r="S60" s="389"/>
      <c r="T60" s="389"/>
      <c r="AC60" s="389"/>
      <c r="AD60" s="389"/>
      <c r="AM60" s="389"/>
      <c r="AN60" s="389"/>
      <c r="AW60" s="389"/>
      <c r="AX60" s="389"/>
      <c r="BG60" s="389"/>
      <c r="BH60" s="389"/>
      <c r="BQ60" s="389"/>
      <c r="BR60" s="389"/>
      <c r="CA60" s="389"/>
      <c r="CB60" s="389"/>
      <c r="CK60" s="389"/>
      <c r="CL60" s="389"/>
      <c r="CU60" s="389"/>
      <c r="CV60" s="389"/>
      <c r="DE60" s="389"/>
      <c r="DF60" s="389"/>
      <c r="DO60" s="389"/>
      <c r="DP60" s="389"/>
      <c r="DY60" s="389"/>
      <c r="DZ60" s="389"/>
      <c r="EI60" s="389"/>
      <c r="EJ60" s="389"/>
      <c r="ES60" s="389"/>
      <c r="ET60" s="389"/>
      <c r="FC60" s="389"/>
      <c r="FD60" s="389"/>
      <c r="FM60" s="389"/>
      <c r="FN60" s="389"/>
      <c r="FW60" s="389"/>
      <c r="FX60" s="389"/>
      <c r="GG60" s="389"/>
      <c r="GH60" s="389"/>
      <c r="GQ60" s="389"/>
      <c r="GR60" s="389"/>
      <c r="HA60" s="389"/>
      <c r="HB60" s="389"/>
      <c r="HK60" s="389"/>
      <c r="HL60" s="389"/>
      <c r="HU60" s="389"/>
      <c r="HV60" s="389"/>
      <c r="IE60" s="389"/>
      <c r="IF60" s="389"/>
      <c r="IO60" s="389"/>
      <c r="IP60" s="389"/>
      <c r="IY60" s="389"/>
      <c r="IZ60" s="389"/>
      <c r="JI60" s="389"/>
      <c r="JJ60" s="389"/>
      <c r="JS60" s="389"/>
      <c r="JT60" s="389"/>
      <c r="KC60" s="389"/>
      <c r="KD60" s="389"/>
      <c r="KM60" s="389"/>
      <c r="KN60" s="389"/>
      <c r="KW60" s="389"/>
      <c r="KX60" s="389"/>
      <c r="LG60" s="389"/>
      <c r="LH60" s="389"/>
      <c r="LQ60" s="389"/>
      <c r="LR60" s="389"/>
      <c r="MA60" s="389"/>
      <c r="MB60" s="389"/>
      <c r="MK60" s="389"/>
      <c r="ML60" s="389"/>
      <c r="MU60" s="389"/>
      <c r="MV60" s="389"/>
      <c r="NE60" s="389"/>
      <c r="NF60" s="389"/>
      <c r="NO60" s="389"/>
      <c r="NP60" s="389"/>
      <c r="NY60" s="389"/>
      <c r="NZ60" s="389"/>
      <c r="OI60" s="389"/>
      <c r="OJ60" s="389"/>
      <c r="OS60" s="389"/>
      <c r="OT60" s="389"/>
      <c r="PC60" s="389"/>
      <c r="PD60" s="389"/>
      <c r="PM60" s="389"/>
      <c r="PN60" s="389"/>
      <c r="PW60" s="389"/>
      <c r="PX60" s="389"/>
      <c r="QG60" s="389"/>
      <c r="QH60" s="389"/>
      <c r="QQ60" s="389"/>
      <c r="QR60" s="389"/>
      <c r="RA60" s="389"/>
      <c r="RB60" s="389"/>
      <c r="RK60" s="389"/>
      <c r="RL60" s="389"/>
      <c r="RU60" s="389"/>
      <c r="RV60" s="389"/>
      <c r="SE60" s="389"/>
      <c r="SF60" s="389"/>
      <c r="SO60" s="389"/>
      <c r="SP60" s="389"/>
      <c r="SY60" s="389"/>
      <c r="SZ60" s="389"/>
      <c r="TI60" s="389"/>
      <c r="TJ60" s="389"/>
      <c r="TS60" s="389"/>
      <c r="TT60" s="389"/>
      <c r="UC60" s="389"/>
      <c r="UD60" s="389"/>
      <c r="UM60" s="389"/>
      <c r="UN60" s="389"/>
      <c r="UW60" s="389"/>
      <c r="UX60" s="389"/>
      <c r="VG60" s="389"/>
      <c r="VH60" s="389"/>
      <c r="VQ60" s="389"/>
      <c r="VR60" s="389"/>
      <c r="WA60" s="389"/>
      <c r="WB60" s="389"/>
      <c r="WK60" s="389"/>
      <c r="WL60" s="389"/>
      <c r="WU60" s="389"/>
      <c r="WV60" s="389"/>
      <c r="XE60" s="389"/>
      <c r="XF60" s="389"/>
      <c r="XO60" s="389"/>
      <c r="XP60" s="389"/>
      <c r="XY60" s="389"/>
      <c r="XZ60" s="389"/>
      <c r="YI60" s="389"/>
      <c r="YJ60" s="389"/>
      <c r="YS60" s="389"/>
      <c r="YT60" s="389"/>
      <c r="ZC60" s="389"/>
      <c r="ZD60" s="389"/>
      <c r="ZM60" s="389"/>
      <c r="ZN60" s="389"/>
      <c r="ZW60" s="389"/>
      <c r="ZX60" s="389"/>
      <c r="AAG60" s="389"/>
      <c r="AAH60" s="389"/>
      <c r="AAQ60" s="389"/>
      <c r="AAR60" s="389"/>
      <c r="ABA60" s="389"/>
      <c r="ABB60" s="389"/>
      <c r="ABK60" s="389"/>
      <c r="ABL60" s="389"/>
      <c r="ABU60" s="389"/>
      <c r="ABV60" s="389"/>
      <c r="ACE60" s="389"/>
      <c r="ACF60" s="389"/>
      <c r="ACO60" s="389"/>
      <c r="ACP60" s="389"/>
      <c r="ACY60" s="389"/>
      <c r="ACZ60" s="389"/>
      <c r="ADI60" s="389"/>
      <c r="ADJ60" s="389"/>
      <c r="ADS60" s="389"/>
      <c r="ADT60" s="389"/>
      <c r="AEC60" s="389"/>
      <c r="AED60" s="389"/>
      <c r="AEM60" s="389"/>
      <c r="AEN60" s="389"/>
      <c r="AEW60" s="389"/>
      <c r="AEX60" s="389"/>
      <c r="AFG60" s="389"/>
      <c r="AFH60" s="389"/>
      <c r="AFQ60" s="389"/>
      <c r="AFR60" s="389"/>
      <c r="AGA60" s="389"/>
      <c r="AGB60" s="389"/>
      <c r="AGK60" s="389"/>
      <c r="AGL60" s="389"/>
      <c r="AGU60" s="389"/>
      <c r="AGV60" s="389"/>
      <c r="AHE60" s="389"/>
      <c r="AHF60" s="389"/>
      <c r="AHO60" s="389"/>
      <c r="AHP60" s="389"/>
      <c r="AHY60" s="389"/>
      <c r="AHZ60" s="389"/>
      <c r="AII60" s="389"/>
      <c r="AIJ60" s="389"/>
      <c r="AIS60" s="389"/>
      <c r="AIT60" s="389"/>
      <c r="AJC60" s="389"/>
      <c r="AJD60" s="389"/>
      <c r="AJM60" s="389"/>
      <c r="AJN60" s="389"/>
      <c r="AJW60" s="389"/>
      <c r="AJX60" s="389"/>
      <c r="AKG60" s="389"/>
      <c r="AKH60" s="389"/>
      <c r="AKQ60" s="389"/>
      <c r="AKR60" s="389"/>
      <c r="ALA60" s="389"/>
      <c r="ALB60" s="389"/>
      <c r="ALK60" s="389"/>
      <c r="ALL60" s="389"/>
      <c r="ALU60" s="389"/>
      <c r="ALV60" s="389"/>
      <c r="AME60" s="389"/>
      <c r="AMF60" s="389"/>
      <c r="AMO60" s="389"/>
      <c r="AMP60" s="389"/>
      <c r="AMY60" s="389"/>
      <c r="AMZ60" s="389"/>
      <c r="ANI60" s="389"/>
      <c r="ANJ60" s="389"/>
      <c r="ANS60" s="389"/>
      <c r="ANT60" s="389"/>
      <c r="AOC60" s="389"/>
      <c r="AOD60" s="389"/>
      <c r="AOM60" s="389"/>
      <c r="AON60" s="389"/>
      <c r="AOW60" s="389"/>
      <c r="AOX60" s="389"/>
      <c r="APG60" s="389"/>
      <c r="APH60" s="389"/>
      <c r="APQ60" s="389"/>
      <c r="APR60" s="389"/>
      <c r="AQA60" s="389"/>
      <c r="AQB60" s="389"/>
      <c r="AQK60" s="389"/>
      <c r="AQL60" s="389"/>
      <c r="AQU60" s="389"/>
      <c r="AQV60" s="389"/>
      <c r="ARE60" s="389"/>
      <c r="ARF60" s="389"/>
      <c r="ARO60" s="389"/>
      <c r="ARP60" s="389"/>
      <c r="ARY60" s="389"/>
      <c r="ARZ60" s="389"/>
      <c r="ASI60" s="389"/>
      <c r="ASJ60" s="389"/>
      <c r="ASS60" s="389"/>
      <c r="AST60" s="389"/>
      <c r="ATC60" s="389"/>
      <c r="ATD60" s="389"/>
      <c r="ATM60" s="389"/>
      <c r="ATN60" s="389"/>
      <c r="ATW60" s="389"/>
      <c r="ATX60" s="389"/>
      <c r="AUG60" s="389"/>
      <c r="AUH60" s="389"/>
      <c r="AUQ60" s="389"/>
      <c r="AUR60" s="389"/>
      <c r="AVA60" s="389"/>
      <c r="AVB60" s="389"/>
      <c r="AVK60" s="389"/>
      <c r="AVL60" s="389"/>
      <c r="AVU60" s="389"/>
      <c r="AVV60" s="389"/>
      <c r="AWE60" s="389"/>
      <c r="AWF60" s="389"/>
      <c r="AWO60" s="389"/>
      <c r="AWP60" s="389"/>
      <c r="AWY60" s="389"/>
      <c r="AWZ60" s="389"/>
      <c r="AXI60" s="389"/>
      <c r="AXJ60" s="389"/>
      <c r="AXS60" s="389"/>
      <c r="AXT60" s="389"/>
      <c r="AYC60" s="389"/>
      <c r="AYD60" s="389"/>
      <c r="AYM60" s="389"/>
      <c r="AYN60" s="389"/>
      <c r="AYW60" s="389"/>
      <c r="AYX60" s="389"/>
      <c r="AZG60" s="389"/>
      <c r="AZH60" s="389"/>
      <c r="AZQ60" s="389"/>
      <c r="AZR60" s="389"/>
      <c r="BAA60" s="389"/>
      <c r="BAB60" s="389"/>
      <c r="BAK60" s="389"/>
      <c r="BAL60" s="389"/>
      <c r="BAU60" s="389"/>
      <c r="BAV60" s="389"/>
      <c r="BBE60" s="389"/>
      <c r="BBF60" s="389"/>
      <c r="BBO60" s="389"/>
      <c r="BBP60" s="389"/>
      <c r="BBY60" s="389"/>
      <c r="BBZ60" s="389"/>
      <c r="BCI60" s="389"/>
      <c r="BCJ60" s="389"/>
      <c r="BCS60" s="389"/>
      <c r="BCT60" s="389"/>
      <c r="BDC60" s="389"/>
      <c r="BDD60" s="389"/>
      <c r="BDM60" s="389"/>
      <c r="BDN60" s="389"/>
      <c r="BDW60" s="389"/>
      <c r="BDX60" s="389"/>
      <c r="BEG60" s="389"/>
      <c r="BEH60" s="389"/>
      <c r="BEQ60" s="389"/>
      <c r="BER60" s="389"/>
      <c r="BFA60" s="389"/>
      <c r="BFB60" s="389"/>
      <c r="BFK60" s="389"/>
      <c r="BFL60" s="389"/>
      <c r="BFU60" s="389"/>
      <c r="BFV60" s="389"/>
      <c r="BGE60" s="389"/>
      <c r="BGF60" s="389"/>
      <c r="BGO60" s="389"/>
      <c r="BGP60" s="389"/>
      <c r="BGY60" s="389"/>
      <c r="BGZ60" s="389"/>
      <c r="BHI60" s="389"/>
      <c r="BHJ60" s="389"/>
      <c r="BHS60" s="389"/>
      <c r="BHT60" s="389"/>
      <c r="BIC60" s="389"/>
      <c r="BID60" s="389"/>
      <c r="BIM60" s="389"/>
      <c r="BIN60" s="389"/>
      <c r="BIW60" s="389"/>
      <c r="BIX60" s="389"/>
      <c r="BJG60" s="389"/>
      <c r="BJH60" s="389"/>
      <c r="BJQ60" s="389"/>
      <c r="BJR60" s="389"/>
      <c r="BKA60" s="389"/>
      <c r="BKB60" s="389"/>
      <c r="BKK60" s="389"/>
      <c r="BKL60" s="389"/>
      <c r="BKU60" s="389"/>
      <c r="BKV60" s="389"/>
      <c r="BLE60" s="389"/>
      <c r="BLF60" s="389"/>
      <c r="BLO60" s="389"/>
      <c r="BLP60" s="389"/>
      <c r="BLY60" s="389"/>
      <c r="BLZ60" s="389"/>
      <c r="BMI60" s="389"/>
      <c r="BMJ60" s="389"/>
      <c r="BMS60" s="389"/>
      <c r="BMT60" s="389"/>
      <c r="BNC60" s="389"/>
      <c r="BND60" s="389"/>
      <c r="BNM60" s="389"/>
      <c r="BNN60" s="389"/>
      <c r="BNW60" s="389"/>
      <c r="BNX60" s="389"/>
      <c r="BOG60" s="389"/>
      <c r="BOH60" s="389"/>
      <c r="BOQ60" s="389"/>
      <c r="BOR60" s="389"/>
      <c r="BPA60" s="389"/>
      <c r="BPB60" s="389"/>
      <c r="BPK60" s="389"/>
      <c r="BPL60" s="389"/>
      <c r="BPU60" s="389"/>
      <c r="BPV60" s="389"/>
      <c r="BQE60" s="389"/>
      <c r="BQF60" s="389"/>
      <c r="BQO60" s="389"/>
      <c r="BQP60" s="389"/>
      <c r="BQY60" s="389"/>
      <c r="BQZ60" s="389"/>
      <c r="BRI60" s="389"/>
      <c r="BRJ60" s="389"/>
      <c r="BRS60" s="389"/>
      <c r="BRT60" s="389"/>
      <c r="BSC60" s="389"/>
      <c r="BSD60" s="389"/>
      <c r="BSM60" s="389"/>
      <c r="BSN60" s="389"/>
      <c r="BSW60" s="389"/>
      <c r="BSX60" s="389"/>
      <c r="BTG60" s="389"/>
      <c r="BTH60" s="389"/>
      <c r="BTQ60" s="389"/>
      <c r="BTR60" s="389"/>
      <c r="BUA60" s="389"/>
      <c r="BUB60" s="389"/>
      <c r="BUK60" s="389"/>
      <c r="BUL60" s="389"/>
      <c r="BUU60" s="389"/>
      <c r="BUV60" s="389"/>
      <c r="BVE60" s="389"/>
      <c r="BVF60" s="389"/>
      <c r="BVO60" s="389"/>
      <c r="BVP60" s="389"/>
      <c r="BVY60" s="389"/>
      <c r="BVZ60" s="389"/>
      <c r="BWI60" s="389"/>
      <c r="BWJ60" s="389"/>
      <c r="BWS60" s="389"/>
      <c r="BWT60" s="389"/>
      <c r="BXC60" s="389"/>
      <c r="BXD60" s="389"/>
      <c r="BXM60" s="389"/>
      <c r="BXN60" s="389"/>
      <c r="BXW60" s="389"/>
      <c r="BXX60" s="389"/>
      <c r="BYG60" s="389"/>
      <c r="BYH60" s="389"/>
      <c r="BYQ60" s="389"/>
      <c r="BYR60" s="389"/>
      <c r="BZA60" s="389"/>
      <c r="BZB60" s="389"/>
      <c r="BZK60" s="389"/>
      <c r="BZL60" s="389"/>
      <c r="BZU60" s="389"/>
      <c r="BZV60" s="389"/>
      <c r="CAE60" s="389"/>
      <c r="CAF60" s="389"/>
      <c r="CAO60" s="389"/>
      <c r="CAP60" s="389"/>
      <c r="CAY60" s="389"/>
      <c r="CAZ60" s="389"/>
      <c r="CBI60" s="389"/>
      <c r="CBJ60" s="389"/>
      <c r="CBS60" s="389"/>
      <c r="CBT60" s="389"/>
      <c r="CCC60" s="389"/>
      <c r="CCD60" s="389"/>
      <c r="CCM60" s="389"/>
      <c r="CCN60" s="389"/>
      <c r="CCW60" s="389"/>
      <c r="CCX60" s="389"/>
      <c r="CDG60" s="389"/>
      <c r="CDH60" s="389"/>
      <c r="CDQ60" s="389"/>
      <c r="CDR60" s="389"/>
      <c r="CEA60" s="389"/>
      <c r="CEB60" s="389"/>
      <c r="CEK60" s="389"/>
      <c r="CEL60" s="389"/>
      <c r="CEU60" s="389"/>
      <c r="CEV60" s="389"/>
      <c r="CFE60" s="389"/>
      <c r="CFF60" s="389"/>
      <c r="CFO60" s="389"/>
      <c r="CFP60" s="389"/>
      <c r="CFY60" s="389"/>
      <c r="CFZ60" s="389"/>
      <c r="CGI60" s="389"/>
      <c r="CGJ60" s="389"/>
      <c r="CGS60" s="389"/>
      <c r="CGT60" s="389"/>
      <c r="CHC60" s="389"/>
      <c r="CHD60" s="389"/>
      <c r="CHM60" s="389"/>
      <c r="CHN60" s="389"/>
      <c r="CHW60" s="389"/>
      <c r="CHX60" s="389"/>
      <c r="CIG60" s="389"/>
      <c r="CIH60" s="389"/>
      <c r="CIQ60" s="389"/>
      <c r="CIR60" s="389"/>
      <c r="CJA60" s="389"/>
      <c r="CJB60" s="389"/>
      <c r="CJK60" s="389"/>
      <c r="CJL60" s="389"/>
      <c r="CJU60" s="389"/>
      <c r="CJV60" s="389"/>
      <c r="CKE60" s="389"/>
      <c r="CKF60" s="389"/>
      <c r="CKO60" s="389"/>
      <c r="CKP60" s="389"/>
      <c r="CKY60" s="389"/>
      <c r="CKZ60" s="389"/>
      <c r="CLI60" s="389"/>
      <c r="CLJ60" s="389"/>
      <c r="CLS60" s="389"/>
      <c r="CLT60" s="389"/>
      <c r="CMC60" s="389"/>
      <c r="CMD60" s="389"/>
      <c r="CMM60" s="389"/>
      <c r="CMN60" s="389"/>
      <c r="CMW60" s="389"/>
      <c r="CMX60" s="389"/>
      <c r="CNG60" s="389"/>
      <c r="CNH60" s="389"/>
      <c r="CNQ60" s="389"/>
      <c r="CNR60" s="389"/>
      <c r="COA60" s="389"/>
      <c r="COB60" s="389"/>
      <c r="COK60" s="389"/>
      <c r="COL60" s="389"/>
      <c r="COU60" s="389"/>
      <c r="COV60" s="389"/>
      <c r="CPE60" s="389"/>
      <c r="CPF60" s="389"/>
      <c r="CPO60" s="389"/>
      <c r="CPP60" s="389"/>
      <c r="CPY60" s="389"/>
      <c r="CPZ60" s="389"/>
      <c r="CQI60" s="389"/>
      <c r="CQJ60" s="389"/>
      <c r="CQS60" s="389"/>
      <c r="CQT60" s="389"/>
      <c r="CRC60" s="389"/>
      <c r="CRD60" s="389"/>
      <c r="CRM60" s="389"/>
      <c r="CRN60" s="389"/>
      <c r="CRW60" s="389"/>
      <c r="CRX60" s="389"/>
      <c r="CSG60" s="389"/>
      <c r="CSH60" s="389"/>
      <c r="CSQ60" s="389"/>
      <c r="CSR60" s="389"/>
      <c r="CTA60" s="389"/>
      <c r="CTB60" s="389"/>
      <c r="CTK60" s="389"/>
      <c r="CTL60" s="389"/>
      <c r="CTU60" s="389"/>
      <c r="CTV60" s="389"/>
      <c r="CUE60" s="389"/>
      <c r="CUF60" s="389"/>
      <c r="CUO60" s="389"/>
      <c r="CUP60" s="389"/>
      <c r="CUY60" s="389"/>
      <c r="CUZ60" s="389"/>
      <c r="CVI60" s="389"/>
      <c r="CVJ60" s="389"/>
      <c r="CVS60" s="389"/>
      <c r="CVT60" s="389"/>
      <c r="CWC60" s="389"/>
      <c r="CWD60" s="389"/>
      <c r="CWM60" s="389"/>
      <c r="CWN60" s="389"/>
      <c r="CWW60" s="389"/>
      <c r="CWX60" s="389"/>
      <c r="CXG60" s="389"/>
      <c r="CXH60" s="389"/>
      <c r="CXQ60" s="389"/>
      <c r="CXR60" s="389"/>
      <c r="CYA60" s="389"/>
      <c r="CYB60" s="389"/>
      <c r="CYK60" s="389"/>
      <c r="CYL60" s="389"/>
      <c r="CYU60" s="389"/>
      <c r="CYV60" s="389"/>
      <c r="CZE60" s="389"/>
      <c r="CZF60" s="389"/>
      <c r="CZO60" s="389"/>
      <c r="CZP60" s="389"/>
      <c r="CZY60" s="389"/>
      <c r="CZZ60" s="389"/>
      <c r="DAI60" s="389"/>
      <c r="DAJ60" s="389"/>
      <c r="DAS60" s="389"/>
      <c r="DAT60" s="389"/>
      <c r="DBC60" s="389"/>
      <c r="DBD60" s="389"/>
      <c r="DBM60" s="389"/>
      <c r="DBN60" s="389"/>
      <c r="DBW60" s="389"/>
      <c r="DBX60" s="389"/>
      <c r="DCG60" s="389"/>
      <c r="DCH60" s="389"/>
      <c r="DCQ60" s="389"/>
      <c r="DCR60" s="389"/>
      <c r="DDA60" s="389"/>
      <c r="DDB60" s="389"/>
      <c r="DDK60" s="389"/>
      <c r="DDL60" s="389"/>
      <c r="DDU60" s="389"/>
      <c r="DDV60" s="389"/>
      <c r="DEE60" s="389"/>
      <c r="DEF60" s="389"/>
      <c r="DEO60" s="389"/>
      <c r="DEP60" s="389"/>
      <c r="DEY60" s="389"/>
      <c r="DEZ60" s="389"/>
      <c r="DFI60" s="389"/>
      <c r="DFJ60" s="389"/>
      <c r="DFS60" s="389"/>
      <c r="DFT60" s="389"/>
      <c r="DGC60" s="389"/>
      <c r="DGD60" s="389"/>
      <c r="DGM60" s="389"/>
      <c r="DGN60" s="389"/>
      <c r="DGW60" s="389"/>
      <c r="DGX60" s="389"/>
      <c r="DHG60" s="389"/>
      <c r="DHH60" s="389"/>
      <c r="DHQ60" s="389"/>
      <c r="DHR60" s="389"/>
      <c r="DIA60" s="389"/>
      <c r="DIB60" s="389"/>
      <c r="DIK60" s="389"/>
      <c r="DIL60" s="389"/>
      <c r="DIU60" s="389"/>
      <c r="DIV60" s="389"/>
      <c r="DJE60" s="389"/>
      <c r="DJF60" s="389"/>
      <c r="DJO60" s="389"/>
      <c r="DJP60" s="389"/>
      <c r="DJY60" s="389"/>
      <c r="DJZ60" s="389"/>
      <c r="DKI60" s="389"/>
      <c r="DKJ60" s="389"/>
      <c r="DKS60" s="389"/>
      <c r="DKT60" s="389"/>
      <c r="DLC60" s="389"/>
      <c r="DLD60" s="389"/>
      <c r="DLM60" s="389"/>
      <c r="DLN60" s="389"/>
      <c r="DLW60" s="389"/>
      <c r="DLX60" s="389"/>
      <c r="DMG60" s="389"/>
      <c r="DMH60" s="389"/>
      <c r="DMQ60" s="389"/>
      <c r="DMR60" s="389"/>
      <c r="DNA60" s="389"/>
      <c r="DNB60" s="389"/>
      <c r="DNK60" s="389"/>
      <c r="DNL60" s="389"/>
      <c r="DNU60" s="389"/>
      <c r="DNV60" s="389"/>
      <c r="DOE60" s="389"/>
      <c r="DOF60" s="389"/>
      <c r="DOO60" s="389"/>
      <c r="DOP60" s="389"/>
      <c r="DOY60" s="389"/>
      <c r="DOZ60" s="389"/>
      <c r="DPI60" s="389"/>
      <c r="DPJ60" s="389"/>
      <c r="DPS60" s="389"/>
      <c r="DPT60" s="389"/>
      <c r="DQC60" s="389"/>
      <c r="DQD60" s="389"/>
      <c r="DQM60" s="389"/>
      <c r="DQN60" s="389"/>
      <c r="DQW60" s="389"/>
      <c r="DQX60" s="389"/>
      <c r="DRG60" s="389"/>
      <c r="DRH60" s="389"/>
      <c r="DRQ60" s="389"/>
      <c r="DRR60" s="389"/>
      <c r="DSA60" s="389"/>
      <c r="DSB60" s="389"/>
      <c r="DSK60" s="389"/>
      <c r="DSL60" s="389"/>
      <c r="DSU60" s="389"/>
      <c r="DSV60" s="389"/>
      <c r="DTE60" s="389"/>
      <c r="DTF60" s="389"/>
      <c r="DTO60" s="389"/>
      <c r="DTP60" s="389"/>
      <c r="DTY60" s="389"/>
      <c r="DTZ60" s="389"/>
      <c r="DUI60" s="389"/>
      <c r="DUJ60" s="389"/>
      <c r="DUS60" s="389"/>
      <c r="DUT60" s="389"/>
      <c r="DVC60" s="389"/>
      <c r="DVD60" s="389"/>
      <c r="DVM60" s="389"/>
      <c r="DVN60" s="389"/>
      <c r="DVW60" s="389"/>
      <c r="DVX60" s="389"/>
      <c r="DWG60" s="389"/>
      <c r="DWH60" s="389"/>
      <c r="DWQ60" s="389"/>
      <c r="DWR60" s="389"/>
      <c r="DXA60" s="389"/>
      <c r="DXB60" s="389"/>
      <c r="DXK60" s="389"/>
      <c r="DXL60" s="389"/>
      <c r="DXU60" s="389"/>
      <c r="DXV60" s="389"/>
      <c r="DYE60" s="389"/>
      <c r="DYF60" s="389"/>
      <c r="DYO60" s="389"/>
      <c r="DYP60" s="389"/>
      <c r="DYY60" s="389"/>
      <c r="DYZ60" s="389"/>
      <c r="DZI60" s="389"/>
      <c r="DZJ60" s="389"/>
      <c r="DZS60" s="389"/>
      <c r="DZT60" s="389"/>
      <c r="EAC60" s="389"/>
      <c r="EAD60" s="389"/>
      <c r="EAM60" s="389"/>
      <c r="EAN60" s="389"/>
      <c r="EAW60" s="389"/>
      <c r="EAX60" s="389"/>
      <c r="EBG60" s="389"/>
      <c r="EBH60" s="389"/>
      <c r="EBQ60" s="389"/>
      <c r="EBR60" s="389"/>
      <c r="ECA60" s="389"/>
      <c r="ECB60" s="389"/>
      <c r="ECK60" s="389"/>
      <c r="ECL60" s="389"/>
      <c r="ECU60" s="389"/>
      <c r="ECV60" s="389"/>
      <c r="EDE60" s="389"/>
      <c r="EDF60" s="389"/>
      <c r="EDO60" s="389"/>
      <c r="EDP60" s="389"/>
      <c r="EDY60" s="389"/>
      <c r="EDZ60" s="389"/>
      <c r="EEI60" s="389"/>
      <c r="EEJ60" s="389"/>
      <c r="EES60" s="389"/>
      <c r="EET60" s="389"/>
      <c r="EFC60" s="389"/>
      <c r="EFD60" s="389"/>
      <c r="EFM60" s="389"/>
      <c r="EFN60" s="389"/>
      <c r="EFW60" s="389"/>
      <c r="EFX60" s="389"/>
      <c r="EGG60" s="389"/>
      <c r="EGH60" s="389"/>
      <c r="EGQ60" s="389"/>
      <c r="EGR60" s="389"/>
      <c r="EHA60" s="389"/>
      <c r="EHB60" s="389"/>
      <c r="EHK60" s="389"/>
      <c r="EHL60" s="389"/>
      <c r="EHU60" s="389"/>
      <c r="EHV60" s="389"/>
      <c r="EIE60" s="389"/>
      <c r="EIF60" s="389"/>
      <c r="EIO60" s="389"/>
      <c r="EIP60" s="389"/>
      <c r="EIY60" s="389"/>
      <c r="EIZ60" s="389"/>
      <c r="EJI60" s="389"/>
      <c r="EJJ60" s="389"/>
      <c r="EJS60" s="389"/>
      <c r="EJT60" s="389"/>
      <c r="EKC60" s="389"/>
      <c r="EKD60" s="389"/>
      <c r="EKM60" s="389"/>
      <c r="EKN60" s="389"/>
      <c r="EKW60" s="389"/>
      <c r="EKX60" s="389"/>
      <c r="ELG60" s="389"/>
      <c r="ELH60" s="389"/>
      <c r="ELQ60" s="389"/>
      <c r="ELR60" s="389"/>
      <c r="EMA60" s="389"/>
      <c r="EMB60" s="389"/>
      <c r="EMK60" s="389"/>
      <c r="EML60" s="389"/>
      <c r="EMU60" s="389"/>
      <c r="EMV60" s="389"/>
      <c r="ENE60" s="389"/>
      <c r="ENF60" s="389"/>
      <c r="ENO60" s="389"/>
      <c r="ENP60" s="389"/>
      <c r="ENY60" s="389"/>
      <c r="ENZ60" s="389"/>
      <c r="EOI60" s="389"/>
      <c r="EOJ60" s="389"/>
      <c r="EOS60" s="389"/>
      <c r="EOT60" s="389"/>
      <c r="EPC60" s="389"/>
      <c r="EPD60" s="389"/>
      <c r="EPM60" s="389"/>
      <c r="EPN60" s="389"/>
      <c r="EPW60" s="389"/>
      <c r="EPX60" s="389"/>
      <c r="EQG60" s="389"/>
      <c r="EQH60" s="389"/>
      <c r="EQQ60" s="389"/>
      <c r="EQR60" s="389"/>
      <c r="ERA60" s="389"/>
      <c r="ERB60" s="389"/>
      <c r="ERK60" s="389"/>
      <c r="ERL60" s="389"/>
      <c r="ERU60" s="389"/>
      <c r="ERV60" s="389"/>
      <c r="ESE60" s="389"/>
      <c r="ESF60" s="389"/>
      <c r="ESO60" s="389"/>
      <c r="ESP60" s="389"/>
      <c r="ESY60" s="389"/>
      <c r="ESZ60" s="389"/>
      <c r="ETI60" s="389"/>
      <c r="ETJ60" s="389"/>
      <c r="ETS60" s="389"/>
      <c r="ETT60" s="389"/>
      <c r="EUC60" s="389"/>
      <c r="EUD60" s="389"/>
      <c r="EUM60" s="389"/>
      <c r="EUN60" s="389"/>
      <c r="EUW60" s="389"/>
      <c r="EUX60" s="389"/>
      <c r="EVG60" s="389"/>
      <c r="EVH60" s="389"/>
      <c r="EVQ60" s="389"/>
      <c r="EVR60" s="389"/>
      <c r="EWA60" s="389"/>
      <c r="EWB60" s="389"/>
      <c r="EWK60" s="389"/>
      <c r="EWL60" s="389"/>
      <c r="EWU60" s="389"/>
      <c r="EWV60" s="389"/>
      <c r="EXE60" s="389"/>
      <c r="EXF60" s="389"/>
      <c r="EXO60" s="389"/>
      <c r="EXP60" s="389"/>
      <c r="EXY60" s="389"/>
      <c r="EXZ60" s="389"/>
      <c r="EYI60" s="389"/>
      <c r="EYJ60" s="389"/>
      <c r="EYS60" s="389"/>
      <c r="EYT60" s="389"/>
      <c r="EZC60" s="389"/>
      <c r="EZD60" s="389"/>
      <c r="EZM60" s="389"/>
      <c r="EZN60" s="389"/>
      <c r="EZW60" s="389"/>
      <c r="EZX60" s="389"/>
      <c r="FAG60" s="389"/>
      <c r="FAH60" s="389"/>
      <c r="FAQ60" s="389"/>
      <c r="FAR60" s="389"/>
      <c r="FBA60" s="389"/>
      <c r="FBB60" s="389"/>
      <c r="FBK60" s="389"/>
      <c r="FBL60" s="389"/>
      <c r="FBU60" s="389"/>
      <c r="FBV60" s="389"/>
      <c r="FCE60" s="389"/>
      <c r="FCF60" s="389"/>
      <c r="FCO60" s="389"/>
      <c r="FCP60" s="389"/>
      <c r="FCY60" s="389"/>
      <c r="FCZ60" s="389"/>
      <c r="FDI60" s="389"/>
      <c r="FDJ60" s="389"/>
      <c r="FDS60" s="389"/>
      <c r="FDT60" s="389"/>
      <c r="FEC60" s="389"/>
      <c r="FED60" s="389"/>
      <c r="FEM60" s="389"/>
      <c r="FEN60" s="389"/>
      <c r="FEW60" s="389"/>
      <c r="FEX60" s="389"/>
      <c r="FFG60" s="389"/>
      <c r="FFH60" s="389"/>
      <c r="FFQ60" s="389"/>
      <c r="FFR60" s="389"/>
      <c r="FGA60" s="389"/>
      <c r="FGB60" s="389"/>
      <c r="FGK60" s="389"/>
      <c r="FGL60" s="389"/>
      <c r="FGU60" s="389"/>
      <c r="FGV60" s="389"/>
      <c r="FHE60" s="389"/>
      <c r="FHF60" s="389"/>
      <c r="FHO60" s="389"/>
      <c r="FHP60" s="389"/>
      <c r="FHY60" s="389"/>
      <c r="FHZ60" s="389"/>
      <c r="FII60" s="389"/>
      <c r="FIJ60" s="389"/>
      <c r="FIS60" s="389"/>
      <c r="FIT60" s="389"/>
      <c r="FJC60" s="389"/>
      <c r="FJD60" s="389"/>
      <c r="FJM60" s="389"/>
      <c r="FJN60" s="389"/>
      <c r="FJW60" s="389"/>
      <c r="FJX60" s="389"/>
      <c r="FKG60" s="389"/>
      <c r="FKH60" s="389"/>
      <c r="FKQ60" s="389"/>
      <c r="FKR60" s="389"/>
      <c r="FLA60" s="389"/>
      <c r="FLB60" s="389"/>
      <c r="FLK60" s="389"/>
      <c r="FLL60" s="389"/>
      <c r="FLU60" s="389"/>
      <c r="FLV60" s="389"/>
      <c r="FME60" s="389"/>
      <c r="FMF60" s="389"/>
      <c r="FMO60" s="389"/>
      <c r="FMP60" s="389"/>
      <c r="FMY60" s="389"/>
      <c r="FMZ60" s="389"/>
      <c r="FNI60" s="389"/>
      <c r="FNJ60" s="389"/>
      <c r="FNS60" s="389"/>
      <c r="FNT60" s="389"/>
      <c r="FOC60" s="389"/>
      <c r="FOD60" s="389"/>
      <c r="FOM60" s="389"/>
      <c r="FON60" s="389"/>
      <c r="FOW60" s="389"/>
      <c r="FOX60" s="389"/>
      <c r="FPG60" s="389"/>
      <c r="FPH60" s="389"/>
      <c r="FPQ60" s="389"/>
      <c r="FPR60" s="389"/>
      <c r="FQA60" s="389"/>
      <c r="FQB60" s="389"/>
      <c r="FQK60" s="389"/>
      <c r="FQL60" s="389"/>
      <c r="FQU60" s="389"/>
      <c r="FQV60" s="389"/>
      <c r="FRE60" s="389"/>
      <c r="FRF60" s="389"/>
      <c r="FRO60" s="389"/>
      <c r="FRP60" s="389"/>
      <c r="FRY60" s="389"/>
      <c r="FRZ60" s="389"/>
      <c r="FSI60" s="389"/>
      <c r="FSJ60" s="389"/>
      <c r="FSS60" s="389"/>
      <c r="FST60" s="389"/>
      <c r="FTC60" s="389"/>
      <c r="FTD60" s="389"/>
      <c r="FTM60" s="389"/>
      <c r="FTN60" s="389"/>
      <c r="FTW60" s="389"/>
      <c r="FTX60" s="389"/>
      <c r="FUG60" s="389"/>
      <c r="FUH60" s="389"/>
      <c r="FUQ60" s="389"/>
      <c r="FUR60" s="389"/>
      <c r="FVA60" s="389"/>
      <c r="FVB60" s="389"/>
      <c r="FVK60" s="389"/>
      <c r="FVL60" s="389"/>
      <c r="FVU60" s="389"/>
      <c r="FVV60" s="389"/>
      <c r="FWE60" s="389"/>
      <c r="FWF60" s="389"/>
      <c r="FWO60" s="389"/>
      <c r="FWP60" s="389"/>
      <c r="FWY60" s="389"/>
      <c r="FWZ60" s="389"/>
      <c r="FXI60" s="389"/>
      <c r="FXJ60" s="389"/>
      <c r="FXS60" s="389"/>
      <c r="FXT60" s="389"/>
      <c r="FYC60" s="389"/>
      <c r="FYD60" s="389"/>
      <c r="FYM60" s="389"/>
      <c r="FYN60" s="389"/>
      <c r="FYW60" s="389"/>
      <c r="FYX60" s="389"/>
      <c r="FZG60" s="389"/>
      <c r="FZH60" s="389"/>
      <c r="FZQ60" s="389"/>
      <c r="FZR60" s="389"/>
      <c r="GAA60" s="389"/>
      <c r="GAB60" s="389"/>
      <c r="GAK60" s="389"/>
      <c r="GAL60" s="389"/>
      <c r="GAU60" s="389"/>
      <c r="GAV60" s="389"/>
      <c r="GBE60" s="389"/>
      <c r="GBF60" s="389"/>
      <c r="GBO60" s="389"/>
      <c r="GBP60" s="389"/>
      <c r="GBY60" s="389"/>
      <c r="GBZ60" s="389"/>
      <c r="GCI60" s="389"/>
      <c r="GCJ60" s="389"/>
      <c r="GCS60" s="389"/>
      <c r="GCT60" s="389"/>
      <c r="GDC60" s="389"/>
      <c r="GDD60" s="389"/>
      <c r="GDM60" s="389"/>
      <c r="GDN60" s="389"/>
      <c r="GDW60" s="389"/>
      <c r="GDX60" s="389"/>
      <c r="GEG60" s="389"/>
      <c r="GEH60" s="389"/>
      <c r="GEQ60" s="389"/>
      <c r="GER60" s="389"/>
      <c r="GFA60" s="389"/>
      <c r="GFB60" s="389"/>
      <c r="GFK60" s="389"/>
      <c r="GFL60" s="389"/>
      <c r="GFU60" s="389"/>
      <c r="GFV60" s="389"/>
      <c r="GGE60" s="389"/>
      <c r="GGF60" s="389"/>
      <c r="GGO60" s="389"/>
      <c r="GGP60" s="389"/>
      <c r="GGY60" s="389"/>
      <c r="GGZ60" s="389"/>
      <c r="GHI60" s="389"/>
      <c r="GHJ60" s="389"/>
      <c r="GHS60" s="389"/>
      <c r="GHT60" s="389"/>
      <c r="GIC60" s="389"/>
      <c r="GID60" s="389"/>
      <c r="GIM60" s="389"/>
      <c r="GIN60" s="389"/>
      <c r="GIW60" s="389"/>
      <c r="GIX60" s="389"/>
      <c r="GJG60" s="389"/>
      <c r="GJH60" s="389"/>
      <c r="GJQ60" s="389"/>
      <c r="GJR60" s="389"/>
      <c r="GKA60" s="389"/>
      <c r="GKB60" s="389"/>
      <c r="GKK60" s="389"/>
      <c r="GKL60" s="389"/>
      <c r="GKU60" s="389"/>
      <c r="GKV60" s="389"/>
      <c r="GLE60" s="389"/>
      <c r="GLF60" s="389"/>
      <c r="GLO60" s="389"/>
      <c r="GLP60" s="389"/>
      <c r="GLY60" s="389"/>
      <c r="GLZ60" s="389"/>
      <c r="GMI60" s="389"/>
      <c r="GMJ60" s="389"/>
      <c r="GMS60" s="389"/>
      <c r="GMT60" s="389"/>
      <c r="GNC60" s="389"/>
      <c r="GND60" s="389"/>
      <c r="GNM60" s="389"/>
      <c r="GNN60" s="389"/>
      <c r="GNW60" s="389"/>
      <c r="GNX60" s="389"/>
      <c r="GOG60" s="389"/>
      <c r="GOH60" s="389"/>
      <c r="GOQ60" s="389"/>
      <c r="GOR60" s="389"/>
      <c r="GPA60" s="389"/>
      <c r="GPB60" s="389"/>
      <c r="GPK60" s="389"/>
      <c r="GPL60" s="389"/>
      <c r="GPU60" s="389"/>
      <c r="GPV60" s="389"/>
      <c r="GQE60" s="389"/>
      <c r="GQF60" s="389"/>
      <c r="GQO60" s="389"/>
      <c r="GQP60" s="389"/>
      <c r="GQY60" s="389"/>
      <c r="GQZ60" s="389"/>
      <c r="GRI60" s="389"/>
      <c r="GRJ60" s="389"/>
      <c r="GRS60" s="389"/>
      <c r="GRT60" s="389"/>
      <c r="GSC60" s="389"/>
      <c r="GSD60" s="389"/>
      <c r="GSM60" s="389"/>
      <c r="GSN60" s="389"/>
      <c r="GSW60" s="389"/>
      <c r="GSX60" s="389"/>
      <c r="GTG60" s="389"/>
      <c r="GTH60" s="389"/>
      <c r="GTQ60" s="389"/>
      <c r="GTR60" s="389"/>
      <c r="GUA60" s="389"/>
      <c r="GUB60" s="389"/>
      <c r="GUK60" s="389"/>
      <c r="GUL60" s="389"/>
      <c r="GUU60" s="389"/>
      <c r="GUV60" s="389"/>
      <c r="GVE60" s="389"/>
      <c r="GVF60" s="389"/>
      <c r="GVO60" s="389"/>
      <c r="GVP60" s="389"/>
      <c r="GVY60" s="389"/>
      <c r="GVZ60" s="389"/>
      <c r="GWI60" s="389"/>
      <c r="GWJ60" s="389"/>
      <c r="GWS60" s="389"/>
      <c r="GWT60" s="389"/>
      <c r="GXC60" s="389"/>
      <c r="GXD60" s="389"/>
      <c r="GXM60" s="389"/>
      <c r="GXN60" s="389"/>
      <c r="GXW60" s="389"/>
      <c r="GXX60" s="389"/>
      <c r="GYG60" s="389"/>
      <c r="GYH60" s="389"/>
      <c r="GYQ60" s="389"/>
      <c r="GYR60" s="389"/>
      <c r="GZA60" s="389"/>
      <c r="GZB60" s="389"/>
      <c r="GZK60" s="389"/>
      <c r="GZL60" s="389"/>
      <c r="GZU60" s="389"/>
      <c r="GZV60" s="389"/>
      <c r="HAE60" s="389"/>
      <c r="HAF60" s="389"/>
      <c r="HAO60" s="389"/>
      <c r="HAP60" s="389"/>
      <c r="HAY60" s="389"/>
      <c r="HAZ60" s="389"/>
      <c r="HBI60" s="389"/>
      <c r="HBJ60" s="389"/>
      <c r="HBS60" s="389"/>
      <c r="HBT60" s="389"/>
      <c r="HCC60" s="389"/>
      <c r="HCD60" s="389"/>
      <c r="HCM60" s="389"/>
      <c r="HCN60" s="389"/>
      <c r="HCW60" s="389"/>
      <c r="HCX60" s="389"/>
      <c r="HDG60" s="389"/>
      <c r="HDH60" s="389"/>
      <c r="HDQ60" s="389"/>
      <c r="HDR60" s="389"/>
      <c r="HEA60" s="389"/>
      <c r="HEB60" s="389"/>
      <c r="HEK60" s="389"/>
      <c r="HEL60" s="389"/>
      <c r="HEU60" s="389"/>
      <c r="HEV60" s="389"/>
      <c r="HFE60" s="389"/>
      <c r="HFF60" s="389"/>
      <c r="HFO60" s="389"/>
      <c r="HFP60" s="389"/>
      <c r="HFY60" s="389"/>
      <c r="HFZ60" s="389"/>
      <c r="HGI60" s="389"/>
      <c r="HGJ60" s="389"/>
      <c r="HGS60" s="389"/>
      <c r="HGT60" s="389"/>
      <c r="HHC60" s="389"/>
      <c r="HHD60" s="389"/>
      <c r="HHM60" s="389"/>
      <c r="HHN60" s="389"/>
      <c r="HHW60" s="389"/>
      <c r="HHX60" s="389"/>
      <c r="HIG60" s="389"/>
      <c r="HIH60" s="389"/>
      <c r="HIQ60" s="389"/>
      <c r="HIR60" s="389"/>
      <c r="HJA60" s="389"/>
      <c r="HJB60" s="389"/>
      <c r="HJK60" s="389"/>
      <c r="HJL60" s="389"/>
      <c r="HJU60" s="389"/>
      <c r="HJV60" s="389"/>
      <c r="HKE60" s="389"/>
      <c r="HKF60" s="389"/>
      <c r="HKO60" s="389"/>
      <c r="HKP60" s="389"/>
      <c r="HKY60" s="389"/>
      <c r="HKZ60" s="389"/>
      <c r="HLI60" s="389"/>
      <c r="HLJ60" s="389"/>
      <c r="HLS60" s="389"/>
      <c r="HLT60" s="389"/>
      <c r="HMC60" s="389"/>
      <c r="HMD60" s="389"/>
      <c r="HMM60" s="389"/>
      <c r="HMN60" s="389"/>
      <c r="HMW60" s="389"/>
      <c r="HMX60" s="389"/>
      <c r="HNG60" s="389"/>
      <c r="HNH60" s="389"/>
      <c r="HNQ60" s="389"/>
      <c r="HNR60" s="389"/>
      <c r="HOA60" s="389"/>
      <c r="HOB60" s="389"/>
      <c r="HOK60" s="389"/>
      <c r="HOL60" s="389"/>
      <c r="HOU60" s="389"/>
      <c r="HOV60" s="389"/>
      <c r="HPE60" s="389"/>
      <c r="HPF60" s="389"/>
      <c r="HPO60" s="389"/>
      <c r="HPP60" s="389"/>
      <c r="HPY60" s="389"/>
      <c r="HPZ60" s="389"/>
      <c r="HQI60" s="389"/>
      <c r="HQJ60" s="389"/>
      <c r="HQS60" s="389"/>
      <c r="HQT60" s="389"/>
      <c r="HRC60" s="389"/>
      <c r="HRD60" s="389"/>
      <c r="HRM60" s="389"/>
      <c r="HRN60" s="389"/>
      <c r="HRW60" s="389"/>
      <c r="HRX60" s="389"/>
      <c r="HSG60" s="389"/>
      <c r="HSH60" s="389"/>
      <c r="HSQ60" s="389"/>
      <c r="HSR60" s="389"/>
      <c r="HTA60" s="389"/>
      <c r="HTB60" s="389"/>
      <c r="HTK60" s="389"/>
      <c r="HTL60" s="389"/>
      <c r="HTU60" s="389"/>
      <c r="HTV60" s="389"/>
      <c r="HUE60" s="389"/>
      <c r="HUF60" s="389"/>
      <c r="HUO60" s="389"/>
      <c r="HUP60" s="389"/>
      <c r="HUY60" s="389"/>
      <c r="HUZ60" s="389"/>
      <c r="HVI60" s="389"/>
      <c r="HVJ60" s="389"/>
      <c r="HVS60" s="389"/>
      <c r="HVT60" s="389"/>
      <c r="HWC60" s="389"/>
      <c r="HWD60" s="389"/>
      <c r="HWM60" s="389"/>
      <c r="HWN60" s="389"/>
      <c r="HWW60" s="389"/>
      <c r="HWX60" s="389"/>
      <c r="HXG60" s="389"/>
      <c r="HXH60" s="389"/>
      <c r="HXQ60" s="389"/>
      <c r="HXR60" s="389"/>
      <c r="HYA60" s="389"/>
      <c r="HYB60" s="389"/>
      <c r="HYK60" s="389"/>
      <c r="HYL60" s="389"/>
      <c r="HYU60" s="389"/>
      <c r="HYV60" s="389"/>
      <c r="HZE60" s="389"/>
      <c r="HZF60" s="389"/>
      <c r="HZO60" s="389"/>
      <c r="HZP60" s="389"/>
      <c r="HZY60" s="389"/>
      <c r="HZZ60" s="389"/>
      <c r="IAI60" s="389"/>
      <c r="IAJ60" s="389"/>
      <c r="IAS60" s="389"/>
      <c r="IAT60" s="389"/>
      <c r="IBC60" s="389"/>
      <c r="IBD60" s="389"/>
      <c r="IBM60" s="389"/>
      <c r="IBN60" s="389"/>
      <c r="IBW60" s="389"/>
      <c r="IBX60" s="389"/>
      <c r="ICG60" s="389"/>
      <c r="ICH60" s="389"/>
      <c r="ICQ60" s="389"/>
      <c r="ICR60" s="389"/>
      <c r="IDA60" s="389"/>
      <c r="IDB60" s="389"/>
      <c r="IDK60" s="389"/>
      <c r="IDL60" s="389"/>
      <c r="IDU60" s="389"/>
      <c r="IDV60" s="389"/>
      <c r="IEE60" s="389"/>
      <c r="IEF60" s="389"/>
      <c r="IEO60" s="389"/>
      <c r="IEP60" s="389"/>
      <c r="IEY60" s="389"/>
      <c r="IEZ60" s="389"/>
      <c r="IFI60" s="389"/>
      <c r="IFJ60" s="389"/>
      <c r="IFS60" s="389"/>
      <c r="IFT60" s="389"/>
      <c r="IGC60" s="389"/>
      <c r="IGD60" s="389"/>
      <c r="IGM60" s="389"/>
      <c r="IGN60" s="389"/>
      <c r="IGW60" s="389"/>
      <c r="IGX60" s="389"/>
      <c r="IHG60" s="389"/>
      <c r="IHH60" s="389"/>
      <c r="IHQ60" s="389"/>
      <c r="IHR60" s="389"/>
      <c r="IIA60" s="389"/>
      <c r="IIB60" s="389"/>
      <c r="IIK60" s="389"/>
      <c r="IIL60" s="389"/>
      <c r="IIU60" s="389"/>
      <c r="IIV60" s="389"/>
      <c r="IJE60" s="389"/>
      <c r="IJF60" s="389"/>
      <c r="IJO60" s="389"/>
      <c r="IJP60" s="389"/>
      <c r="IJY60" s="389"/>
      <c r="IJZ60" s="389"/>
      <c r="IKI60" s="389"/>
      <c r="IKJ60" s="389"/>
      <c r="IKS60" s="389"/>
      <c r="IKT60" s="389"/>
      <c r="ILC60" s="389"/>
      <c r="ILD60" s="389"/>
      <c r="ILM60" s="389"/>
      <c r="ILN60" s="389"/>
      <c r="ILW60" s="389"/>
      <c r="ILX60" s="389"/>
      <c r="IMG60" s="389"/>
      <c r="IMH60" s="389"/>
      <c r="IMQ60" s="389"/>
      <c r="IMR60" s="389"/>
      <c r="INA60" s="389"/>
      <c r="INB60" s="389"/>
      <c r="INK60" s="389"/>
      <c r="INL60" s="389"/>
      <c r="INU60" s="389"/>
      <c r="INV60" s="389"/>
      <c r="IOE60" s="389"/>
      <c r="IOF60" s="389"/>
      <c r="IOO60" s="389"/>
      <c r="IOP60" s="389"/>
      <c r="IOY60" s="389"/>
      <c r="IOZ60" s="389"/>
      <c r="IPI60" s="389"/>
      <c r="IPJ60" s="389"/>
      <c r="IPS60" s="389"/>
      <c r="IPT60" s="389"/>
      <c r="IQC60" s="389"/>
      <c r="IQD60" s="389"/>
      <c r="IQM60" s="389"/>
      <c r="IQN60" s="389"/>
      <c r="IQW60" s="389"/>
      <c r="IQX60" s="389"/>
      <c r="IRG60" s="389"/>
      <c r="IRH60" s="389"/>
      <c r="IRQ60" s="389"/>
      <c r="IRR60" s="389"/>
      <c r="ISA60" s="389"/>
      <c r="ISB60" s="389"/>
      <c r="ISK60" s="389"/>
      <c r="ISL60" s="389"/>
      <c r="ISU60" s="389"/>
      <c r="ISV60" s="389"/>
      <c r="ITE60" s="389"/>
      <c r="ITF60" s="389"/>
      <c r="ITO60" s="389"/>
      <c r="ITP60" s="389"/>
      <c r="ITY60" s="389"/>
      <c r="ITZ60" s="389"/>
      <c r="IUI60" s="389"/>
      <c r="IUJ60" s="389"/>
      <c r="IUS60" s="389"/>
      <c r="IUT60" s="389"/>
      <c r="IVC60" s="389"/>
      <c r="IVD60" s="389"/>
      <c r="IVM60" s="389"/>
      <c r="IVN60" s="389"/>
      <c r="IVW60" s="389"/>
      <c r="IVX60" s="389"/>
      <c r="IWG60" s="389"/>
      <c r="IWH60" s="389"/>
      <c r="IWQ60" s="389"/>
      <c r="IWR60" s="389"/>
      <c r="IXA60" s="389"/>
      <c r="IXB60" s="389"/>
      <c r="IXK60" s="389"/>
      <c r="IXL60" s="389"/>
      <c r="IXU60" s="389"/>
      <c r="IXV60" s="389"/>
      <c r="IYE60" s="389"/>
      <c r="IYF60" s="389"/>
      <c r="IYO60" s="389"/>
      <c r="IYP60" s="389"/>
      <c r="IYY60" s="389"/>
      <c r="IYZ60" s="389"/>
      <c r="IZI60" s="389"/>
      <c r="IZJ60" s="389"/>
      <c r="IZS60" s="389"/>
      <c r="IZT60" s="389"/>
      <c r="JAC60" s="389"/>
      <c r="JAD60" s="389"/>
      <c r="JAM60" s="389"/>
      <c r="JAN60" s="389"/>
      <c r="JAW60" s="389"/>
      <c r="JAX60" s="389"/>
      <c r="JBG60" s="389"/>
      <c r="JBH60" s="389"/>
      <c r="JBQ60" s="389"/>
      <c r="JBR60" s="389"/>
      <c r="JCA60" s="389"/>
      <c r="JCB60" s="389"/>
      <c r="JCK60" s="389"/>
      <c r="JCL60" s="389"/>
      <c r="JCU60" s="389"/>
      <c r="JCV60" s="389"/>
      <c r="JDE60" s="389"/>
      <c r="JDF60" s="389"/>
      <c r="JDO60" s="389"/>
      <c r="JDP60" s="389"/>
      <c r="JDY60" s="389"/>
      <c r="JDZ60" s="389"/>
      <c r="JEI60" s="389"/>
      <c r="JEJ60" s="389"/>
      <c r="JES60" s="389"/>
      <c r="JET60" s="389"/>
      <c r="JFC60" s="389"/>
      <c r="JFD60" s="389"/>
      <c r="JFM60" s="389"/>
      <c r="JFN60" s="389"/>
      <c r="JFW60" s="389"/>
      <c r="JFX60" s="389"/>
      <c r="JGG60" s="389"/>
      <c r="JGH60" s="389"/>
      <c r="JGQ60" s="389"/>
      <c r="JGR60" s="389"/>
      <c r="JHA60" s="389"/>
      <c r="JHB60" s="389"/>
      <c r="JHK60" s="389"/>
      <c r="JHL60" s="389"/>
      <c r="JHU60" s="389"/>
      <c r="JHV60" s="389"/>
      <c r="JIE60" s="389"/>
      <c r="JIF60" s="389"/>
      <c r="JIO60" s="389"/>
      <c r="JIP60" s="389"/>
      <c r="JIY60" s="389"/>
      <c r="JIZ60" s="389"/>
      <c r="JJI60" s="389"/>
      <c r="JJJ60" s="389"/>
      <c r="JJS60" s="389"/>
      <c r="JJT60" s="389"/>
      <c r="JKC60" s="389"/>
      <c r="JKD60" s="389"/>
      <c r="JKM60" s="389"/>
      <c r="JKN60" s="389"/>
      <c r="JKW60" s="389"/>
      <c r="JKX60" s="389"/>
      <c r="JLG60" s="389"/>
      <c r="JLH60" s="389"/>
      <c r="JLQ60" s="389"/>
      <c r="JLR60" s="389"/>
      <c r="JMA60" s="389"/>
      <c r="JMB60" s="389"/>
      <c r="JMK60" s="389"/>
      <c r="JML60" s="389"/>
      <c r="JMU60" s="389"/>
      <c r="JMV60" s="389"/>
      <c r="JNE60" s="389"/>
      <c r="JNF60" s="389"/>
      <c r="JNO60" s="389"/>
      <c r="JNP60" s="389"/>
      <c r="JNY60" s="389"/>
      <c r="JNZ60" s="389"/>
      <c r="JOI60" s="389"/>
      <c r="JOJ60" s="389"/>
      <c r="JOS60" s="389"/>
      <c r="JOT60" s="389"/>
      <c r="JPC60" s="389"/>
      <c r="JPD60" s="389"/>
      <c r="JPM60" s="389"/>
      <c r="JPN60" s="389"/>
      <c r="JPW60" s="389"/>
      <c r="JPX60" s="389"/>
      <c r="JQG60" s="389"/>
      <c r="JQH60" s="389"/>
      <c r="JQQ60" s="389"/>
      <c r="JQR60" s="389"/>
      <c r="JRA60" s="389"/>
      <c r="JRB60" s="389"/>
      <c r="JRK60" s="389"/>
      <c r="JRL60" s="389"/>
      <c r="JRU60" s="389"/>
      <c r="JRV60" s="389"/>
      <c r="JSE60" s="389"/>
      <c r="JSF60" s="389"/>
      <c r="JSO60" s="389"/>
      <c r="JSP60" s="389"/>
      <c r="JSY60" s="389"/>
      <c r="JSZ60" s="389"/>
      <c r="JTI60" s="389"/>
      <c r="JTJ60" s="389"/>
      <c r="JTS60" s="389"/>
      <c r="JTT60" s="389"/>
      <c r="JUC60" s="389"/>
      <c r="JUD60" s="389"/>
      <c r="JUM60" s="389"/>
      <c r="JUN60" s="389"/>
      <c r="JUW60" s="389"/>
      <c r="JUX60" s="389"/>
      <c r="JVG60" s="389"/>
      <c r="JVH60" s="389"/>
      <c r="JVQ60" s="389"/>
      <c r="JVR60" s="389"/>
      <c r="JWA60" s="389"/>
      <c r="JWB60" s="389"/>
      <c r="JWK60" s="389"/>
      <c r="JWL60" s="389"/>
      <c r="JWU60" s="389"/>
      <c r="JWV60" s="389"/>
      <c r="JXE60" s="389"/>
      <c r="JXF60" s="389"/>
      <c r="JXO60" s="389"/>
      <c r="JXP60" s="389"/>
      <c r="JXY60" s="389"/>
      <c r="JXZ60" s="389"/>
      <c r="JYI60" s="389"/>
      <c r="JYJ60" s="389"/>
      <c r="JYS60" s="389"/>
      <c r="JYT60" s="389"/>
      <c r="JZC60" s="389"/>
      <c r="JZD60" s="389"/>
      <c r="JZM60" s="389"/>
      <c r="JZN60" s="389"/>
      <c r="JZW60" s="389"/>
      <c r="JZX60" s="389"/>
      <c r="KAG60" s="389"/>
      <c r="KAH60" s="389"/>
      <c r="KAQ60" s="389"/>
      <c r="KAR60" s="389"/>
      <c r="KBA60" s="389"/>
      <c r="KBB60" s="389"/>
      <c r="KBK60" s="389"/>
      <c r="KBL60" s="389"/>
      <c r="KBU60" s="389"/>
      <c r="KBV60" s="389"/>
      <c r="KCE60" s="389"/>
      <c r="KCF60" s="389"/>
      <c r="KCO60" s="389"/>
      <c r="KCP60" s="389"/>
      <c r="KCY60" s="389"/>
      <c r="KCZ60" s="389"/>
      <c r="KDI60" s="389"/>
      <c r="KDJ60" s="389"/>
      <c r="KDS60" s="389"/>
      <c r="KDT60" s="389"/>
      <c r="KEC60" s="389"/>
      <c r="KED60" s="389"/>
      <c r="KEM60" s="389"/>
      <c r="KEN60" s="389"/>
      <c r="KEW60" s="389"/>
      <c r="KEX60" s="389"/>
      <c r="KFG60" s="389"/>
      <c r="KFH60" s="389"/>
      <c r="KFQ60" s="389"/>
      <c r="KFR60" s="389"/>
      <c r="KGA60" s="389"/>
      <c r="KGB60" s="389"/>
      <c r="KGK60" s="389"/>
      <c r="KGL60" s="389"/>
      <c r="KGU60" s="389"/>
      <c r="KGV60" s="389"/>
      <c r="KHE60" s="389"/>
      <c r="KHF60" s="389"/>
      <c r="KHO60" s="389"/>
      <c r="KHP60" s="389"/>
      <c r="KHY60" s="389"/>
      <c r="KHZ60" s="389"/>
      <c r="KII60" s="389"/>
      <c r="KIJ60" s="389"/>
      <c r="KIS60" s="389"/>
      <c r="KIT60" s="389"/>
      <c r="KJC60" s="389"/>
      <c r="KJD60" s="389"/>
      <c r="KJM60" s="389"/>
      <c r="KJN60" s="389"/>
      <c r="KJW60" s="389"/>
      <c r="KJX60" s="389"/>
      <c r="KKG60" s="389"/>
      <c r="KKH60" s="389"/>
      <c r="KKQ60" s="389"/>
      <c r="KKR60" s="389"/>
      <c r="KLA60" s="389"/>
      <c r="KLB60" s="389"/>
      <c r="KLK60" s="389"/>
      <c r="KLL60" s="389"/>
      <c r="KLU60" s="389"/>
      <c r="KLV60" s="389"/>
      <c r="KME60" s="389"/>
      <c r="KMF60" s="389"/>
      <c r="KMO60" s="389"/>
      <c r="KMP60" s="389"/>
      <c r="KMY60" s="389"/>
      <c r="KMZ60" s="389"/>
      <c r="KNI60" s="389"/>
      <c r="KNJ60" s="389"/>
      <c r="KNS60" s="389"/>
      <c r="KNT60" s="389"/>
      <c r="KOC60" s="389"/>
      <c r="KOD60" s="389"/>
      <c r="KOM60" s="389"/>
      <c r="KON60" s="389"/>
      <c r="KOW60" s="389"/>
      <c r="KOX60" s="389"/>
      <c r="KPG60" s="389"/>
      <c r="KPH60" s="389"/>
      <c r="KPQ60" s="389"/>
      <c r="KPR60" s="389"/>
      <c r="KQA60" s="389"/>
      <c r="KQB60" s="389"/>
      <c r="KQK60" s="389"/>
      <c r="KQL60" s="389"/>
      <c r="KQU60" s="389"/>
      <c r="KQV60" s="389"/>
      <c r="KRE60" s="389"/>
      <c r="KRF60" s="389"/>
      <c r="KRO60" s="389"/>
      <c r="KRP60" s="389"/>
      <c r="KRY60" s="389"/>
      <c r="KRZ60" s="389"/>
      <c r="KSI60" s="389"/>
      <c r="KSJ60" s="389"/>
      <c r="KSS60" s="389"/>
      <c r="KST60" s="389"/>
      <c r="KTC60" s="389"/>
      <c r="KTD60" s="389"/>
      <c r="KTM60" s="389"/>
      <c r="KTN60" s="389"/>
      <c r="KTW60" s="389"/>
      <c r="KTX60" s="389"/>
      <c r="KUG60" s="389"/>
      <c r="KUH60" s="389"/>
      <c r="KUQ60" s="389"/>
      <c r="KUR60" s="389"/>
      <c r="KVA60" s="389"/>
      <c r="KVB60" s="389"/>
      <c r="KVK60" s="389"/>
      <c r="KVL60" s="389"/>
      <c r="KVU60" s="389"/>
      <c r="KVV60" s="389"/>
      <c r="KWE60" s="389"/>
      <c r="KWF60" s="389"/>
      <c r="KWO60" s="389"/>
      <c r="KWP60" s="389"/>
      <c r="KWY60" s="389"/>
      <c r="KWZ60" s="389"/>
      <c r="KXI60" s="389"/>
      <c r="KXJ60" s="389"/>
      <c r="KXS60" s="389"/>
      <c r="KXT60" s="389"/>
      <c r="KYC60" s="389"/>
      <c r="KYD60" s="389"/>
      <c r="KYM60" s="389"/>
      <c r="KYN60" s="389"/>
      <c r="KYW60" s="389"/>
      <c r="KYX60" s="389"/>
      <c r="KZG60" s="389"/>
      <c r="KZH60" s="389"/>
      <c r="KZQ60" s="389"/>
      <c r="KZR60" s="389"/>
      <c r="LAA60" s="389"/>
      <c r="LAB60" s="389"/>
      <c r="LAK60" s="389"/>
      <c r="LAL60" s="389"/>
      <c r="LAU60" s="389"/>
      <c r="LAV60" s="389"/>
      <c r="LBE60" s="389"/>
      <c r="LBF60" s="389"/>
      <c r="LBO60" s="389"/>
      <c r="LBP60" s="389"/>
      <c r="LBY60" s="389"/>
      <c r="LBZ60" s="389"/>
      <c r="LCI60" s="389"/>
      <c r="LCJ60" s="389"/>
      <c r="LCS60" s="389"/>
      <c r="LCT60" s="389"/>
      <c r="LDC60" s="389"/>
      <c r="LDD60" s="389"/>
      <c r="LDM60" s="389"/>
      <c r="LDN60" s="389"/>
      <c r="LDW60" s="389"/>
      <c r="LDX60" s="389"/>
      <c r="LEG60" s="389"/>
      <c r="LEH60" s="389"/>
      <c r="LEQ60" s="389"/>
      <c r="LER60" s="389"/>
      <c r="LFA60" s="389"/>
      <c r="LFB60" s="389"/>
      <c r="LFK60" s="389"/>
      <c r="LFL60" s="389"/>
      <c r="LFU60" s="389"/>
      <c r="LFV60" s="389"/>
      <c r="LGE60" s="389"/>
      <c r="LGF60" s="389"/>
      <c r="LGO60" s="389"/>
      <c r="LGP60" s="389"/>
      <c r="LGY60" s="389"/>
      <c r="LGZ60" s="389"/>
      <c r="LHI60" s="389"/>
      <c r="LHJ60" s="389"/>
      <c r="LHS60" s="389"/>
      <c r="LHT60" s="389"/>
      <c r="LIC60" s="389"/>
      <c r="LID60" s="389"/>
      <c r="LIM60" s="389"/>
      <c r="LIN60" s="389"/>
      <c r="LIW60" s="389"/>
      <c r="LIX60" s="389"/>
      <c r="LJG60" s="389"/>
      <c r="LJH60" s="389"/>
      <c r="LJQ60" s="389"/>
      <c r="LJR60" s="389"/>
      <c r="LKA60" s="389"/>
      <c r="LKB60" s="389"/>
      <c r="LKK60" s="389"/>
      <c r="LKL60" s="389"/>
      <c r="LKU60" s="389"/>
      <c r="LKV60" s="389"/>
      <c r="LLE60" s="389"/>
      <c r="LLF60" s="389"/>
      <c r="LLO60" s="389"/>
      <c r="LLP60" s="389"/>
      <c r="LLY60" s="389"/>
      <c r="LLZ60" s="389"/>
      <c r="LMI60" s="389"/>
      <c r="LMJ60" s="389"/>
      <c r="LMS60" s="389"/>
      <c r="LMT60" s="389"/>
      <c r="LNC60" s="389"/>
      <c r="LND60" s="389"/>
      <c r="LNM60" s="389"/>
      <c r="LNN60" s="389"/>
      <c r="LNW60" s="389"/>
      <c r="LNX60" s="389"/>
      <c r="LOG60" s="389"/>
      <c r="LOH60" s="389"/>
      <c r="LOQ60" s="389"/>
      <c r="LOR60" s="389"/>
      <c r="LPA60" s="389"/>
      <c r="LPB60" s="389"/>
      <c r="LPK60" s="389"/>
      <c r="LPL60" s="389"/>
      <c r="LPU60" s="389"/>
      <c r="LPV60" s="389"/>
      <c r="LQE60" s="389"/>
      <c r="LQF60" s="389"/>
      <c r="LQO60" s="389"/>
      <c r="LQP60" s="389"/>
      <c r="LQY60" s="389"/>
      <c r="LQZ60" s="389"/>
      <c r="LRI60" s="389"/>
      <c r="LRJ60" s="389"/>
      <c r="LRS60" s="389"/>
      <c r="LRT60" s="389"/>
      <c r="LSC60" s="389"/>
      <c r="LSD60" s="389"/>
      <c r="LSM60" s="389"/>
      <c r="LSN60" s="389"/>
      <c r="LSW60" s="389"/>
      <c r="LSX60" s="389"/>
      <c r="LTG60" s="389"/>
      <c r="LTH60" s="389"/>
      <c r="LTQ60" s="389"/>
      <c r="LTR60" s="389"/>
      <c r="LUA60" s="389"/>
      <c r="LUB60" s="389"/>
      <c r="LUK60" s="389"/>
      <c r="LUL60" s="389"/>
      <c r="LUU60" s="389"/>
      <c r="LUV60" s="389"/>
      <c r="LVE60" s="389"/>
      <c r="LVF60" s="389"/>
      <c r="LVO60" s="389"/>
      <c r="LVP60" s="389"/>
      <c r="LVY60" s="389"/>
      <c r="LVZ60" s="389"/>
      <c r="LWI60" s="389"/>
      <c r="LWJ60" s="389"/>
      <c r="LWS60" s="389"/>
      <c r="LWT60" s="389"/>
      <c r="LXC60" s="389"/>
      <c r="LXD60" s="389"/>
      <c r="LXM60" s="389"/>
      <c r="LXN60" s="389"/>
      <c r="LXW60" s="389"/>
      <c r="LXX60" s="389"/>
      <c r="LYG60" s="389"/>
      <c r="LYH60" s="389"/>
      <c r="LYQ60" s="389"/>
      <c r="LYR60" s="389"/>
      <c r="LZA60" s="389"/>
      <c r="LZB60" s="389"/>
      <c r="LZK60" s="389"/>
      <c r="LZL60" s="389"/>
      <c r="LZU60" s="389"/>
      <c r="LZV60" s="389"/>
      <c r="MAE60" s="389"/>
      <c r="MAF60" s="389"/>
      <c r="MAO60" s="389"/>
      <c r="MAP60" s="389"/>
      <c r="MAY60" s="389"/>
      <c r="MAZ60" s="389"/>
      <c r="MBI60" s="389"/>
      <c r="MBJ60" s="389"/>
      <c r="MBS60" s="389"/>
      <c r="MBT60" s="389"/>
      <c r="MCC60" s="389"/>
      <c r="MCD60" s="389"/>
      <c r="MCM60" s="389"/>
      <c r="MCN60" s="389"/>
      <c r="MCW60" s="389"/>
      <c r="MCX60" s="389"/>
      <c r="MDG60" s="389"/>
      <c r="MDH60" s="389"/>
      <c r="MDQ60" s="389"/>
      <c r="MDR60" s="389"/>
      <c r="MEA60" s="389"/>
      <c r="MEB60" s="389"/>
      <c r="MEK60" s="389"/>
      <c r="MEL60" s="389"/>
      <c r="MEU60" s="389"/>
      <c r="MEV60" s="389"/>
      <c r="MFE60" s="389"/>
      <c r="MFF60" s="389"/>
      <c r="MFO60" s="389"/>
      <c r="MFP60" s="389"/>
      <c r="MFY60" s="389"/>
      <c r="MFZ60" s="389"/>
      <c r="MGI60" s="389"/>
      <c r="MGJ60" s="389"/>
      <c r="MGS60" s="389"/>
      <c r="MGT60" s="389"/>
      <c r="MHC60" s="389"/>
      <c r="MHD60" s="389"/>
      <c r="MHM60" s="389"/>
      <c r="MHN60" s="389"/>
      <c r="MHW60" s="389"/>
      <c r="MHX60" s="389"/>
      <c r="MIG60" s="389"/>
      <c r="MIH60" s="389"/>
      <c r="MIQ60" s="389"/>
      <c r="MIR60" s="389"/>
      <c r="MJA60" s="389"/>
      <c r="MJB60" s="389"/>
      <c r="MJK60" s="389"/>
      <c r="MJL60" s="389"/>
      <c r="MJU60" s="389"/>
      <c r="MJV60" s="389"/>
      <c r="MKE60" s="389"/>
      <c r="MKF60" s="389"/>
      <c r="MKO60" s="389"/>
      <c r="MKP60" s="389"/>
      <c r="MKY60" s="389"/>
      <c r="MKZ60" s="389"/>
      <c r="MLI60" s="389"/>
      <c r="MLJ60" s="389"/>
      <c r="MLS60" s="389"/>
      <c r="MLT60" s="389"/>
      <c r="MMC60" s="389"/>
      <c r="MMD60" s="389"/>
      <c r="MMM60" s="389"/>
      <c r="MMN60" s="389"/>
      <c r="MMW60" s="389"/>
      <c r="MMX60" s="389"/>
      <c r="MNG60" s="389"/>
      <c r="MNH60" s="389"/>
      <c r="MNQ60" s="389"/>
      <c r="MNR60" s="389"/>
      <c r="MOA60" s="389"/>
      <c r="MOB60" s="389"/>
      <c r="MOK60" s="389"/>
      <c r="MOL60" s="389"/>
      <c r="MOU60" s="389"/>
      <c r="MOV60" s="389"/>
      <c r="MPE60" s="389"/>
      <c r="MPF60" s="389"/>
      <c r="MPO60" s="389"/>
      <c r="MPP60" s="389"/>
      <c r="MPY60" s="389"/>
      <c r="MPZ60" s="389"/>
      <c r="MQI60" s="389"/>
      <c r="MQJ60" s="389"/>
      <c r="MQS60" s="389"/>
      <c r="MQT60" s="389"/>
      <c r="MRC60" s="389"/>
      <c r="MRD60" s="389"/>
      <c r="MRM60" s="389"/>
      <c r="MRN60" s="389"/>
      <c r="MRW60" s="389"/>
      <c r="MRX60" s="389"/>
      <c r="MSG60" s="389"/>
      <c r="MSH60" s="389"/>
      <c r="MSQ60" s="389"/>
      <c r="MSR60" s="389"/>
      <c r="MTA60" s="389"/>
      <c r="MTB60" s="389"/>
      <c r="MTK60" s="389"/>
      <c r="MTL60" s="389"/>
      <c r="MTU60" s="389"/>
      <c r="MTV60" s="389"/>
      <c r="MUE60" s="389"/>
      <c r="MUF60" s="389"/>
      <c r="MUO60" s="389"/>
      <c r="MUP60" s="389"/>
      <c r="MUY60" s="389"/>
      <c r="MUZ60" s="389"/>
      <c r="MVI60" s="389"/>
      <c r="MVJ60" s="389"/>
      <c r="MVS60" s="389"/>
      <c r="MVT60" s="389"/>
      <c r="MWC60" s="389"/>
      <c r="MWD60" s="389"/>
      <c r="MWM60" s="389"/>
      <c r="MWN60" s="389"/>
      <c r="MWW60" s="389"/>
      <c r="MWX60" s="389"/>
      <c r="MXG60" s="389"/>
      <c r="MXH60" s="389"/>
      <c r="MXQ60" s="389"/>
      <c r="MXR60" s="389"/>
      <c r="MYA60" s="389"/>
      <c r="MYB60" s="389"/>
      <c r="MYK60" s="389"/>
      <c r="MYL60" s="389"/>
      <c r="MYU60" s="389"/>
      <c r="MYV60" s="389"/>
      <c r="MZE60" s="389"/>
      <c r="MZF60" s="389"/>
      <c r="MZO60" s="389"/>
      <c r="MZP60" s="389"/>
      <c r="MZY60" s="389"/>
      <c r="MZZ60" s="389"/>
      <c r="NAI60" s="389"/>
      <c r="NAJ60" s="389"/>
      <c r="NAS60" s="389"/>
      <c r="NAT60" s="389"/>
      <c r="NBC60" s="389"/>
      <c r="NBD60" s="389"/>
      <c r="NBM60" s="389"/>
      <c r="NBN60" s="389"/>
      <c r="NBW60" s="389"/>
      <c r="NBX60" s="389"/>
      <c r="NCG60" s="389"/>
      <c r="NCH60" s="389"/>
      <c r="NCQ60" s="389"/>
      <c r="NCR60" s="389"/>
      <c r="NDA60" s="389"/>
      <c r="NDB60" s="389"/>
      <c r="NDK60" s="389"/>
      <c r="NDL60" s="389"/>
      <c r="NDU60" s="389"/>
      <c r="NDV60" s="389"/>
      <c r="NEE60" s="389"/>
      <c r="NEF60" s="389"/>
      <c r="NEO60" s="389"/>
      <c r="NEP60" s="389"/>
      <c r="NEY60" s="389"/>
      <c r="NEZ60" s="389"/>
      <c r="NFI60" s="389"/>
      <c r="NFJ60" s="389"/>
      <c r="NFS60" s="389"/>
      <c r="NFT60" s="389"/>
      <c r="NGC60" s="389"/>
      <c r="NGD60" s="389"/>
      <c r="NGM60" s="389"/>
      <c r="NGN60" s="389"/>
      <c r="NGW60" s="389"/>
      <c r="NGX60" s="389"/>
      <c r="NHG60" s="389"/>
      <c r="NHH60" s="389"/>
      <c r="NHQ60" s="389"/>
      <c r="NHR60" s="389"/>
      <c r="NIA60" s="389"/>
      <c r="NIB60" s="389"/>
      <c r="NIK60" s="389"/>
      <c r="NIL60" s="389"/>
      <c r="NIU60" s="389"/>
      <c r="NIV60" s="389"/>
      <c r="NJE60" s="389"/>
      <c r="NJF60" s="389"/>
      <c r="NJO60" s="389"/>
      <c r="NJP60" s="389"/>
      <c r="NJY60" s="389"/>
      <c r="NJZ60" s="389"/>
      <c r="NKI60" s="389"/>
      <c r="NKJ60" s="389"/>
      <c r="NKS60" s="389"/>
      <c r="NKT60" s="389"/>
      <c r="NLC60" s="389"/>
      <c r="NLD60" s="389"/>
      <c r="NLM60" s="389"/>
      <c r="NLN60" s="389"/>
      <c r="NLW60" s="389"/>
      <c r="NLX60" s="389"/>
      <c r="NMG60" s="389"/>
      <c r="NMH60" s="389"/>
      <c r="NMQ60" s="389"/>
      <c r="NMR60" s="389"/>
      <c r="NNA60" s="389"/>
      <c r="NNB60" s="389"/>
      <c r="NNK60" s="389"/>
      <c r="NNL60" s="389"/>
      <c r="NNU60" s="389"/>
      <c r="NNV60" s="389"/>
      <c r="NOE60" s="389"/>
      <c r="NOF60" s="389"/>
      <c r="NOO60" s="389"/>
      <c r="NOP60" s="389"/>
      <c r="NOY60" s="389"/>
      <c r="NOZ60" s="389"/>
      <c r="NPI60" s="389"/>
      <c r="NPJ60" s="389"/>
      <c r="NPS60" s="389"/>
      <c r="NPT60" s="389"/>
      <c r="NQC60" s="389"/>
      <c r="NQD60" s="389"/>
      <c r="NQM60" s="389"/>
      <c r="NQN60" s="389"/>
      <c r="NQW60" s="389"/>
      <c r="NQX60" s="389"/>
      <c r="NRG60" s="389"/>
      <c r="NRH60" s="389"/>
      <c r="NRQ60" s="389"/>
      <c r="NRR60" s="389"/>
      <c r="NSA60" s="389"/>
      <c r="NSB60" s="389"/>
      <c r="NSK60" s="389"/>
      <c r="NSL60" s="389"/>
      <c r="NSU60" s="389"/>
      <c r="NSV60" s="389"/>
      <c r="NTE60" s="389"/>
      <c r="NTF60" s="389"/>
      <c r="NTO60" s="389"/>
      <c r="NTP60" s="389"/>
      <c r="NTY60" s="389"/>
      <c r="NTZ60" s="389"/>
      <c r="NUI60" s="389"/>
      <c r="NUJ60" s="389"/>
      <c r="NUS60" s="389"/>
      <c r="NUT60" s="389"/>
      <c r="NVC60" s="389"/>
      <c r="NVD60" s="389"/>
      <c r="NVM60" s="389"/>
      <c r="NVN60" s="389"/>
      <c r="NVW60" s="389"/>
      <c r="NVX60" s="389"/>
      <c r="NWG60" s="389"/>
      <c r="NWH60" s="389"/>
      <c r="NWQ60" s="389"/>
      <c r="NWR60" s="389"/>
      <c r="NXA60" s="389"/>
      <c r="NXB60" s="389"/>
      <c r="NXK60" s="389"/>
      <c r="NXL60" s="389"/>
      <c r="NXU60" s="389"/>
      <c r="NXV60" s="389"/>
      <c r="NYE60" s="389"/>
      <c r="NYF60" s="389"/>
      <c r="NYO60" s="389"/>
      <c r="NYP60" s="389"/>
      <c r="NYY60" s="389"/>
      <c r="NYZ60" s="389"/>
      <c r="NZI60" s="389"/>
      <c r="NZJ60" s="389"/>
      <c r="NZS60" s="389"/>
      <c r="NZT60" s="389"/>
      <c r="OAC60" s="389"/>
      <c r="OAD60" s="389"/>
      <c r="OAM60" s="389"/>
      <c r="OAN60" s="389"/>
      <c r="OAW60" s="389"/>
      <c r="OAX60" s="389"/>
      <c r="OBG60" s="389"/>
      <c r="OBH60" s="389"/>
      <c r="OBQ60" s="389"/>
      <c r="OBR60" s="389"/>
      <c r="OCA60" s="389"/>
      <c r="OCB60" s="389"/>
      <c r="OCK60" s="389"/>
      <c r="OCL60" s="389"/>
      <c r="OCU60" s="389"/>
      <c r="OCV60" s="389"/>
      <c r="ODE60" s="389"/>
      <c r="ODF60" s="389"/>
      <c r="ODO60" s="389"/>
      <c r="ODP60" s="389"/>
      <c r="ODY60" s="389"/>
      <c r="ODZ60" s="389"/>
      <c r="OEI60" s="389"/>
      <c r="OEJ60" s="389"/>
      <c r="OES60" s="389"/>
      <c r="OET60" s="389"/>
      <c r="OFC60" s="389"/>
      <c r="OFD60" s="389"/>
      <c r="OFM60" s="389"/>
      <c r="OFN60" s="389"/>
      <c r="OFW60" s="389"/>
      <c r="OFX60" s="389"/>
      <c r="OGG60" s="389"/>
      <c r="OGH60" s="389"/>
      <c r="OGQ60" s="389"/>
      <c r="OGR60" s="389"/>
      <c r="OHA60" s="389"/>
      <c r="OHB60" s="389"/>
      <c r="OHK60" s="389"/>
      <c r="OHL60" s="389"/>
      <c r="OHU60" s="389"/>
      <c r="OHV60" s="389"/>
      <c r="OIE60" s="389"/>
      <c r="OIF60" s="389"/>
      <c r="OIO60" s="389"/>
      <c r="OIP60" s="389"/>
      <c r="OIY60" s="389"/>
      <c r="OIZ60" s="389"/>
      <c r="OJI60" s="389"/>
      <c r="OJJ60" s="389"/>
      <c r="OJS60" s="389"/>
      <c r="OJT60" s="389"/>
      <c r="OKC60" s="389"/>
      <c r="OKD60" s="389"/>
      <c r="OKM60" s="389"/>
      <c r="OKN60" s="389"/>
      <c r="OKW60" s="389"/>
      <c r="OKX60" s="389"/>
      <c r="OLG60" s="389"/>
      <c r="OLH60" s="389"/>
      <c r="OLQ60" s="389"/>
      <c r="OLR60" s="389"/>
      <c r="OMA60" s="389"/>
      <c r="OMB60" s="389"/>
      <c r="OMK60" s="389"/>
      <c r="OML60" s="389"/>
      <c r="OMU60" s="389"/>
      <c r="OMV60" s="389"/>
      <c r="ONE60" s="389"/>
      <c r="ONF60" s="389"/>
      <c r="ONO60" s="389"/>
      <c r="ONP60" s="389"/>
      <c r="ONY60" s="389"/>
      <c r="ONZ60" s="389"/>
      <c r="OOI60" s="389"/>
      <c r="OOJ60" s="389"/>
      <c r="OOS60" s="389"/>
      <c r="OOT60" s="389"/>
      <c r="OPC60" s="389"/>
      <c r="OPD60" s="389"/>
      <c r="OPM60" s="389"/>
      <c r="OPN60" s="389"/>
      <c r="OPW60" s="389"/>
      <c r="OPX60" s="389"/>
      <c r="OQG60" s="389"/>
      <c r="OQH60" s="389"/>
      <c r="OQQ60" s="389"/>
      <c r="OQR60" s="389"/>
      <c r="ORA60" s="389"/>
      <c r="ORB60" s="389"/>
      <c r="ORK60" s="389"/>
      <c r="ORL60" s="389"/>
      <c r="ORU60" s="389"/>
      <c r="ORV60" s="389"/>
      <c r="OSE60" s="389"/>
      <c r="OSF60" s="389"/>
      <c r="OSO60" s="389"/>
      <c r="OSP60" s="389"/>
      <c r="OSY60" s="389"/>
      <c r="OSZ60" s="389"/>
      <c r="OTI60" s="389"/>
      <c r="OTJ60" s="389"/>
      <c r="OTS60" s="389"/>
      <c r="OTT60" s="389"/>
      <c r="OUC60" s="389"/>
      <c r="OUD60" s="389"/>
      <c r="OUM60" s="389"/>
      <c r="OUN60" s="389"/>
      <c r="OUW60" s="389"/>
      <c r="OUX60" s="389"/>
      <c r="OVG60" s="389"/>
      <c r="OVH60" s="389"/>
      <c r="OVQ60" s="389"/>
      <c r="OVR60" s="389"/>
      <c r="OWA60" s="389"/>
      <c r="OWB60" s="389"/>
      <c r="OWK60" s="389"/>
      <c r="OWL60" s="389"/>
      <c r="OWU60" s="389"/>
      <c r="OWV60" s="389"/>
      <c r="OXE60" s="389"/>
      <c r="OXF60" s="389"/>
      <c r="OXO60" s="389"/>
      <c r="OXP60" s="389"/>
      <c r="OXY60" s="389"/>
      <c r="OXZ60" s="389"/>
      <c r="OYI60" s="389"/>
      <c r="OYJ60" s="389"/>
      <c r="OYS60" s="389"/>
      <c r="OYT60" s="389"/>
      <c r="OZC60" s="389"/>
      <c r="OZD60" s="389"/>
      <c r="OZM60" s="389"/>
      <c r="OZN60" s="389"/>
      <c r="OZW60" s="389"/>
      <c r="OZX60" s="389"/>
      <c r="PAG60" s="389"/>
      <c r="PAH60" s="389"/>
      <c r="PAQ60" s="389"/>
      <c r="PAR60" s="389"/>
      <c r="PBA60" s="389"/>
      <c r="PBB60" s="389"/>
      <c r="PBK60" s="389"/>
      <c r="PBL60" s="389"/>
      <c r="PBU60" s="389"/>
      <c r="PBV60" s="389"/>
      <c r="PCE60" s="389"/>
      <c r="PCF60" s="389"/>
      <c r="PCO60" s="389"/>
      <c r="PCP60" s="389"/>
      <c r="PCY60" s="389"/>
      <c r="PCZ60" s="389"/>
      <c r="PDI60" s="389"/>
      <c r="PDJ60" s="389"/>
      <c r="PDS60" s="389"/>
      <c r="PDT60" s="389"/>
      <c r="PEC60" s="389"/>
      <c r="PED60" s="389"/>
      <c r="PEM60" s="389"/>
      <c r="PEN60" s="389"/>
      <c r="PEW60" s="389"/>
      <c r="PEX60" s="389"/>
      <c r="PFG60" s="389"/>
      <c r="PFH60" s="389"/>
      <c r="PFQ60" s="389"/>
      <c r="PFR60" s="389"/>
      <c r="PGA60" s="389"/>
      <c r="PGB60" s="389"/>
      <c r="PGK60" s="389"/>
      <c r="PGL60" s="389"/>
      <c r="PGU60" s="389"/>
      <c r="PGV60" s="389"/>
      <c r="PHE60" s="389"/>
      <c r="PHF60" s="389"/>
      <c r="PHO60" s="389"/>
      <c r="PHP60" s="389"/>
      <c r="PHY60" s="389"/>
      <c r="PHZ60" s="389"/>
      <c r="PII60" s="389"/>
      <c r="PIJ60" s="389"/>
      <c r="PIS60" s="389"/>
      <c r="PIT60" s="389"/>
      <c r="PJC60" s="389"/>
      <c r="PJD60" s="389"/>
      <c r="PJM60" s="389"/>
      <c r="PJN60" s="389"/>
      <c r="PJW60" s="389"/>
      <c r="PJX60" s="389"/>
      <c r="PKG60" s="389"/>
      <c r="PKH60" s="389"/>
      <c r="PKQ60" s="389"/>
      <c r="PKR60" s="389"/>
      <c r="PLA60" s="389"/>
      <c r="PLB60" s="389"/>
      <c r="PLK60" s="389"/>
      <c r="PLL60" s="389"/>
      <c r="PLU60" s="389"/>
      <c r="PLV60" s="389"/>
      <c r="PME60" s="389"/>
      <c r="PMF60" s="389"/>
      <c r="PMO60" s="389"/>
      <c r="PMP60" s="389"/>
      <c r="PMY60" s="389"/>
      <c r="PMZ60" s="389"/>
      <c r="PNI60" s="389"/>
      <c r="PNJ60" s="389"/>
      <c r="PNS60" s="389"/>
      <c r="PNT60" s="389"/>
      <c r="POC60" s="389"/>
      <c r="POD60" s="389"/>
      <c r="POM60" s="389"/>
      <c r="PON60" s="389"/>
      <c r="POW60" s="389"/>
      <c r="POX60" s="389"/>
      <c r="PPG60" s="389"/>
      <c r="PPH60" s="389"/>
      <c r="PPQ60" s="389"/>
      <c r="PPR60" s="389"/>
      <c r="PQA60" s="389"/>
      <c r="PQB60" s="389"/>
      <c r="PQK60" s="389"/>
      <c r="PQL60" s="389"/>
      <c r="PQU60" s="389"/>
      <c r="PQV60" s="389"/>
      <c r="PRE60" s="389"/>
      <c r="PRF60" s="389"/>
      <c r="PRO60" s="389"/>
      <c r="PRP60" s="389"/>
      <c r="PRY60" s="389"/>
      <c r="PRZ60" s="389"/>
      <c r="PSI60" s="389"/>
      <c r="PSJ60" s="389"/>
      <c r="PSS60" s="389"/>
      <c r="PST60" s="389"/>
      <c r="PTC60" s="389"/>
      <c r="PTD60" s="389"/>
      <c r="PTM60" s="389"/>
      <c r="PTN60" s="389"/>
      <c r="PTW60" s="389"/>
      <c r="PTX60" s="389"/>
      <c r="PUG60" s="389"/>
      <c r="PUH60" s="389"/>
      <c r="PUQ60" s="389"/>
      <c r="PUR60" s="389"/>
      <c r="PVA60" s="389"/>
      <c r="PVB60" s="389"/>
      <c r="PVK60" s="389"/>
      <c r="PVL60" s="389"/>
      <c r="PVU60" s="389"/>
      <c r="PVV60" s="389"/>
      <c r="PWE60" s="389"/>
      <c r="PWF60" s="389"/>
      <c r="PWO60" s="389"/>
      <c r="PWP60" s="389"/>
      <c r="PWY60" s="389"/>
      <c r="PWZ60" s="389"/>
      <c r="PXI60" s="389"/>
      <c r="PXJ60" s="389"/>
      <c r="PXS60" s="389"/>
      <c r="PXT60" s="389"/>
      <c r="PYC60" s="389"/>
      <c r="PYD60" s="389"/>
      <c r="PYM60" s="389"/>
      <c r="PYN60" s="389"/>
      <c r="PYW60" s="389"/>
      <c r="PYX60" s="389"/>
      <c r="PZG60" s="389"/>
      <c r="PZH60" s="389"/>
      <c r="PZQ60" s="389"/>
      <c r="PZR60" s="389"/>
      <c r="QAA60" s="389"/>
      <c r="QAB60" s="389"/>
      <c r="QAK60" s="389"/>
      <c r="QAL60" s="389"/>
      <c r="QAU60" s="389"/>
      <c r="QAV60" s="389"/>
      <c r="QBE60" s="389"/>
      <c r="QBF60" s="389"/>
      <c r="QBO60" s="389"/>
      <c r="QBP60" s="389"/>
      <c r="QBY60" s="389"/>
      <c r="QBZ60" s="389"/>
      <c r="QCI60" s="389"/>
      <c r="QCJ60" s="389"/>
      <c r="QCS60" s="389"/>
      <c r="QCT60" s="389"/>
      <c r="QDC60" s="389"/>
      <c r="QDD60" s="389"/>
      <c r="QDM60" s="389"/>
      <c r="QDN60" s="389"/>
      <c r="QDW60" s="389"/>
      <c r="QDX60" s="389"/>
      <c r="QEG60" s="389"/>
      <c r="QEH60" s="389"/>
      <c r="QEQ60" s="389"/>
      <c r="QER60" s="389"/>
      <c r="QFA60" s="389"/>
      <c r="QFB60" s="389"/>
      <c r="QFK60" s="389"/>
      <c r="QFL60" s="389"/>
      <c r="QFU60" s="389"/>
      <c r="QFV60" s="389"/>
      <c r="QGE60" s="389"/>
      <c r="QGF60" s="389"/>
      <c r="QGO60" s="389"/>
      <c r="QGP60" s="389"/>
      <c r="QGY60" s="389"/>
      <c r="QGZ60" s="389"/>
      <c r="QHI60" s="389"/>
      <c r="QHJ60" s="389"/>
      <c r="QHS60" s="389"/>
      <c r="QHT60" s="389"/>
      <c r="QIC60" s="389"/>
      <c r="QID60" s="389"/>
      <c r="QIM60" s="389"/>
      <c r="QIN60" s="389"/>
      <c r="QIW60" s="389"/>
      <c r="QIX60" s="389"/>
      <c r="QJG60" s="389"/>
      <c r="QJH60" s="389"/>
      <c r="QJQ60" s="389"/>
      <c r="QJR60" s="389"/>
      <c r="QKA60" s="389"/>
      <c r="QKB60" s="389"/>
      <c r="QKK60" s="389"/>
      <c r="QKL60" s="389"/>
      <c r="QKU60" s="389"/>
      <c r="QKV60" s="389"/>
      <c r="QLE60" s="389"/>
      <c r="QLF60" s="389"/>
      <c r="QLO60" s="389"/>
      <c r="QLP60" s="389"/>
      <c r="QLY60" s="389"/>
      <c r="QLZ60" s="389"/>
      <c r="QMI60" s="389"/>
      <c r="QMJ60" s="389"/>
      <c r="QMS60" s="389"/>
      <c r="QMT60" s="389"/>
      <c r="QNC60" s="389"/>
      <c r="QND60" s="389"/>
      <c r="QNM60" s="389"/>
      <c r="QNN60" s="389"/>
      <c r="QNW60" s="389"/>
      <c r="QNX60" s="389"/>
      <c r="QOG60" s="389"/>
      <c r="QOH60" s="389"/>
      <c r="QOQ60" s="389"/>
      <c r="QOR60" s="389"/>
      <c r="QPA60" s="389"/>
      <c r="QPB60" s="389"/>
      <c r="QPK60" s="389"/>
      <c r="QPL60" s="389"/>
      <c r="QPU60" s="389"/>
      <c r="QPV60" s="389"/>
      <c r="QQE60" s="389"/>
      <c r="QQF60" s="389"/>
      <c r="QQO60" s="389"/>
      <c r="QQP60" s="389"/>
      <c r="QQY60" s="389"/>
      <c r="QQZ60" s="389"/>
      <c r="QRI60" s="389"/>
      <c r="QRJ60" s="389"/>
      <c r="QRS60" s="389"/>
      <c r="QRT60" s="389"/>
      <c r="QSC60" s="389"/>
      <c r="QSD60" s="389"/>
      <c r="QSM60" s="389"/>
      <c r="QSN60" s="389"/>
      <c r="QSW60" s="389"/>
      <c r="QSX60" s="389"/>
      <c r="QTG60" s="389"/>
      <c r="QTH60" s="389"/>
      <c r="QTQ60" s="389"/>
      <c r="QTR60" s="389"/>
      <c r="QUA60" s="389"/>
      <c r="QUB60" s="389"/>
      <c r="QUK60" s="389"/>
      <c r="QUL60" s="389"/>
      <c r="QUU60" s="389"/>
      <c r="QUV60" s="389"/>
      <c r="QVE60" s="389"/>
      <c r="QVF60" s="389"/>
      <c r="QVO60" s="389"/>
      <c r="QVP60" s="389"/>
      <c r="QVY60" s="389"/>
      <c r="QVZ60" s="389"/>
      <c r="QWI60" s="389"/>
      <c r="QWJ60" s="389"/>
      <c r="QWS60" s="389"/>
      <c r="QWT60" s="389"/>
      <c r="QXC60" s="389"/>
      <c r="QXD60" s="389"/>
      <c r="QXM60" s="389"/>
      <c r="QXN60" s="389"/>
      <c r="QXW60" s="389"/>
      <c r="QXX60" s="389"/>
      <c r="QYG60" s="389"/>
      <c r="QYH60" s="389"/>
      <c r="QYQ60" s="389"/>
      <c r="QYR60" s="389"/>
      <c r="QZA60" s="389"/>
      <c r="QZB60" s="389"/>
      <c r="QZK60" s="389"/>
      <c r="QZL60" s="389"/>
      <c r="QZU60" s="389"/>
      <c r="QZV60" s="389"/>
      <c r="RAE60" s="389"/>
      <c r="RAF60" s="389"/>
      <c r="RAO60" s="389"/>
      <c r="RAP60" s="389"/>
      <c r="RAY60" s="389"/>
      <c r="RAZ60" s="389"/>
      <c r="RBI60" s="389"/>
      <c r="RBJ60" s="389"/>
      <c r="RBS60" s="389"/>
      <c r="RBT60" s="389"/>
      <c r="RCC60" s="389"/>
      <c r="RCD60" s="389"/>
      <c r="RCM60" s="389"/>
      <c r="RCN60" s="389"/>
      <c r="RCW60" s="389"/>
      <c r="RCX60" s="389"/>
      <c r="RDG60" s="389"/>
      <c r="RDH60" s="389"/>
      <c r="RDQ60" s="389"/>
      <c r="RDR60" s="389"/>
      <c r="REA60" s="389"/>
      <c r="REB60" s="389"/>
      <c r="REK60" s="389"/>
      <c r="REL60" s="389"/>
      <c r="REU60" s="389"/>
      <c r="REV60" s="389"/>
      <c r="RFE60" s="389"/>
      <c r="RFF60" s="389"/>
      <c r="RFO60" s="389"/>
      <c r="RFP60" s="389"/>
      <c r="RFY60" s="389"/>
      <c r="RFZ60" s="389"/>
      <c r="RGI60" s="389"/>
      <c r="RGJ60" s="389"/>
      <c r="RGS60" s="389"/>
      <c r="RGT60" s="389"/>
      <c r="RHC60" s="389"/>
      <c r="RHD60" s="389"/>
      <c r="RHM60" s="389"/>
      <c r="RHN60" s="389"/>
      <c r="RHW60" s="389"/>
      <c r="RHX60" s="389"/>
      <c r="RIG60" s="389"/>
      <c r="RIH60" s="389"/>
      <c r="RIQ60" s="389"/>
      <c r="RIR60" s="389"/>
      <c r="RJA60" s="389"/>
      <c r="RJB60" s="389"/>
      <c r="RJK60" s="389"/>
      <c r="RJL60" s="389"/>
      <c r="RJU60" s="389"/>
      <c r="RJV60" s="389"/>
      <c r="RKE60" s="389"/>
      <c r="RKF60" s="389"/>
      <c r="RKO60" s="389"/>
      <c r="RKP60" s="389"/>
      <c r="RKY60" s="389"/>
      <c r="RKZ60" s="389"/>
      <c r="RLI60" s="389"/>
      <c r="RLJ60" s="389"/>
      <c r="RLS60" s="389"/>
      <c r="RLT60" s="389"/>
      <c r="RMC60" s="389"/>
      <c r="RMD60" s="389"/>
      <c r="RMM60" s="389"/>
      <c r="RMN60" s="389"/>
      <c r="RMW60" s="389"/>
      <c r="RMX60" s="389"/>
      <c r="RNG60" s="389"/>
      <c r="RNH60" s="389"/>
      <c r="RNQ60" s="389"/>
      <c r="RNR60" s="389"/>
      <c r="ROA60" s="389"/>
      <c r="ROB60" s="389"/>
      <c r="ROK60" s="389"/>
      <c r="ROL60" s="389"/>
      <c r="ROU60" s="389"/>
      <c r="ROV60" s="389"/>
      <c r="RPE60" s="389"/>
      <c r="RPF60" s="389"/>
      <c r="RPO60" s="389"/>
      <c r="RPP60" s="389"/>
      <c r="RPY60" s="389"/>
      <c r="RPZ60" s="389"/>
      <c r="RQI60" s="389"/>
      <c r="RQJ60" s="389"/>
      <c r="RQS60" s="389"/>
      <c r="RQT60" s="389"/>
      <c r="RRC60" s="389"/>
      <c r="RRD60" s="389"/>
      <c r="RRM60" s="389"/>
      <c r="RRN60" s="389"/>
      <c r="RRW60" s="389"/>
      <c r="RRX60" s="389"/>
      <c r="RSG60" s="389"/>
      <c r="RSH60" s="389"/>
      <c r="RSQ60" s="389"/>
      <c r="RSR60" s="389"/>
      <c r="RTA60" s="389"/>
      <c r="RTB60" s="389"/>
      <c r="RTK60" s="389"/>
      <c r="RTL60" s="389"/>
      <c r="RTU60" s="389"/>
      <c r="RTV60" s="389"/>
      <c r="RUE60" s="389"/>
      <c r="RUF60" s="389"/>
      <c r="RUO60" s="389"/>
      <c r="RUP60" s="389"/>
      <c r="RUY60" s="389"/>
      <c r="RUZ60" s="389"/>
      <c r="RVI60" s="389"/>
      <c r="RVJ60" s="389"/>
      <c r="RVS60" s="389"/>
      <c r="RVT60" s="389"/>
      <c r="RWC60" s="389"/>
      <c r="RWD60" s="389"/>
      <c r="RWM60" s="389"/>
      <c r="RWN60" s="389"/>
      <c r="RWW60" s="389"/>
      <c r="RWX60" s="389"/>
      <c r="RXG60" s="389"/>
      <c r="RXH60" s="389"/>
      <c r="RXQ60" s="389"/>
      <c r="RXR60" s="389"/>
      <c r="RYA60" s="389"/>
      <c r="RYB60" s="389"/>
      <c r="RYK60" s="389"/>
      <c r="RYL60" s="389"/>
      <c r="RYU60" s="389"/>
      <c r="RYV60" s="389"/>
      <c r="RZE60" s="389"/>
      <c r="RZF60" s="389"/>
      <c r="RZO60" s="389"/>
      <c r="RZP60" s="389"/>
      <c r="RZY60" s="389"/>
      <c r="RZZ60" s="389"/>
      <c r="SAI60" s="389"/>
      <c r="SAJ60" s="389"/>
      <c r="SAS60" s="389"/>
      <c r="SAT60" s="389"/>
      <c r="SBC60" s="389"/>
      <c r="SBD60" s="389"/>
      <c r="SBM60" s="389"/>
      <c r="SBN60" s="389"/>
      <c r="SBW60" s="389"/>
      <c r="SBX60" s="389"/>
      <c r="SCG60" s="389"/>
      <c r="SCH60" s="389"/>
      <c r="SCQ60" s="389"/>
      <c r="SCR60" s="389"/>
      <c r="SDA60" s="389"/>
      <c r="SDB60" s="389"/>
      <c r="SDK60" s="389"/>
      <c r="SDL60" s="389"/>
      <c r="SDU60" s="389"/>
      <c r="SDV60" s="389"/>
      <c r="SEE60" s="389"/>
      <c r="SEF60" s="389"/>
      <c r="SEO60" s="389"/>
      <c r="SEP60" s="389"/>
      <c r="SEY60" s="389"/>
      <c r="SEZ60" s="389"/>
      <c r="SFI60" s="389"/>
      <c r="SFJ60" s="389"/>
      <c r="SFS60" s="389"/>
      <c r="SFT60" s="389"/>
      <c r="SGC60" s="389"/>
      <c r="SGD60" s="389"/>
      <c r="SGM60" s="389"/>
      <c r="SGN60" s="389"/>
      <c r="SGW60" s="389"/>
      <c r="SGX60" s="389"/>
      <c r="SHG60" s="389"/>
      <c r="SHH60" s="389"/>
      <c r="SHQ60" s="389"/>
      <c r="SHR60" s="389"/>
      <c r="SIA60" s="389"/>
      <c r="SIB60" s="389"/>
      <c r="SIK60" s="389"/>
      <c r="SIL60" s="389"/>
      <c r="SIU60" s="389"/>
      <c r="SIV60" s="389"/>
      <c r="SJE60" s="389"/>
      <c r="SJF60" s="389"/>
      <c r="SJO60" s="389"/>
      <c r="SJP60" s="389"/>
      <c r="SJY60" s="389"/>
      <c r="SJZ60" s="389"/>
      <c r="SKI60" s="389"/>
      <c r="SKJ60" s="389"/>
      <c r="SKS60" s="389"/>
      <c r="SKT60" s="389"/>
      <c r="SLC60" s="389"/>
      <c r="SLD60" s="389"/>
      <c r="SLM60" s="389"/>
      <c r="SLN60" s="389"/>
      <c r="SLW60" s="389"/>
      <c r="SLX60" s="389"/>
      <c r="SMG60" s="389"/>
      <c r="SMH60" s="389"/>
      <c r="SMQ60" s="389"/>
      <c r="SMR60" s="389"/>
      <c r="SNA60" s="389"/>
      <c r="SNB60" s="389"/>
      <c r="SNK60" s="389"/>
      <c r="SNL60" s="389"/>
      <c r="SNU60" s="389"/>
      <c r="SNV60" s="389"/>
      <c r="SOE60" s="389"/>
      <c r="SOF60" s="389"/>
      <c r="SOO60" s="389"/>
      <c r="SOP60" s="389"/>
      <c r="SOY60" s="389"/>
      <c r="SOZ60" s="389"/>
      <c r="SPI60" s="389"/>
      <c r="SPJ60" s="389"/>
      <c r="SPS60" s="389"/>
      <c r="SPT60" s="389"/>
      <c r="SQC60" s="389"/>
      <c r="SQD60" s="389"/>
      <c r="SQM60" s="389"/>
      <c r="SQN60" s="389"/>
      <c r="SQW60" s="389"/>
      <c r="SQX60" s="389"/>
      <c r="SRG60" s="389"/>
      <c r="SRH60" s="389"/>
      <c r="SRQ60" s="389"/>
      <c r="SRR60" s="389"/>
      <c r="SSA60" s="389"/>
      <c r="SSB60" s="389"/>
      <c r="SSK60" s="389"/>
      <c r="SSL60" s="389"/>
      <c r="SSU60" s="389"/>
      <c r="SSV60" s="389"/>
      <c r="STE60" s="389"/>
      <c r="STF60" s="389"/>
      <c r="STO60" s="389"/>
      <c r="STP60" s="389"/>
      <c r="STY60" s="389"/>
      <c r="STZ60" s="389"/>
      <c r="SUI60" s="389"/>
      <c r="SUJ60" s="389"/>
      <c r="SUS60" s="389"/>
      <c r="SUT60" s="389"/>
      <c r="SVC60" s="389"/>
      <c r="SVD60" s="389"/>
      <c r="SVM60" s="389"/>
      <c r="SVN60" s="389"/>
      <c r="SVW60" s="389"/>
      <c r="SVX60" s="389"/>
      <c r="SWG60" s="389"/>
      <c r="SWH60" s="389"/>
      <c r="SWQ60" s="389"/>
      <c r="SWR60" s="389"/>
      <c r="SXA60" s="389"/>
      <c r="SXB60" s="389"/>
      <c r="SXK60" s="389"/>
      <c r="SXL60" s="389"/>
      <c r="SXU60" s="389"/>
      <c r="SXV60" s="389"/>
      <c r="SYE60" s="389"/>
      <c r="SYF60" s="389"/>
      <c r="SYO60" s="389"/>
      <c r="SYP60" s="389"/>
      <c r="SYY60" s="389"/>
      <c r="SYZ60" s="389"/>
      <c r="SZI60" s="389"/>
      <c r="SZJ60" s="389"/>
      <c r="SZS60" s="389"/>
      <c r="SZT60" s="389"/>
      <c r="TAC60" s="389"/>
      <c r="TAD60" s="389"/>
      <c r="TAM60" s="389"/>
      <c r="TAN60" s="389"/>
      <c r="TAW60" s="389"/>
      <c r="TAX60" s="389"/>
      <c r="TBG60" s="389"/>
      <c r="TBH60" s="389"/>
      <c r="TBQ60" s="389"/>
      <c r="TBR60" s="389"/>
      <c r="TCA60" s="389"/>
      <c r="TCB60" s="389"/>
      <c r="TCK60" s="389"/>
      <c r="TCL60" s="389"/>
      <c r="TCU60" s="389"/>
      <c r="TCV60" s="389"/>
      <c r="TDE60" s="389"/>
      <c r="TDF60" s="389"/>
      <c r="TDO60" s="389"/>
      <c r="TDP60" s="389"/>
      <c r="TDY60" s="389"/>
      <c r="TDZ60" s="389"/>
      <c r="TEI60" s="389"/>
      <c r="TEJ60" s="389"/>
      <c r="TES60" s="389"/>
      <c r="TET60" s="389"/>
      <c r="TFC60" s="389"/>
      <c r="TFD60" s="389"/>
      <c r="TFM60" s="389"/>
      <c r="TFN60" s="389"/>
      <c r="TFW60" s="389"/>
      <c r="TFX60" s="389"/>
      <c r="TGG60" s="389"/>
      <c r="TGH60" s="389"/>
      <c r="TGQ60" s="389"/>
      <c r="TGR60" s="389"/>
      <c r="THA60" s="389"/>
      <c r="THB60" s="389"/>
      <c r="THK60" s="389"/>
      <c r="THL60" s="389"/>
      <c r="THU60" s="389"/>
      <c r="THV60" s="389"/>
      <c r="TIE60" s="389"/>
      <c r="TIF60" s="389"/>
      <c r="TIO60" s="389"/>
      <c r="TIP60" s="389"/>
      <c r="TIY60" s="389"/>
      <c r="TIZ60" s="389"/>
      <c r="TJI60" s="389"/>
      <c r="TJJ60" s="389"/>
      <c r="TJS60" s="389"/>
      <c r="TJT60" s="389"/>
      <c r="TKC60" s="389"/>
      <c r="TKD60" s="389"/>
      <c r="TKM60" s="389"/>
      <c r="TKN60" s="389"/>
      <c r="TKW60" s="389"/>
      <c r="TKX60" s="389"/>
      <c r="TLG60" s="389"/>
      <c r="TLH60" s="389"/>
      <c r="TLQ60" s="389"/>
      <c r="TLR60" s="389"/>
      <c r="TMA60" s="389"/>
      <c r="TMB60" s="389"/>
      <c r="TMK60" s="389"/>
      <c r="TML60" s="389"/>
      <c r="TMU60" s="389"/>
      <c r="TMV60" s="389"/>
      <c r="TNE60" s="389"/>
      <c r="TNF60" s="389"/>
      <c r="TNO60" s="389"/>
      <c r="TNP60" s="389"/>
      <c r="TNY60" s="389"/>
      <c r="TNZ60" s="389"/>
      <c r="TOI60" s="389"/>
      <c r="TOJ60" s="389"/>
      <c r="TOS60" s="389"/>
      <c r="TOT60" s="389"/>
      <c r="TPC60" s="389"/>
      <c r="TPD60" s="389"/>
      <c r="TPM60" s="389"/>
      <c r="TPN60" s="389"/>
      <c r="TPW60" s="389"/>
      <c r="TPX60" s="389"/>
      <c r="TQG60" s="389"/>
      <c r="TQH60" s="389"/>
      <c r="TQQ60" s="389"/>
      <c r="TQR60" s="389"/>
      <c r="TRA60" s="389"/>
      <c r="TRB60" s="389"/>
      <c r="TRK60" s="389"/>
      <c r="TRL60" s="389"/>
      <c r="TRU60" s="389"/>
      <c r="TRV60" s="389"/>
      <c r="TSE60" s="389"/>
      <c r="TSF60" s="389"/>
      <c r="TSO60" s="389"/>
      <c r="TSP60" s="389"/>
      <c r="TSY60" s="389"/>
      <c r="TSZ60" s="389"/>
      <c r="TTI60" s="389"/>
      <c r="TTJ60" s="389"/>
      <c r="TTS60" s="389"/>
      <c r="TTT60" s="389"/>
      <c r="TUC60" s="389"/>
      <c r="TUD60" s="389"/>
      <c r="TUM60" s="389"/>
      <c r="TUN60" s="389"/>
      <c r="TUW60" s="389"/>
      <c r="TUX60" s="389"/>
      <c r="TVG60" s="389"/>
      <c r="TVH60" s="389"/>
      <c r="TVQ60" s="389"/>
      <c r="TVR60" s="389"/>
      <c r="TWA60" s="389"/>
      <c r="TWB60" s="389"/>
      <c r="TWK60" s="389"/>
      <c r="TWL60" s="389"/>
      <c r="TWU60" s="389"/>
      <c r="TWV60" s="389"/>
      <c r="TXE60" s="389"/>
      <c r="TXF60" s="389"/>
      <c r="TXO60" s="389"/>
      <c r="TXP60" s="389"/>
      <c r="TXY60" s="389"/>
      <c r="TXZ60" s="389"/>
      <c r="TYI60" s="389"/>
      <c r="TYJ60" s="389"/>
      <c r="TYS60" s="389"/>
      <c r="TYT60" s="389"/>
      <c r="TZC60" s="389"/>
      <c r="TZD60" s="389"/>
      <c r="TZM60" s="389"/>
      <c r="TZN60" s="389"/>
      <c r="TZW60" s="389"/>
      <c r="TZX60" s="389"/>
      <c r="UAG60" s="389"/>
      <c r="UAH60" s="389"/>
      <c r="UAQ60" s="389"/>
      <c r="UAR60" s="389"/>
      <c r="UBA60" s="389"/>
      <c r="UBB60" s="389"/>
      <c r="UBK60" s="389"/>
      <c r="UBL60" s="389"/>
      <c r="UBU60" s="389"/>
      <c r="UBV60" s="389"/>
      <c r="UCE60" s="389"/>
      <c r="UCF60" s="389"/>
      <c r="UCO60" s="389"/>
      <c r="UCP60" s="389"/>
      <c r="UCY60" s="389"/>
      <c r="UCZ60" s="389"/>
      <c r="UDI60" s="389"/>
      <c r="UDJ60" s="389"/>
      <c r="UDS60" s="389"/>
      <c r="UDT60" s="389"/>
      <c r="UEC60" s="389"/>
      <c r="UED60" s="389"/>
      <c r="UEM60" s="389"/>
      <c r="UEN60" s="389"/>
      <c r="UEW60" s="389"/>
      <c r="UEX60" s="389"/>
      <c r="UFG60" s="389"/>
      <c r="UFH60" s="389"/>
      <c r="UFQ60" s="389"/>
      <c r="UFR60" s="389"/>
      <c r="UGA60" s="389"/>
      <c r="UGB60" s="389"/>
      <c r="UGK60" s="389"/>
      <c r="UGL60" s="389"/>
      <c r="UGU60" s="389"/>
      <c r="UGV60" s="389"/>
      <c r="UHE60" s="389"/>
      <c r="UHF60" s="389"/>
      <c r="UHO60" s="389"/>
      <c r="UHP60" s="389"/>
      <c r="UHY60" s="389"/>
      <c r="UHZ60" s="389"/>
      <c r="UII60" s="389"/>
      <c r="UIJ60" s="389"/>
      <c r="UIS60" s="389"/>
      <c r="UIT60" s="389"/>
      <c r="UJC60" s="389"/>
      <c r="UJD60" s="389"/>
      <c r="UJM60" s="389"/>
      <c r="UJN60" s="389"/>
      <c r="UJW60" s="389"/>
      <c r="UJX60" s="389"/>
      <c r="UKG60" s="389"/>
      <c r="UKH60" s="389"/>
      <c r="UKQ60" s="389"/>
      <c r="UKR60" s="389"/>
      <c r="ULA60" s="389"/>
      <c r="ULB60" s="389"/>
      <c r="ULK60" s="389"/>
      <c r="ULL60" s="389"/>
      <c r="ULU60" s="389"/>
      <c r="ULV60" s="389"/>
      <c r="UME60" s="389"/>
      <c r="UMF60" s="389"/>
      <c r="UMO60" s="389"/>
      <c r="UMP60" s="389"/>
      <c r="UMY60" s="389"/>
      <c r="UMZ60" s="389"/>
      <c r="UNI60" s="389"/>
      <c r="UNJ60" s="389"/>
      <c r="UNS60" s="389"/>
      <c r="UNT60" s="389"/>
      <c r="UOC60" s="389"/>
      <c r="UOD60" s="389"/>
      <c r="UOM60" s="389"/>
      <c r="UON60" s="389"/>
      <c r="UOW60" s="389"/>
      <c r="UOX60" s="389"/>
      <c r="UPG60" s="389"/>
      <c r="UPH60" s="389"/>
      <c r="UPQ60" s="389"/>
      <c r="UPR60" s="389"/>
      <c r="UQA60" s="389"/>
      <c r="UQB60" s="389"/>
      <c r="UQK60" s="389"/>
      <c r="UQL60" s="389"/>
      <c r="UQU60" s="389"/>
      <c r="UQV60" s="389"/>
      <c r="URE60" s="389"/>
      <c r="URF60" s="389"/>
      <c r="URO60" s="389"/>
      <c r="URP60" s="389"/>
      <c r="URY60" s="389"/>
      <c r="URZ60" s="389"/>
      <c r="USI60" s="389"/>
      <c r="USJ60" s="389"/>
      <c r="USS60" s="389"/>
      <c r="UST60" s="389"/>
      <c r="UTC60" s="389"/>
      <c r="UTD60" s="389"/>
      <c r="UTM60" s="389"/>
      <c r="UTN60" s="389"/>
      <c r="UTW60" s="389"/>
      <c r="UTX60" s="389"/>
      <c r="UUG60" s="389"/>
      <c r="UUH60" s="389"/>
      <c r="UUQ60" s="389"/>
      <c r="UUR60" s="389"/>
      <c r="UVA60" s="389"/>
      <c r="UVB60" s="389"/>
      <c r="UVK60" s="389"/>
      <c r="UVL60" s="389"/>
      <c r="UVU60" s="389"/>
      <c r="UVV60" s="389"/>
      <c r="UWE60" s="389"/>
      <c r="UWF60" s="389"/>
      <c r="UWO60" s="389"/>
      <c r="UWP60" s="389"/>
      <c r="UWY60" s="389"/>
      <c r="UWZ60" s="389"/>
      <c r="UXI60" s="389"/>
      <c r="UXJ60" s="389"/>
      <c r="UXS60" s="389"/>
      <c r="UXT60" s="389"/>
      <c r="UYC60" s="389"/>
      <c r="UYD60" s="389"/>
      <c r="UYM60" s="389"/>
      <c r="UYN60" s="389"/>
      <c r="UYW60" s="389"/>
      <c r="UYX60" s="389"/>
      <c r="UZG60" s="389"/>
      <c r="UZH60" s="389"/>
      <c r="UZQ60" s="389"/>
      <c r="UZR60" s="389"/>
      <c r="VAA60" s="389"/>
      <c r="VAB60" s="389"/>
      <c r="VAK60" s="389"/>
      <c r="VAL60" s="389"/>
      <c r="VAU60" s="389"/>
      <c r="VAV60" s="389"/>
      <c r="VBE60" s="389"/>
      <c r="VBF60" s="389"/>
      <c r="VBO60" s="389"/>
      <c r="VBP60" s="389"/>
      <c r="VBY60" s="389"/>
      <c r="VBZ60" s="389"/>
      <c r="VCI60" s="389"/>
      <c r="VCJ60" s="389"/>
      <c r="VCS60" s="389"/>
      <c r="VCT60" s="389"/>
      <c r="VDC60" s="389"/>
      <c r="VDD60" s="389"/>
      <c r="VDM60" s="389"/>
      <c r="VDN60" s="389"/>
      <c r="VDW60" s="389"/>
      <c r="VDX60" s="389"/>
      <c r="VEG60" s="389"/>
      <c r="VEH60" s="389"/>
      <c r="VEQ60" s="389"/>
      <c r="VER60" s="389"/>
      <c r="VFA60" s="389"/>
      <c r="VFB60" s="389"/>
      <c r="VFK60" s="389"/>
      <c r="VFL60" s="389"/>
      <c r="VFU60" s="389"/>
      <c r="VFV60" s="389"/>
      <c r="VGE60" s="389"/>
      <c r="VGF60" s="389"/>
      <c r="VGO60" s="389"/>
      <c r="VGP60" s="389"/>
      <c r="VGY60" s="389"/>
      <c r="VGZ60" s="389"/>
      <c r="VHI60" s="389"/>
      <c r="VHJ60" s="389"/>
      <c r="VHS60" s="389"/>
      <c r="VHT60" s="389"/>
      <c r="VIC60" s="389"/>
      <c r="VID60" s="389"/>
      <c r="VIM60" s="389"/>
      <c r="VIN60" s="389"/>
      <c r="VIW60" s="389"/>
      <c r="VIX60" s="389"/>
      <c r="VJG60" s="389"/>
      <c r="VJH60" s="389"/>
      <c r="VJQ60" s="389"/>
      <c r="VJR60" s="389"/>
      <c r="VKA60" s="389"/>
      <c r="VKB60" s="389"/>
      <c r="VKK60" s="389"/>
      <c r="VKL60" s="389"/>
      <c r="VKU60" s="389"/>
      <c r="VKV60" s="389"/>
      <c r="VLE60" s="389"/>
      <c r="VLF60" s="389"/>
      <c r="VLO60" s="389"/>
      <c r="VLP60" s="389"/>
      <c r="VLY60" s="389"/>
      <c r="VLZ60" s="389"/>
      <c r="VMI60" s="389"/>
      <c r="VMJ60" s="389"/>
      <c r="VMS60" s="389"/>
      <c r="VMT60" s="389"/>
      <c r="VNC60" s="389"/>
      <c r="VND60" s="389"/>
      <c r="VNM60" s="389"/>
      <c r="VNN60" s="389"/>
      <c r="VNW60" s="389"/>
      <c r="VNX60" s="389"/>
      <c r="VOG60" s="389"/>
      <c r="VOH60" s="389"/>
      <c r="VOQ60" s="389"/>
      <c r="VOR60" s="389"/>
      <c r="VPA60" s="389"/>
      <c r="VPB60" s="389"/>
      <c r="VPK60" s="389"/>
      <c r="VPL60" s="389"/>
      <c r="VPU60" s="389"/>
      <c r="VPV60" s="389"/>
      <c r="VQE60" s="389"/>
      <c r="VQF60" s="389"/>
      <c r="VQO60" s="389"/>
      <c r="VQP60" s="389"/>
      <c r="VQY60" s="389"/>
      <c r="VQZ60" s="389"/>
      <c r="VRI60" s="389"/>
      <c r="VRJ60" s="389"/>
      <c r="VRS60" s="389"/>
      <c r="VRT60" s="389"/>
      <c r="VSC60" s="389"/>
      <c r="VSD60" s="389"/>
      <c r="VSM60" s="389"/>
      <c r="VSN60" s="389"/>
      <c r="VSW60" s="389"/>
      <c r="VSX60" s="389"/>
      <c r="VTG60" s="389"/>
      <c r="VTH60" s="389"/>
      <c r="VTQ60" s="389"/>
      <c r="VTR60" s="389"/>
      <c r="VUA60" s="389"/>
      <c r="VUB60" s="389"/>
      <c r="VUK60" s="389"/>
      <c r="VUL60" s="389"/>
      <c r="VUU60" s="389"/>
      <c r="VUV60" s="389"/>
      <c r="VVE60" s="389"/>
      <c r="VVF60" s="389"/>
      <c r="VVO60" s="389"/>
      <c r="VVP60" s="389"/>
      <c r="VVY60" s="389"/>
      <c r="VVZ60" s="389"/>
      <c r="VWI60" s="389"/>
      <c r="VWJ60" s="389"/>
      <c r="VWS60" s="389"/>
      <c r="VWT60" s="389"/>
      <c r="VXC60" s="389"/>
      <c r="VXD60" s="389"/>
      <c r="VXM60" s="389"/>
      <c r="VXN60" s="389"/>
      <c r="VXW60" s="389"/>
      <c r="VXX60" s="389"/>
      <c r="VYG60" s="389"/>
      <c r="VYH60" s="389"/>
      <c r="VYQ60" s="389"/>
      <c r="VYR60" s="389"/>
      <c r="VZA60" s="389"/>
      <c r="VZB60" s="389"/>
      <c r="VZK60" s="389"/>
      <c r="VZL60" s="389"/>
      <c r="VZU60" s="389"/>
      <c r="VZV60" s="389"/>
      <c r="WAE60" s="389"/>
      <c r="WAF60" s="389"/>
      <c r="WAO60" s="389"/>
      <c r="WAP60" s="389"/>
      <c r="WAY60" s="389"/>
      <c r="WAZ60" s="389"/>
      <c r="WBI60" s="389"/>
      <c r="WBJ60" s="389"/>
      <c r="WBS60" s="389"/>
      <c r="WBT60" s="389"/>
      <c r="WCC60" s="389"/>
      <c r="WCD60" s="389"/>
      <c r="WCM60" s="389"/>
      <c r="WCN60" s="389"/>
      <c r="WCW60" s="389"/>
      <c r="WCX60" s="389"/>
      <c r="WDG60" s="389"/>
      <c r="WDH60" s="389"/>
      <c r="WDQ60" s="389"/>
      <c r="WDR60" s="389"/>
      <c r="WEA60" s="389"/>
      <c r="WEB60" s="389"/>
      <c r="WEK60" s="389"/>
      <c r="WEL60" s="389"/>
      <c r="WEU60" s="389"/>
      <c r="WEV60" s="389"/>
      <c r="WFE60" s="389"/>
      <c r="WFF60" s="389"/>
      <c r="WFO60" s="389"/>
      <c r="WFP60" s="389"/>
      <c r="WFY60" s="389"/>
      <c r="WFZ60" s="389"/>
      <c r="WGI60" s="389"/>
      <c r="WGJ60" s="389"/>
      <c r="WGS60" s="389"/>
      <c r="WGT60" s="389"/>
      <c r="WHC60" s="389"/>
      <c r="WHD60" s="389"/>
      <c r="WHM60" s="389"/>
      <c r="WHN60" s="389"/>
      <c r="WHW60" s="389"/>
      <c r="WHX60" s="389"/>
      <c r="WIG60" s="389"/>
      <c r="WIH60" s="389"/>
      <c r="WIQ60" s="389"/>
      <c r="WIR60" s="389"/>
      <c r="WJA60" s="389"/>
      <c r="WJB60" s="389"/>
      <c r="WJK60" s="389"/>
      <c r="WJL60" s="389"/>
      <c r="WJU60" s="389"/>
      <c r="WJV60" s="389"/>
      <c r="WKE60" s="389"/>
      <c r="WKF60" s="389"/>
      <c r="WKO60" s="389"/>
      <c r="WKP60" s="389"/>
      <c r="WKY60" s="389"/>
      <c r="WKZ60" s="389"/>
      <c r="WLI60" s="389"/>
      <c r="WLJ60" s="389"/>
      <c r="WLS60" s="389"/>
      <c r="WLT60" s="389"/>
      <c r="WMC60" s="389"/>
      <c r="WMD60" s="389"/>
      <c r="WMM60" s="389"/>
      <c r="WMN60" s="389"/>
      <c r="WMW60" s="389"/>
      <c r="WMX60" s="389"/>
      <c r="WNG60" s="389"/>
      <c r="WNH60" s="389"/>
      <c r="WNQ60" s="389"/>
      <c r="WNR60" s="389"/>
      <c r="WOA60" s="389"/>
      <c r="WOB60" s="389"/>
      <c r="WOK60" s="389"/>
      <c r="WOL60" s="389"/>
      <c r="WOU60" s="389"/>
      <c r="WOV60" s="389"/>
      <c r="WPE60" s="389"/>
      <c r="WPF60" s="389"/>
      <c r="WPO60" s="389"/>
      <c r="WPP60" s="389"/>
      <c r="WPY60" s="389"/>
      <c r="WPZ60" s="389"/>
      <c r="WQI60" s="389"/>
      <c r="WQJ60" s="389"/>
      <c r="WQS60" s="389"/>
      <c r="WQT60" s="389"/>
      <c r="WRC60" s="389"/>
      <c r="WRD60" s="389"/>
      <c r="WRM60" s="389"/>
      <c r="WRN60" s="389"/>
      <c r="WRW60" s="389"/>
      <c r="WRX60" s="389"/>
      <c r="WSG60" s="389"/>
      <c r="WSH60" s="389"/>
      <c r="WSQ60" s="389"/>
      <c r="WSR60" s="389"/>
      <c r="WTA60" s="389"/>
      <c r="WTB60" s="389"/>
      <c r="WTK60" s="389"/>
      <c r="WTL60" s="389"/>
      <c r="WTU60" s="389"/>
      <c r="WTV60" s="389"/>
      <c r="WUE60" s="389"/>
      <c r="WUF60" s="389"/>
      <c r="WUO60" s="389"/>
      <c r="WUP60" s="389"/>
      <c r="WUY60" s="389"/>
      <c r="WUZ60" s="389"/>
      <c r="WVI60" s="389"/>
      <c r="WVJ60" s="389"/>
      <c r="WVS60" s="389"/>
      <c r="WVT60" s="389"/>
      <c r="WWC60" s="389"/>
      <c r="WWD60" s="389"/>
      <c r="WWM60" s="389"/>
      <c r="WWN60" s="389"/>
      <c r="WWW60" s="389"/>
      <c r="WWX60" s="389"/>
      <c r="WXG60" s="389"/>
      <c r="WXH60" s="389"/>
      <c r="WXQ60" s="389"/>
      <c r="WXR60" s="389"/>
      <c r="WYA60" s="389"/>
      <c r="WYB60" s="389"/>
      <c r="WYK60" s="389"/>
      <c r="WYL60" s="389"/>
      <c r="WYU60" s="389"/>
      <c r="WYV60" s="389"/>
      <c r="WZE60" s="389"/>
      <c r="WZF60" s="389"/>
      <c r="WZO60" s="389"/>
      <c r="WZP60" s="389"/>
      <c r="WZY60" s="389"/>
      <c r="WZZ60" s="389"/>
      <c r="XAI60" s="389"/>
      <c r="XAJ60" s="389"/>
      <c r="XAS60" s="389"/>
      <c r="XAT60" s="389"/>
      <c r="XBC60" s="389"/>
      <c r="XBD60" s="389"/>
      <c r="XBM60" s="389"/>
      <c r="XBN60" s="389"/>
      <c r="XBW60" s="389"/>
      <c r="XBX60" s="389"/>
      <c r="XCG60" s="389"/>
      <c r="XCH60" s="389"/>
      <c r="XCQ60" s="389"/>
      <c r="XCR60" s="389"/>
      <c r="XDA60" s="389"/>
      <c r="XDB60" s="389"/>
      <c r="XDK60" s="389"/>
      <c r="XDL60" s="389"/>
      <c r="XDU60" s="389"/>
      <c r="XDV60" s="389"/>
      <c r="XEE60" s="389"/>
      <c r="XEF60" s="389"/>
      <c r="XEO60" s="389"/>
      <c r="XEP60" s="389"/>
      <c r="XEY60" s="389"/>
      <c r="XEZ60" s="389"/>
    </row>
    <row r="61" spans="1:1020 1029:2040 2049:3070 3079:4090 4099:5120 5129:6140 6149:7160 7169:8190 8199:9210 9219:10240 10249:11260 11269:12280 12289:13310 13319:14330 14339:15360 15369:16380" ht="56.25" customHeight="1" thickBot="1" x14ac:dyDescent="0.25">
      <c r="A61" s="1470" t="s">
        <v>4</v>
      </c>
      <c r="B61" s="1472" t="s">
        <v>306</v>
      </c>
      <c r="C61" s="1474" t="s">
        <v>264</v>
      </c>
      <c r="D61" s="1475"/>
      <c r="E61" s="1476" t="s">
        <v>373</v>
      </c>
      <c r="F61" s="1701" t="s">
        <v>276</v>
      </c>
      <c r="G61" s="1756" t="s">
        <v>27</v>
      </c>
      <c r="H61" s="1757"/>
      <c r="I61" s="1756" t="s">
        <v>307</v>
      </c>
      <c r="J61" s="1757"/>
      <c r="K61" s="1756" t="s">
        <v>560</v>
      </c>
      <c r="L61" s="1757"/>
      <c r="M61" s="427" t="s">
        <v>58</v>
      </c>
    </row>
    <row r="62" spans="1:1020 1029:2040 2049:3070 3079:4090 4099:5120 5129:6140 6149:7160 7169:8190 8199:9210 9219:10240 10249:11260 11269:12280 12289:13310 13319:14330 14339:15360 15369:16380" ht="56.25" customHeight="1" thickBot="1" x14ac:dyDescent="0.25">
      <c r="A62" s="1471"/>
      <c r="B62" s="1473"/>
      <c r="C62" s="962" t="s">
        <v>267</v>
      </c>
      <c r="D62" s="962" t="s">
        <v>275</v>
      </c>
      <c r="E62" s="1477"/>
      <c r="F62" s="1702"/>
      <c r="G62" s="1156" t="s">
        <v>561</v>
      </c>
      <c r="H62" s="1156" t="s">
        <v>562</v>
      </c>
      <c r="I62" s="1156" t="s">
        <v>561</v>
      </c>
      <c r="J62" s="1156" t="s">
        <v>562</v>
      </c>
      <c r="K62" s="1156" t="s">
        <v>561</v>
      </c>
      <c r="L62" s="1156" t="s">
        <v>562</v>
      </c>
      <c r="M62" s="962" t="s">
        <v>59</v>
      </c>
    </row>
    <row r="63" spans="1:1020 1029:2040 2049:3070 3079:4090 4099:5120 5129:6140 6149:7160 7169:8190 8199:9210 9219:10240 10249:11260 11269:12280 12289:13310 13319:14330 14339:15360 15369:16380" ht="27.95" customHeight="1" x14ac:dyDescent="0.2">
      <c r="A63" s="833">
        <v>1</v>
      </c>
      <c r="B63" s="874" t="e">
        <f>'1 g %'!$I$8</f>
        <v>#N/A</v>
      </c>
      <c r="C63" s="834" t="str">
        <f>'DATOS %'!B60</f>
        <v>1 g</v>
      </c>
      <c r="D63" s="835" t="e">
        <f>'1 g %'!$F$75</f>
        <v>#N/A</v>
      </c>
      <c r="E63" s="836">
        <f>'DATOS %'!W134</f>
        <v>0.33</v>
      </c>
      <c r="F63" s="917">
        <f>'DATOS %'!X134</f>
        <v>1</v>
      </c>
      <c r="G63" s="975" t="e">
        <f>'gramo Max-Min %'!C12</f>
        <v>#N/A</v>
      </c>
      <c r="H63" s="976" t="e">
        <f>'gramo Max-Min %'!C12</f>
        <v>#N/A</v>
      </c>
      <c r="I63" s="976" t="e">
        <f>'gramo Max-Min %'!D12</f>
        <v>#N/A</v>
      </c>
      <c r="J63" s="976" t="e">
        <f>'gramo Max-Min %'!D11</f>
        <v>#N/A</v>
      </c>
      <c r="K63" s="976" t="e">
        <f>'gramo Max-Min %'!E12</f>
        <v>#N/A</v>
      </c>
      <c r="L63" s="977" t="e">
        <f>'gramo Max-Min %'!E11</f>
        <v>#N/A</v>
      </c>
      <c r="M63" s="904" t="e">
        <f t="shared" ref="M63:M82" si="0">IF(ABS(D63)+E63&lt;=F63,"SI","NO")</f>
        <v>#N/A</v>
      </c>
    </row>
    <row r="64" spans="1:1020 1029:2040 2049:3070 3079:4090 4099:5120 5129:6140 6149:7160 7169:8190 8199:9210 9219:10240 10249:11260 11269:12280 12289:13310 13319:14330 14339:15360 15369:16380" ht="27.95" customHeight="1" x14ac:dyDescent="0.2">
      <c r="A64" s="837">
        <v>2</v>
      </c>
      <c r="B64" s="873" t="e">
        <f>'2 g %'!$I$8</f>
        <v>#N/A</v>
      </c>
      <c r="C64" s="838" t="str">
        <f>'DATOS %'!B61</f>
        <v>2 g</v>
      </c>
      <c r="D64" s="839" t="e">
        <f>'2 g %'!$F$75</f>
        <v>#N/A</v>
      </c>
      <c r="E64" s="840">
        <f>'DATOS %'!W135</f>
        <v>0.4</v>
      </c>
      <c r="F64" s="918">
        <f>'DATOS %'!X135</f>
        <v>1.2</v>
      </c>
      <c r="G64" s="908" t="e">
        <f>'gramo Max-Min %'!C21</f>
        <v>#N/A</v>
      </c>
      <c r="H64" s="901" t="e">
        <f>'gramo Max-Min %'!C20</f>
        <v>#N/A</v>
      </c>
      <c r="I64" s="901" t="e">
        <f>'gramo Max-Min %'!D21</f>
        <v>#N/A</v>
      </c>
      <c r="J64" s="901" t="e">
        <f>'gramo Max-Min %'!D20</f>
        <v>#N/A</v>
      </c>
      <c r="K64" s="901" t="e">
        <f>'gramo Max-Min %'!E21</f>
        <v>#N/A</v>
      </c>
      <c r="L64" s="909" t="e">
        <f>'gramo Max-Min %'!E20</f>
        <v>#N/A</v>
      </c>
      <c r="M64" s="905" t="e">
        <f t="shared" si="0"/>
        <v>#N/A</v>
      </c>
    </row>
    <row r="65" spans="1:20" ht="27.95" customHeight="1" x14ac:dyDescent="0.2">
      <c r="A65" s="837">
        <v>3</v>
      </c>
      <c r="B65" s="873" t="e">
        <f>'2 g + %'!$I$8</f>
        <v>#N/A</v>
      </c>
      <c r="C65" s="838" t="str">
        <f>'DATOS %'!B61</f>
        <v>2 g</v>
      </c>
      <c r="D65" s="839" t="e">
        <f>'2 g + %'!$F$75</f>
        <v>#N/A</v>
      </c>
      <c r="E65" s="840">
        <f>'DATOS %'!W136</f>
        <v>0.4</v>
      </c>
      <c r="F65" s="918">
        <f>'DATOS %'!X136</f>
        <v>1.2</v>
      </c>
      <c r="G65" s="908" t="e">
        <f>'gramo Max-Min %'!C30</f>
        <v>#N/A</v>
      </c>
      <c r="H65" s="901" t="e">
        <f>'gramo Max-Min %'!C29</f>
        <v>#N/A</v>
      </c>
      <c r="I65" s="901" t="e">
        <f>'gramo Max-Min %'!D30</f>
        <v>#N/A</v>
      </c>
      <c r="J65" s="901" t="e">
        <f>'gramo Max-Min %'!D29</f>
        <v>#N/A</v>
      </c>
      <c r="K65" s="901" t="e">
        <f>'gramo Max-Min %'!E30</f>
        <v>#N/A</v>
      </c>
      <c r="L65" s="909" t="e">
        <f>'gramo Max-Min %'!E29</f>
        <v>#N/A</v>
      </c>
      <c r="M65" s="905" t="e">
        <f t="shared" si="0"/>
        <v>#N/A</v>
      </c>
    </row>
    <row r="66" spans="1:20" ht="27.95" customHeight="1" x14ac:dyDescent="0.2">
      <c r="A66" s="837">
        <v>4</v>
      </c>
      <c r="B66" s="873" t="e">
        <f>'5 g %'!$I$8</f>
        <v>#N/A</v>
      </c>
      <c r="C66" s="838" t="str">
        <f>'DATOS %'!B63</f>
        <v xml:space="preserve">5 g </v>
      </c>
      <c r="D66" s="839" t="e">
        <f>'5 g %'!$F$75</f>
        <v>#N/A</v>
      </c>
      <c r="E66" s="840">
        <f>'DATOS %'!W137</f>
        <v>0.53</v>
      </c>
      <c r="F66" s="918">
        <f>'DATOS %'!X137</f>
        <v>1.6</v>
      </c>
      <c r="G66" s="908" t="e">
        <f>'gramo Max-Min %'!C39</f>
        <v>#N/A</v>
      </c>
      <c r="H66" s="901" t="e">
        <f>'gramo Max-Min %'!C38</f>
        <v>#N/A</v>
      </c>
      <c r="I66" s="901" t="e">
        <f>'gramo Max-Min %'!D39</f>
        <v>#N/A</v>
      </c>
      <c r="J66" s="901" t="e">
        <f>'gramo Max-Min %'!D38</f>
        <v>#N/A</v>
      </c>
      <c r="K66" s="901" t="e">
        <f>'gramo Max-Min %'!E39</f>
        <v>#N/A</v>
      </c>
      <c r="L66" s="909" t="e">
        <f>'gramo Max-Min %'!E38</f>
        <v>#N/A</v>
      </c>
      <c r="M66" s="905" t="e">
        <f t="shared" si="0"/>
        <v>#N/A</v>
      </c>
    </row>
    <row r="67" spans="1:20" s="842" customFormat="1" ht="27.95" customHeight="1" x14ac:dyDescent="0.2">
      <c r="A67" s="837">
        <v>5</v>
      </c>
      <c r="B67" s="873" t="e">
        <f>'10 g %'!$I$8</f>
        <v>#N/A</v>
      </c>
      <c r="C67" s="838" t="str">
        <f>'DATOS %'!B64</f>
        <v>10 g</v>
      </c>
      <c r="D67" s="839" t="e">
        <f>'10 g %'!$F$75</f>
        <v>#N/A</v>
      </c>
      <c r="E67" s="840">
        <f>'DATOS %'!W138</f>
        <v>0.67</v>
      </c>
      <c r="F67" s="918">
        <f>'DATOS %'!X138</f>
        <v>2</v>
      </c>
      <c r="G67" s="908" t="e">
        <f>'gramo Max-Min %'!I12</f>
        <v>#N/A</v>
      </c>
      <c r="H67" s="901" t="e">
        <f>'gramo Max-Min %'!I11</f>
        <v>#N/A</v>
      </c>
      <c r="I67" s="901" t="e">
        <f>'gramo Max-Min %'!J12</f>
        <v>#N/A</v>
      </c>
      <c r="J67" s="901" t="e">
        <f>'gramo Max-Min %'!J11</f>
        <v>#N/A</v>
      </c>
      <c r="K67" s="901" t="e">
        <f>'gramo Max-Min %'!K12</f>
        <v>#N/A</v>
      </c>
      <c r="L67" s="909" t="e">
        <f>'gramo Max-Min %'!K11</f>
        <v>#N/A</v>
      </c>
      <c r="M67" s="905" t="e">
        <f t="shared" si="0"/>
        <v>#N/A</v>
      </c>
      <c r="P67" s="818"/>
      <c r="Q67" s="818"/>
      <c r="R67" s="818"/>
      <c r="S67" s="818"/>
      <c r="T67" s="818"/>
    </row>
    <row r="68" spans="1:20" ht="27.95" customHeight="1" x14ac:dyDescent="0.2">
      <c r="A68" s="837">
        <v>6</v>
      </c>
      <c r="B68" s="873" t="e">
        <f>'20 g %'!$I$8</f>
        <v>#N/A</v>
      </c>
      <c r="C68" s="838" t="str">
        <f>'DATOS %'!B65</f>
        <v>20 g</v>
      </c>
      <c r="D68" s="839" t="e">
        <f>'20 g %'!$F$75</f>
        <v>#N/A</v>
      </c>
      <c r="E68" s="840">
        <f>'DATOS %'!W139</f>
        <v>0.83</v>
      </c>
      <c r="F68" s="918">
        <f>'DATOS %'!X139</f>
        <v>2.5</v>
      </c>
      <c r="G68" s="908" t="e">
        <f>'gramo Max-Min %'!I21</f>
        <v>#N/A</v>
      </c>
      <c r="H68" s="901" t="e">
        <f>'gramo Max-Min %'!I20</f>
        <v>#N/A</v>
      </c>
      <c r="I68" s="901" t="e">
        <f>'gramo Max-Min %'!J21</f>
        <v>#N/A</v>
      </c>
      <c r="J68" s="901" t="e">
        <f>'gramo Max-Min %'!J20</f>
        <v>#N/A</v>
      </c>
      <c r="K68" s="901" t="e">
        <f>'gramo Max-Min %'!K21</f>
        <v>#N/A</v>
      </c>
      <c r="L68" s="909" t="e">
        <f>'gramo Max-Min %'!K20</f>
        <v>#N/A</v>
      </c>
      <c r="M68" s="905" t="e">
        <f t="shared" si="0"/>
        <v>#N/A</v>
      </c>
    </row>
    <row r="69" spans="1:20" ht="27.95" customHeight="1" x14ac:dyDescent="0.2">
      <c r="A69" s="837">
        <v>7</v>
      </c>
      <c r="B69" s="873" t="e">
        <f>'20 g + %'!$I$8</f>
        <v>#N/A</v>
      </c>
      <c r="C69" s="838" t="str">
        <f>'DATOS %'!B65</f>
        <v>20 g</v>
      </c>
      <c r="D69" s="839" t="e">
        <f>'20 g + %'!F75</f>
        <v>#N/A</v>
      </c>
      <c r="E69" s="840">
        <f>'DATOS %'!W140</f>
        <v>0.83</v>
      </c>
      <c r="F69" s="918">
        <f>'DATOS %'!X140</f>
        <v>2.5</v>
      </c>
      <c r="G69" s="908" t="e">
        <f>'gramo Max-Min %'!I30</f>
        <v>#N/A</v>
      </c>
      <c r="H69" s="901" t="e">
        <f>'gramo Max-Min %'!I29</f>
        <v>#N/A</v>
      </c>
      <c r="I69" s="901" t="e">
        <f>'gramo Max-Min %'!J30</f>
        <v>#N/A</v>
      </c>
      <c r="J69" s="901" t="e">
        <f>'gramo Max-Min %'!J29</f>
        <v>#N/A</v>
      </c>
      <c r="K69" s="901" t="e">
        <f>'gramo Max-Min %'!K30</f>
        <v>#N/A</v>
      </c>
      <c r="L69" s="909" t="e">
        <f>'gramo Max-Min %'!K29</f>
        <v>#N/A</v>
      </c>
      <c r="M69" s="905" t="e">
        <f t="shared" si="0"/>
        <v>#N/A</v>
      </c>
    </row>
    <row r="70" spans="1:20" ht="27.95" customHeight="1" x14ac:dyDescent="0.2">
      <c r="A70" s="837">
        <v>8</v>
      </c>
      <c r="B70" s="873" t="e">
        <f>'50 g %'!$I$8</f>
        <v>#N/A</v>
      </c>
      <c r="C70" s="838" t="str">
        <f>'DATOS %'!B67</f>
        <v>50 g</v>
      </c>
      <c r="D70" s="841" t="e">
        <f>'50 g %'!$F$75</f>
        <v>#N/A</v>
      </c>
      <c r="E70" s="843">
        <f>'DATOS %'!W141</f>
        <v>1</v>
      </c>
      <c r="F70" s="918">
        <f>'DATOS %'!X141</f>
        <v>3</v>
      </c>
      <c r="G70" s="908" t="e">
        <f>'gramo Max-Min %'!I39</f>
        <v>#N/A</v>
      </c>
      <c r="H70" s="901" t="e">
        <f>'gramo Max-Min %'!I38</f>
        <v>#N/A</v>
      </c>
      <c r="I70" s="901" t="e">
        <f>'gramo Max-Min %'!J39</f>
        <v>#N/A</v>
      </c>
      <c r="J70" s="901" t="e">
        <f>'gramo Max-Min %'!J38</f>
        <v>#N/A</v>
      </c>
      <c r="K70" s="901" t="e">
        <f>'gramo Max-Min %'!K39</f>
        <v>#N/A</v>
      </c>
      <c r="L70" s="909" t="e">
        <f>'gramo Max-Min %'!K38</f>
        <v>#N/A</v>
      </c>
      <c r="M70" s="905" t="e">
        <f t="shared" si="0"/>
        <v>#N/A</v>
      </c>
    </row>
    <row r="71" spans="1:20" ht="27.95" customHeight="1" x14ac:dyDescent="0.2">
      <c r="A71" s="837">
        <v>9</v>
      </c>
      <c r="B71" s="873" t="e">
        <f>'100 g %'!$I$8</f>
        <v>#N/A</v>
      </c>
      <c r="C71" s="838" t="str">
        <f>'DATOS %'!B68</f>
        <v>100 g</v>
      </c>
      <c r="D71" s="841" t="e">
        <f>'100 g %'!$F$75</f>
        <v>#N/A</v>
      </c>
      <c r="E71" s="843">
        <f>'DATOS %'!W142</f>
        <v>1.7</v>
      </c>
      <c r="F71" s="918">
        <f>'DATOS %'!X142</f>
        <v>5</v>
      </c>
      <c r="G71" s="908" t="e">
        <f>'gramo Max-Min %'!O12</f>
        <v>#N/A</v>
      </c>
      <c r="H71" s="901" t="e">
        <f>'gramo Max-Min %'!O11</f>
        <v>#N/A</v>
      </c>
      <c r="I71" s="901" t="e">
        <f>'gramo Max-Min %'!P12</f>
        <v>#N/A</v>
      </c>
      <c r="J71" s="901" t="e">
        <f>'gramo Max-Min %'!P11</f>
        <v>#N/A</v>
      </c>
      <c r="K71" s="901" t="e">
        <f>'gramo Max-Min %'!Q12</f>
        <v>#N/A</v>
      </c>
      <c r="L71" s="909" t="e">
        <f>'gramo Max-Min %'!Q11</f>
        <v>#N/A</v>
      </c>
      <c r="M71" s="905" t="e">
        <f t="shared" si="0"/>
        <v>#N/A</v>
      </c>
    </row>
    <row r="72" spans="1:20" ht="27.95" customHeight="1" x14ac:dyDescent="0.2">
      <c r="A72" s="837">
        <v>10</v>
      </c>
      <c r="B72" s="873" t="e">
        <f>'200 g %'!$I$8</f>
        <v>#N/A</v>
      </c>
      <c r="C72" s="838" t="str">
        <f>'DATOS %'!B69</f>
        <v>200 g</v>
      </c>
      <c r="D72" s="841" t="e">
        <f>'200 g %'!$F$75</f>
        <v>#N/A</v>
      </c>
      <c r="E72" s="843">
        <f>'DATOS %'!W143</f>
        <v>3.3</v>
      </c>
      <c r="F72" s="919">
        <f>'DATOS %'!X143</f>
        <v>10</v>
      </c>
      <c r="G72" s="908" t="e">
        <f>'gramo Max-Min %'!O21</f>
        <v>#N/A</v>
      </c>
      <c r="H72" s="901" t="e">
        <f>'gramo Max-Min %'!O20</f>
        <v>#N/A</v>
      </c>
      <c r="I72" s="901" t="e">
        <f>'gramo Max-Min %'!P21</f>
        <v>#N/A</v>
      </c>
      <c r="J72" s="901" t="e">
        <f>'gramo Max-Min %'!P20</f>
        <v>#N/A</v>
      </c>
      <c r="K72" s="901" t="e">
        <f>'gramo Max-Min %'!Q21</f>
        <v>#N/A</v>
      </c>
      <c r="L72" s="909" t="e">
        <f>'gramo Max-Min %'!Q20</f>
        <v>#N/A</v>
      </c>
      <c r="M72" s="905" t="e">
        <f t="shared" si="0"/>
        <v>#N/A</v>
      </c>
    </row>
    <row r="73" spans="1:20" ht="27.95" customHeight="1" x14ac:dyDescent="0.2">
      <c r="A73" s="837">
        <v>11</v>
      </c>
      <c r="B73" s="873" t="e">
        <f>'200 g + %'!$I$8</f>
        <v>#N/A</v>
      </c>
      <c r="C73" s="838" t="str">
        <f>'DATOS %'!B69</f>
        <v>200 g</v>
      </c>
      <c r="D73" s="841" t="e">
        <f>'200 g + %'!F75</f>
        <v>#N/A</v>
      </c>
      <c r="E73" s="843">
        <f>'DATOS %'!W144</f>
        <v>3.3</v>
      </c>
      <c r="F73" s="919">
        <f>'DATOS %'!X144</f>
        <v>10</v>
      </c>
      <c r="G73" s="908" t="e">
        <f>'gramo Max-Min %'!O30</f>
        <v>#N/A</v>
      </c>
      <c r="H73" s="901" t="e">
        <f>'gramo Max-Min %'!O29</f>
        <v>#N/A</v>
      </c>
      <c r="I73" s="901" t="e">
        <f>'gramo Max-Min %'!P30</f>
        <v>#N/A</v>
      </c>
      <c r="J73" s="901" t="e">
        <f>'gramo Max-Min %'!P29</f>
        <v>#N/A</v>
      </c>
      <c r="K73" s="901" t="e">
        <f>'gramo Max-Min %'!Q30</f>
        <v>#N/A</v>
      </c>
      <c r="L73" s="909" t="e">
        <f>'gramo Max-Min %'!Q29</f>
        <v>#N/A</v>
      </c>
      <c r="M73" s="905" t="e">
        <f t="shared" si="0"/>
        <v>#N/A</v>
      </c>
    </row>
    <row r="74" spans="1:20" ht="27.95" customHeight="1" x14ac:dyDescent="0.2">
      <c r="A74" s="837">
        <v>12</v>
      </c>
      <c r="B74" s="873" t="e">
        <f>'500 g %'!$I$8</f>
        <v>#N/A</v>
      </c>
      <c r="C74" s="838" t="str">
        <f>'DATOS %'!B71</f>
        <v>500 g</v>
      </c>
      <c r="D74" s="841" t="e">
        <f>'500 g %'!$F$75</f>
        <v>#N/A</v>
      </c>
      <c r="E74" s="843">
        <f>'DATOS %'!W145</f>
        <v>8.3000000000000007</v>
      </c>
      <c r="F74" s="919">
        <f>'DATOS %'!X145</f>
        <v>25</v>
      </c>
      <c r="G74" s="908" t="e">
        <f>'gramo Max-Min %'!O39</f>
        <v>#N/A</v>
      </c>
      <c r="H74" s="901" t="e">
        <f>'gramo Max-Min %'!O38</f>
        <v>#N/A</v>
      </c>
      <c r="I74" s="901" t="e">
        <f>'gramo Max-Min %'!P39</f>
        <v>#N/A</v>
      </c>
      <c r="J74" s="901" t="e">
        <f>'gramo Max-Min %'!P38</f>
        <v>#N/A</v>
      </c>
      <c r="K74" s="901" t="e">
        <f>'gramo Max-Min %'!Q39</f>
        <v>#N/A</v>
      </c>
      <c r="L74" s="909" t="e">
        <f>'gramo Max-Min %'!Q38</f>
        <v>#N/A</v>
      </c>
      <c r="M74" s="905" t="e">
        <f t="shared" si="0"/>
        <v>#N/A</v>
      </c>
    </row>
    <row r="75" spans="1:20" ht="27.95" customHeight="1" x14ac:dyDescent="0.2">
      <c r="A75" s="837">
        <v>13</v>
      </c>
      <c r="B75" s="873" t="e">
        <f>'1 kg %'!$I$8</f>
        <v>#N/A</v>
      </c>
      <c r="C75" s="838" t="str">
        <f>'DATOS %'!B72</f>
        <v>1 kg</v>
      </c>
      <c r="D75" s="844" t="e">
        <f>'1 kg %'!$F$75</f>
        <v>#N/A</v>
      </c>
      <c r="E75" s="845">
        <f>'DATOS %'!W146</f>
        <v>17</v>
      </c>
      <c r="F75" s="919">
        <f>'DATOS %'!X146</f>
        <v>50</v>
      </c>
      <c r="G75" s="908" t="e">
        <f>'gramo Max-Min %'!U12</f>
        <v>#N/A</v>
      </c>
      <c r="H75" s="901" t="e">
        <f>'gramo Max-Min %'!U11</f>
        <v>#N/A</v>
      </c>
      <c r="I75" s="901" t="e">
        <f>'gramo Max-Min %'!V12</f>
        <v>#N/A</v>
      </c>
      <c r="J75" s="901" t="e">
        <f>'gramo Max-Min %'!V11</f>
        <v>#N/A</v>
      </c>
      <c r="K75" s="901" t="e">
        <f>'gramo Max-Min %'!W12</f>
        <v>#N/A</v>
      </c>
      <c r="L75" s="909" t="e">
        <f>'gramo Max-Min %'!W11</f>
        <v>#N/A</v>
      </c>
      <c r="M75" s="905" t="e">
        <f t="shared" si="0"/>
        <v>#N/A</v>
      </c>
    </row>
    <row r="76" spans="1:20" ht="27.95" customHeight="1" x14ac:dyDescent="0.2">
      <c r="A76" s="837">
        <v>14</v>
      </c>
      <c r="B76" s="873" t="e">
        <f>'2 kg %'!$I$8</f>
        <v>#N/A</v>
      </c>
      <c r="C76" s="838" t="str">
        <f>'DATOS %'!B73</f>
        <v>2 kg</v>
      </c>
      <c r="D76" s="844" t="e">
        <f>'2 kg %'!$F$75</f>
        <v>#N/A</v>
      </c>
      <c r="E76" s="845">
        <f>'DATOS %'!W147</f>
        <v>33</v>
      </c>
      <c r="F76" s="919">
        <f>'DATOS %'!X147</f>
        <v>100</v>
      </c>
      <c r="G76" s="908" t="e">
        <f>'gramo Max-Min %'!U21</f>
        <v>#N/A</v>
      </c>
      <c r="H76" s="901" t="e">
        <f>'gramo Max-Min %'!U20</f>
        <v>#N/A</v>
      </c>
      <c r="I76" s="901" t="e">
        <f>'gramo Max-Min %'!V21</f>
        <v>#N/A</v>
      </c>
      <c r="J76" s="901" t="e">
        <f>'gramo Max-Min %'!V20</f>
        <v>#N/A</v>
      </c>
      <c r="K76" s="901" t="e">
        <f>'gramo Max-Min %'!W21</f>
        <v>#N/A</v>
      </c>
      <c r="L76" s="909" t="e">
        <f>'gramo Max-Min %'!W20</f>
        <v>#N/A</v>
      </c>
      <c r="M76" s="905" t="e">
        <f t="shared" si="0"/>
        <v>#N/A</v>
      </c>
    </row>
    <row r="77" spans="1:20" ht="27.95" customHeight="1" x14ac:dyDescent="0.2">
      <c r="A77" s="837">
        <v>15</v>
      </c>
      <c r="B77" s="873" t="e">
        <f>'2 kg + %'!$I$8</f>
        <v>#N/A</v>
      </c>
      <c r="C77" s="838" t="str">
        <f>'DATOS %'!B73</f>
        <v>2 kg</v>
      </c>
      <c r="D77" s="844" t="e">
        <f>'2 kg + %'!$F$75</f>
        <v>#N/A</v>
      </c>
      <c r="E77" s="845">
        <f>'DATOS %'!W148</f>
        <v>33</v>
      </c>
      <c r="F77" s="919">
        <f>'DATOS %'!X148</f>
        <v>100</v>
      </c>
      <c r="G77" s="908" t="e">
        <f>'gramo Max-Min %'!U30</f>
        <v>#N/A</v>
      </c>
      <c r="H77" s="901" t="e">
        <f>'gramo Max-Min %'!U29</f>
        <v>#N/A</v>
      </c>
      <c r="I77" s="901" t="e">
        <f>'gramo Max-Min %'!V30</f>
        <v>#N/A</v>
      </c>
      <c r="J77" s="901" t="e">
        <f>'gramo Max-Min %'!V29</f>
        <v>#N/A</v>
      </c>
      <c r="K77" s="901" t="e">
        <f>'gramo Max-Min %'!W30</f>
        <v>#N/A</v>
      </c>
      <c r="L77" s="909" t="e">
        <f>'gramo Max-Min %'!W29</f>
        <v>#N/A</v>
      </c>
      <c r="M77" s="905" t="e">
        <f t="shared" si="0"/>
        <v>#N/A</v>
      </c>
    </row>
    <row r="78" spans="1:20" ht="27.95" customHeight="1" x14ac:dyDescent="0.2">
      <c r="A78" s="837">
        <v>16</v>
      </c>
      <c r="B78" s="873" t="e">
        <f>'5 kg %'!$I$8</f>
        <v>#N/A</v>
      </c>
      <c r="C78" s="838" t="str">
        <f>'DATOS %'!B75</f>
        <v>5 kg</v>
      </c>
      <c r="D78" s="844" t="e">
        <f>'5 kg %'!$F$75</f>
        <v>#N/A</v>
      </c>
      <c r="E78" s="845">
        <f>'DATOS %'!W149</f>
        <v>83</v>
      </c>
      <c r="F78" s="919">
        <f>'DATOS %'!X149</f>
        <v>250</v>
      </c>
      <c r="G78" s="908" t="e">
        <f>'gramo Max-Min %'!U39</f>
        <v>#N/A</v>
      </c>
      <c r="H78" s="901" t="e">
        <f>'gramo Max-Min %'!U38</f>
        <v>#N/A</v>
      </c>
      <c r="I78" s="901" t="e">
        <f>'gramo Max-Min %'!V39</f>
        <v>#N/A</v>
      </c>
      <c r="J78" s="901" t="e">
        <f>'gramo Max-Min %'!V38</f>
        <v>#N/A</v>
      </c>
      <c r="K78" s="901" t="e">
        <f>'gramo Max-Min %'!W39</f>
        <v>#N/A</v>
      </c>
      <c r="L78" s="909" t="e">
        <f>'gramo Max-Min %'!W38</f>
        <v>#N/A</v>
      </c>
      <c r="M78" s="905" t="e">
        <f t="shared" si="0"/>
        <v>#N/A</v>
      </c>
    </row>
    <row r="79" spans="1:20" ht="27.95" customHeight="1" x14ac:dyDescent="0.2">
      <c r="A79" s="837">
        <v>17</v>
      </c>
      <c r="B79" s="873" t="e">
        <f>'10 kg %'!$I$8</f>
        <v>#N/A</v>
      </c>
      <c r="C79" s="838" t="str">
        <f>'DATOS %'!B76</f>
        <v>10 kg</v>
      </c>
      <c r="D79" s="805" t="e">
        <f>'10 kg %'!$F$76</f>
        <v>#N/A</v>
      </c>
      <c r="E79" s="846">
        <f>'DATOS %'!W150</f>
        <v>0.17</v>
      </c>
      <c r="F79" s="920">
        <f>'DATOS %'!X150</f>
        <v>0.5</v>
      </c>
      <c r="G79" s="908" t="e">
        <f>'gramo Max-Min %'!AA12</f>
        <v>#N/A</v>
      </c>
      <c r="H79" s="901" t="e">
        <f>'gramo Max-Min %'!AA11</f>
        <v>#N/A</v>
      </c>
      <c r="I79" s="901" t="e">
        <f>'gramo Max-Min %'!AB12</f>
        <v>#N/A</v>
      </c>
      <c r="J79" s="901" t="e">
        <f>'gramo Max-Min %'!AB11</f>
        <v>#N/A</v>
      </c>
      <c r="K79" s="901" t="e">
        <f>'gramo Max-Min %'!AC12</f>
        <v>#N/A</v>
      </c>
      <c r="L79" s="909" t="e">
        <f>'gramo Max-Min %'!AC11</f>
        <v>#N/A</v>
      </c>
      <c r="M79" s="905" t="e">
        <f t="shared" si="0"/>
        <v>#N/A</v>
      </c>
    </row>
    <row r="80" spans="1:20" ht="27.95" customHeight="1" x14ac:dyDescent="0.2">
      <c r="A80" s="837">
        <v>18</v>
      </c>
      <c r="B80" s="850" t="e">
        <f>'5 kg % (C)'!$I$8</f>
        <v>#N/A</v>
      </c>
      <c r="C80" s="847" t="str">
        <f>'DATOS %'!B75</f>
        <v>5 kg</v>
      </c>
      <c r="D80" s="848" t="e">
        <f>'5 kg % (C)'!$F$75</f>
        <v>#N/A</v>
      </c>
      <c r="E80" s="849">
        <f>'DATOS %'!W149</f>
        <v>83</v>
      </c>
      <c r="F80" s="921">
        <f>'DATOS %'!X149</f>
        <v>250</v>
      </c>
      <c r="G80" s="908" t="e">
        <f>'gramo Max-Min %'!AA21</f>
        <v>#N/A</v>
      </c>
      <c r="H80" s="901" t="e">
        <f>'gramo Max-Min %'!AA20</f>
        <v>#N/A</v>
      </c>
      <c r="I80" s="901" t="e">
        <f>'gramo Max-Min %'!AB21</f>
        <v>#N/A</v>
      </c>
      <c r="J80" s="901" t="e">
        <f>'gramo Max-Min %'!AB20</f>
        <v>#N/A</v>
      </c>
      <c r="K80" s="901" t="e">
        <f>'gramo Max-Min %'!AC21</f>
        <v>#N/A</v>
      </c>
      <c r="L80" s="909" t="e">
        <f>'gramo Max-Min %'!AC20</f>
        <v>#N/A</v>
      </c>
      <c r="M80" s="905" t="e">
        <f t="shared" si="0"/>
        <v>#N/A</v>
      </c>
    </row>
    <row r="81" spans="1:20" ht="27.95" customHeight="1" x14ac:dyDescent="0.2">
      <c r="A81" s="837">
        <v>19</v>
      </c>
      <c r="B81" s="850" t="e">
        <f>'10 kg % (C)'!$I$8</f>
        <v>#N/A</v>
      </c>
      <c r="C81" s="850" t="str">
        <f>'DATOS %'!B76</f>
        <v>10 kg</v>
      </c>
      <c r="D81" s="851" t="e">
        <f>'10 kg % (C)'!$F$76</f>
        <v>#N/A</v>
      </c>
      <c r="E81" s="852">
        <f>'DATOS %'!W150</f>
        <v>0.17</v>
      </c>
      <c r="F81" s="922">
        <f>'DATOS %'!X150</f>
        <v>0.5</v>
      </c>
      <c r="G81" s="908" t="e">
        <f>'gramo Max-Min %'!AA30</f>
        <v>#N/A</v>
      </c>
      <c r="H81" s="901" t="e">
        <f>'gramo Max-Min %'!AA29</f>
        <v>#N/A</v>
      </c>
      <c r="I81" s="901" t="e">
        <f>'gramo Max-Min %'!AB30</f>
        <v>#N/A</v>
      </c>
      <c r="J81" s="901" t="e">
        <f>'gramo Max-Min %'!AB29</f>
        <v>#N/A</v>
      </c>
      <c r="K81" s="901" t="e">
        <f>'gramo Max-Min %'!AC30</f>
        <v>#N/A</v>
      </c>
      <c r="L81" s="909" t="e">
        <f>'gramo Max-Min %'!AC29</f>
        <v>#N/A</v>
      </c>
      <c r="M81" s="905" t="e">
        <f t="shared" si="0"/>
        <v>#N/A</v>
      </c>
    </row>
    <row r="82" spans="1:20" ht="27.95" customHeight="1" thickBot="1" x14ac:dyDescent="0.25">
      <c r="A82" s="853">
        <v>20</v>
      </c>
      <c r="B82" s="875" t="e">
        <f>'20 kg % (C)'!$I$8</f>
        <v>#N/A</v>
      </c>
      <c r="C82" s="854" t="str">
        <f>'DATOS %'!V151</f>
        <v>20 kg</v>
      </c>
      <c r="D82" s="855" t="e">
        <f>'20 kg % (C)'!$G$76</f>
        <v>#N/A</v>
      </c>
      <c r="E82" s="856">
        <f>'DATOS %'!W151</f>
        <v>0.33</v>
      </c>
      <c r="F82" s="923">
        <f>'DATOS %'!X151</f>
        <v>1</v>
      </c>
      <c r="G82" s="902" t="e">
        <f>'gramo Max-Min %'!AA39</f>
        <v>#N/A</v>
      </c>
      <c r="H82" s="903" t="e">
        <f>'gramo Max-Min %'!AA38</f>
        <v>#N/A</v>
      </c>
      <c r="I82" s="903" t="e">
        <f>'gramo Max-Min %'!AB39</f>
        <v>#N/A</v>
      </c>
      <c r="J82" s="903" t="e">
        <f>'gramo Max-Min %'!AB38</f>
        <v>#N/A</v>
      </c>
      <c r="K82" s="903" t="e">
        <f>'gramo Max-Min %'!AC39</f>
        <v>#N/A</v>
      </c>
      <c r="L82" s="907" t="e">
        <f>'gramo Max-Min %'!AC38</f>
        <v>#N/A</v>
      </c>
      <c r="M82" s="906" t="e">
        <f t="shared" si="0"/>
        <v>#N/A</v>
      </c>
    </row>
    <row r="83" spans="1:20" ht="20.100000000000001" customHeight="1" x14ac:dyDescent="0.2">
      <c r="A83" s="857"/>
      <c r="B83" s="857"/>
      <c r="C83" s="857"/>
      <c r="D83" s="857"/>
      <c r="E83" s="857"/>
      <c r="F83" s="857"/>
      <c r="G83" s="858"/>
      <c r="H83" s="858"/>
      <c r="I83" s="858"/>
      <c r="J83" s="859"/>
    </row>
    <row r="84" spans="1:20" ht="125.1" customHeight="1" x14ac:dyDescent="0.2">
      <c r="A84" s="857"/>
      <c r="B84" s="857"/>
      <c r="C84" s="857"/>
      <c r="D84" s="857"/>
      <c r="E84" s="857"/>
      <c r="F84" s="857"/>
      <c r="G84" s="858"/>
      <c r="H84" s="858"/>
      <c r="I84" s="858"/>
      <c r="J84" s="859"/>
    </row>
    <row r="85" spans="1:20" ht="35.1" customHeight="1" x14ac:dyDescent="0.2">
      <c r="A85" s="857"/>
      <c r="B85" s="857"/>
      <c r="C85" s="857"/>
      <c r="D85" s="857"/>
      <c r="E85" s="857"/>
      <c r="F85" s="857"/>
      <c r="G85" s="858"/>
      <c r="H85" s="858"/>
      <c r="I85" s="858"/>
      <c r="J85" s="859"/>
    </row>
    <row r="86" spans="1:20" ht="35.1" customHeight="1" x14ac:dyDescent="0.2">
      <c r="A86" s="857"/>
      <c r="B86" s="857"/>
      <c r="C86" s="857"/>
      <c r="D86" s="857"/>
      <c r="E86" s="857"/>
      <c r="F86" s="857"/>
      <c r="H86" s="1446" t="s">
        <v>459</v>
      </c>
      <c r="I86" s="1446"/>
      <c r="J86" s="1446"/>
      <c r="K86" s="1446"/>
      <c r="L86" s="1469">
        <f>L3</f>
        <v>0</v>
      </c>
      <c r="M86" s="1469"/>
    </row>
    <row r="87" spans="1:20" ht="20.100000000000001" customHeight="1" x14ac:dyDescent="0.2">
      <c r="A87" s="1697" t="s">
        <v>456</v>
      </c>
      <c r="B87" s="1697"/>
      <c r="C87" s="1697"/>
      <c r="D87" s="1697"/>
      <c r="E87" s="1697"/>
      <c r="F87" s="1697"/>
      <c r="G87" s="1697"/>
      <c r="H87" s="1697"/>
      <c r="I87" s="1697"/>
      <c r="J87" s="1697"/>
      <c r="K87" s="1697"/>
      <c r="L87" s="1697"/>
      <c r="M87" s="1697"/>
    </row>
    <row r="88" spans="1:20" ht="20.100000000000001" customHeight="1" x14ac:dyDescent="0.2">
      <c r="A88" s="1697"/>
      <c r="B88" s="1697"/>
      <c r="C88" s="1697"/>
      <c r="D88" s="1697"/>
      <c r="E88" s="1697"/>
      <c r="F88" s="1697"/>
      <c r="G88" s="1697"/>
      <c r="H88" s="1697"/>
      <c r="I88" s="1697"/>
      <c r="J88" s="1697"/>
      <c r="K88" s="1697"/>
      <c r="L88" s="1697"/>
      <c r="M88" s="1697"/>
    </row>
    <row r="89" spans="1:20" ht="20.100000000000001" customHeight="1" x14ac:dyDescent="0.2">
      <c r="A89" s="1697"/>
      <c r="B89" s="1697"/>
      <c r="C89" s="1697"/>
      <c r="D89" s="1697"/>
      <c r="E89" s="1697"/>
      <c r="F89" s="1697"/>
      <c r="G89" s="1697"/>
      <c r="H89" s="1697"/>
      <c r="I89" s="1697"/>
      <c r="J89" s="1697"/>
      <c r="K89" s="1697"/>
      <c r="L89" s="1697"/>
      <c r="M89" s="1697"/>
    </row>
    <row r="90" spans="1:20" ht="20.100000000000001" customHeight="1" x14ac:dyDescent="0.2">
      <c r="A90" s="860"/>
      <c r="B90" s="860"/>
      <c r="C90" s="860"/>
      <c r="D90" s="860"/>
      <c r="E90" s="860"/>
      <c r="F90" s="860"/>
      <c r="G90" s="860"/>
      <c r="H90" s="860"/>
      <c r="I90" s="860"/>
      <c r="J90" s="860"/>
    </row>
    <row r="91" spans="1:20" ht="8.25" customHeight="1" x14ac:dyDescent="0.2">
      <c r="A91" s="860"/>
      <c r="B91" s="860"/>
      <c r="C91" s="860"/>
      <c r="D91" s="860"/>
      <c r="E91" s="860"/>
      <c r="F91" s="860"/>
      <c r="G91" s="860"/>
      <c r="H91" s="860"/>
      <c r="I91" s="860"/>
      <c r="J91" s="860"/>
    </row>
    <row r="92" spans="1:20" ht="26.1" customHeight="1" x14ac:dyDescent="0.2">
      <c r="A92" s="861"/>
      <c r="B92" s="861"/>
      <c r="C92" s="861"/>
      <c r="D92" s="861"/>
      <c r="E92" s="861"/>
      <c r="F92" s="861"/>
      <c r="G92" s="861"/>
      <c r="H92" s="861"/>
      <c r="I92" s="861"/>
      <c r="J92" s="861"/>
    </row>
    <row r="93" spans="1:20" ht="23.1" customHeight="1" x14ac:dyDescent="0.2">
      <c r="A93" s="1482" t="s">
        <v>251</v>
      </c>
      <c r="B93" s="1482"/>
      <c r="C93" s="1482"/>
      <c r="D93" s="1482"/>
    </row>
    <row r="94" spans="1:20" ht="20.100000000000001" customHeight="1" x14ac:dyDescent="0.2"/>
    <row r="95" spans="1:20" s="862" customFormat="1" ht="23.1" customHeight="1" x14ac:dyDescent="0.2">
      <c r="A95" s="1169" t="s">
        <v>130</v>
      </c>
      <c r="B95" s="1438" t="s">
        <v>270</v>
      </c>
      <c r="C95" s="1438"/>
      <c r="D95" s="1438"/>
      <c r="E95" s="1438"/>
      <c r="F95" s="1438"/>
      <c r="G95" s="1438"/>
      <c r="H95" s="1438"/>
      <c r="I95" s="1438"/>
      <c r="J95" s="1438"/>
      <c r="K95" s="1438"/>
      <c r="L95" s="1438"/>
      <c r="M95" s="1438"/>
      <c r="P95" s="818"/>
      <c r="Q95" s="818"/>
      <c r="R95" s="818"/>
      <c r="S95" s="818"/>
      <c r="T95" s="818"/>
    </row>
    <row r="96" spans="1:20" s="862" customFormat="1" ht="23.1" customHeight="1" x14ac:dyDescent="0.2">
      <c r="A96" s="1169" t="s">
        <v>130</v>
      </c>
      <c r="B96" s="1438" t="s">
        <v>271</v>
      </c>
      <c r="C96" s="1438"/>
      <c r="D96" s="1438"/>
      <c r="E96" s="1438"/>
      <c r="F96" s="1438"/>
      <c r="G96" s="1438"/>
      <c r="H96" s="1438"/>
      <c r="I96" s="1438"/>
      <c r="J96" s="1438"/>
      <c r="K96" s="1438"/>
      <c r="L96" s="1438"/>
      <c r="M96" s="1438"/>
      <c r="P96" s="818"/>
      <c r="Q96" s="818"/>
      <c r="R96" s="818"/>
      <c r="S96" s="818"/>
      <c r="T96" s="818"/>
    </row>
    <row r="97" spans="1:20" s="862" customFormat="1" ht="33" customHeight="1" x14ac:dyDescent="0.2">
      <c r="A97" s="1169" t="s">
        <v>130</v>
      </c>
      <c r="B97" s="1438" t="s">
        <v>284</v>
      </c>
      <c r="C97" s="1438"/>
      <c r="D97" s="1438"/>
      <c r="E97" s="1438"/>
      <c r="F97" s="1438"/>
      <c r="G97" s="1438"/>
      <c r="H97" s="1438"/>
      <c r="I97" s="1438"/>
      <c r="J97" s="1438"/>
      <c r="K97" s="1438"/>
      <c r="L97" s="1438"/>
      <c r="M97" s="1438"/>
      <c r="P97" s="818"/>
      <c r="Q97" s="818"/>
      <c r="R97" s="818"/>
      <c r="S97" s="818"/>
      <c r="T97" s="818"/>
    </row>
    <row r="98" spans="1:20" s="862" customFormat="1" ht="23.1" customHeight="1" x14ac:dyDescent="0.25">
      <c r="A98" s="1169" t="s">
        <v>130</v>
      </c>
      <c r="B98" s="1438" t="s">
        <v>317</v>
      </c>
      <c r="C98" s="1438"/>
      <c r="D98" s="1438"/>
      <c r="E98" s="1438"/>
      <c r="F98" s="1438"/>
      <c r="G98" s="1438"/>
      <c r="H98" s="1438"/>
      <c r="I98" s="1438"/>
      <c r="J98" s="1438"/>
      <c r="K98" s="1172"/>
      <c r="L98" s="1172"/>
      <c r="M98" s="1172"/>
    </row>
    <row r="99" spans="1:20" s="862" customFormat="1" ht="23.1" customHeight="1" x14ac:dyDescent="0.25">
      <c r="A99" s="1169" t="s">
        <v>130</v>
      </c>
      <c r="B99" s="1438" t="s">
        <v>185</v>
      </c>
      <c r="C99" s="1438"/>
      <c r="D99" s="1438"/>
      <c r="E99" s="1438"/>
      <c r="F99" s="1438"/>
      <c r="G99" s="1438"/>
      <c r="H99" s="1438"/>
      <c r="I99" s="1438"/>
      <c r="J99" s="1438"/>
      <c r="K99" s="1438"/>
      <c r="L99" s="1438"/>
      <c r="M99" s="1438"/>
    </row>
    <row r="100" spans="1:20" s="862" customFormat="1" ht="33" customHeight="1" x14ac:dyDescent="0.25">
      <c r="A100" s="1169" t="s">
        <v>130</v>
      </c>
      <c r="B100" s="1438" t="s">
        <v>272</v>
      </c>
      <c r="C100" s="1438"/>
      <c r="D100" s="1438"/>
      <c r="E100" s="1438"/>
      <c r="F100" s="1438"/>
      <c r="G100" s="1438"/>
      <c r="H100" s="1438"/>
      <c r="I100" s="1438"/>
      <c r="J100" s="1438"/>
      <c r="K100" s="1438"/>
      <c r="L100" s="1438"/>
      <c r="M100" s="1438"/>
    </row>
    <row r="101" spans="1:20" s="862" customFormat="1" ht="23.1" customHeight="1" x14ac:dyDescent="0.25">
      <c r="A101" s="1169" t="s">
        <v>130</v>
      </c>
      <c r="B101" s="1438" t="s">
        <v>295</v>
      </c>
      <c r="C101" s="1438"/>
      <c r="D101" s="1438"/>
      <c r="E101" s="1438"/>
      <c r="F101" s="1438"/>
      <c r="G101" s="1438"/>
      <c r="H101" s="1438"/>
      <c r="I101" s="1438"/>
      <c r="J101" s="1438"/>
      <c r="K101" s="1438"/>
      <c r="L101" s="1438"/>
      <c r="M101" s="1438"/>
    </row>
    <row r="102" spans="1:20" s="862" customFormat="1" ht="23.1" customHeight="1" x14ac:dyDescent="0.25">
      <c r="A102" s="1169" t="s">
        <v>130</v>
      </c>
      <c r="B102" s="1438" t="s">
        <v>285</v>
      </c>
      <c r="C102" s="1438"/>
      <c r="D102" s="1438"/>
      <c r="E102" s="1438"/>
      <c r="F102" s="1438"/>
      <c r="G102" s="1438"/>
      <c r="H102" s="1438"/>
      <c r="I102" s="1438"/>
      <c r="J102" s="1438"/>
      <c r="K102" s="1438"/>
      <c r="L102" s="1438"/>
      <c r="M102" s="1438"/>
    </row>
    <row r="103" spans="1:20" ht="23.1" customHeight="1" x14ac:dyDescent="0.2">
      <c r="A103" s="1169" t="s">
        <v>130</v>
      </c>
      <c r="B103" s="1438" t="s">
        <v>308</v>
      </c>
      <c r="C103" s="1438"/>
      <c r="D103" s="1438"/>
      <c r="E103" s="1438"/>
      <c r="F103" s="1438"/>
      <c r="G103" s="1438"/>
      <c r="H103" s="1438"/>
      <c r="I103" s="1438"/>
      <c r="J103" s="1438"/>
      <c r="K103" s="1438"/>
      <c r="L103" s="1438"/>
      <c r="M103" s="1438"/>
    </row>
    <row r="104" spans="1:20" ht="23.1" customHeight="1" x14ac:dyDescent="0.2">
      <c r="A104" s="1169" t="s">
        <v>130</v>
      </c>
      <c r="B104" s="1438" t="s">
        <v>349</v>
      </c>
      <c r="C104" s="1438"/>
      <c r="D104" s="1438"/>
      <c r="E104" s="1438"/>
      <c r="F104" s="1438"/>
      <c r="G104" s="1438"/>
      <c r="H104" s="1438"/>
      <c r="I104" s="1438"/>
      <c r="J104" s="1438"/>
      <c r="K104" s="1438"/>
      <c r="L104" s="1438"/>
      <c r="M104" s="1438"/>
    </row>
    <row r="105" spans="1:20" ht="23.1" customHeight="1" x14ac:dyDescent="0.2">
      <c r="A105" s="1169" t="s">
        <v>130</v>
      </c>
      <c r="B105" s="1438" t="s">
        <v>545</v>
      </c>
      <c r="C105" s="1438"/>
      <c r="D105" s="1438"/>
      <c r="E105" s="1438"/>
      <c r="F105" s="1438"/>
      <c r="G105" s="1438"/>
      <c r="H105" s="1438"/>
      <c r="I105" s="1438"/>
      <c r="J105" s="1438"/>
      <c r="K105" s="1438"/>
      <c r="L105" s="1438"/>
      <c r="M105" s="1438"/>
    </row>
    <row r="106" spans="1:20" ht="20.100000000000001" customHeight="1" x14ac:dyDescent="0.2">
      <c r="A106" s="395"/>
      <c r="B106" s="1758"/>
      <c r="C106" s="1758"/>
      <c r="D106" s="1758"/>
      <c r="E106" s="1758"/>
      <c r="F106" s="1758"/>
      <c r="G106" s="1758"/>
      <c r="H106" s="1758"/>
      <c r="I106" s="1758"/>
      <c r="J106" s="1758"/>
    </row>
    <row r="107" spans="1:20" ht="20.100000000000001" customHeight="1" x14ac:dyDescent="0.2"/>
    <row r="108" spans="1:20" ht="23.1" customHeight="1" x14ac:dyDescent="0.25">
      <c r="A108" s="1484" t="s">
        <v>16</v>
      </c>
      <c r="B108" s="1484"/>
      <c r="C108" s="1484"/>
      <c r="E108" s="396"/>
    </row>
    <row r="109" spans="1:20" ht="20.100000000000001" customHeight="1" x14ac:dyDescent="0.2"/>
    <row r="110" spans="1:20" ht="20.100000000000001" customHeight="1" x14ac:dyDescent="0.2">
      <c r="G110" s="863"/>
      <c r="J110" s="964"/>
    </row>
    <row r="111" spans="1:20" ht="23.1" customHeight="1" thickBot="1" x14ac:dyDescent="0.3">
      <c r="A111" s="396"/>
      <c r="B111" s="1762"/>
      <c r="C111" s="1762"/>
      <c r="D111" s="1762"/>
      <c r="E111" s="1762"/>
      <c r="F111" s="397"/>
      <c r="H111" s="1762"/>
      <c r="I111" s="1762"/>
      <c r="J111" s="1762"/>
      <c r="K111" s="1762"/>
      <c r="L111" s="397"/>
    </row>
    <row r="112" spans="1:20" ht="23.1" customHeight="1" x14ac:dyDescent="0.2">
      <c r="B112" s="1442" t="s">
        <v>247</v>
      </c>
      <c r="C112" s="1442"/>
      <c r="D112" s="1442"/>
      <c r="E112" s="1442"/>
      <c r="F112" s="864"/>
      <c r="I112" s="1443" t="s">
        <v>127</v>
      </c>
      <c r="J112" s="1443"/>
      <c r="K112" s="1443"/>
      <c r="L112" s="1443"/>
    </row>
    <row r="113" spans="1:13" ht="23.1" customHeight="1" x14ac:dyDescent="0.25">
      <c r="A113" s="396"/>
      <c r="B113" s="1439" t="e">
        <f>VLOOKUP($F$111,'DATOS %'!$V$161:$Y$165,4,FALSE)</f>
        <v>#N/A</v>
      </c>
      <c r="C113" s="1439"/>
      <c r="D113" s="1439"/>
      <c r="E113" s="1439"/>
      <c r="F113" s="524"/>
      <c r="I113" s="1439" t="e">
        <f>VLOOKUP($L$111,'DATOS %'!V161:AA165,6,FALSE)</f>
        <v>#N/A</v>
      </c>
      <c r="J113" s="1439"/>
      <c r="K113" s="1439"/>
      <c r="L113" s="1439"/>
    </row>
    <row r="114" spans="1:13" ht="23.1" customHeight="1" x14ac:dyDescent="0.2">
      <c r="B114" s="1439" t="e">
        <f>VLOOKUP($F$111,'DATOS %'!$V$161:$Y$165,2,FALSE)</f>
        <v>#N/A</v>
      </c>
      <c r="C114" s="1439"/>
      <c r="D114" s="1439"/>
      <c r="E114" s="1439"/>
      <c r="F114" s="864"/>
      <c r="I114" s="1439" t="e">
        <f>VLOOKUP($L$111,'DATOS %'!$V$161:$AA$165,2,FALSE)</f>
        <v>#N/A</v>
      </c>
      <c r="J114" s="1439"/>
      <c r="K114" s="1439"/>
      <c r="L114" s="1439"/>
    </row>
    <row r="115" spans="1:13" x14ac:dyDescent="0.2">
      <c r="J115" s="964"/>
    </row>
    <row r="116" spans="1:13" ht="23.1" customHeight="1" x14ac:dyDescent="0.2">
      <c r="B116" s="1760" t="s">
        <v>296</v>
      </c>
      <c r="C116" s="1760"/>
      <c r="D116" s="1759"/>
      <c r="E116" s="1759"/>
      <c r="F116" s="1171"/>
      <c r="G116" s="924"/>
      <c r="H116" s="1761" t="s">
        <v>350</v>
      </c>
      <c r="I116" s="1761"/>
      <c r="J116" s="1761"/>
      <c r="K116" s="1759"/>
      <c r="L116" s="1759"/>
      <c r="M116" s="822"/>
    </row>
    <row r="117" spans="1:13" x14ac:dyDescent="0.2">
      <c r="J117" s="964"/>
    </row>
    <row r="118" spans="1:13" ht="23.1" customHeight="1" x14ac:dyDescent="0.25">
      <c r="A118" s="1436" t="s">
        <v>60</v>
      </c>
      <c r="B118" s="1436"/>
      <c r="C118" s="1436"/>
      <c r="D118" s="1436"/>
      <c r="E118" s="1436"/>
      <c r="F118" s="1436"/>
      <c r="G118" s="1436"/>
      <c r="H118" s="1436"/>
      <c r="I118" s="1436"/>
      <c r="J118" s="1436"/>
      <c r="K118" s="1436"/>
      <c r="L118" s="1436"/>
      <c r="M118" s="1436"/>
    </row>
  </sheetData>
  <sheetProtection password="CF5C" sheet="1" objects="1" scenarios="1"/>
  <mergeCells count="105">
    <mergeCell ref="D116:E116"/>
    <mergeCell ref="K116:L116"/>
    <mergeCell ref="A118:M118"/>
    <mergeCell ref="B114:E114"/>
    <mergeCell ref="I114:L114"/>
    <mergeCell ref="B116:C116"/>
    <mergeCell ref="H116:J116"/>
    <mergeCell ref="B111:E111"/>
    <mergeCell ref="H111:K111"/>
    <mergeCell ref="B112:E112"/>
    <mergeCell ref="I112:L112"/>
    <mergeCell ref="B113:E113"/>
    <mergeCell ref="I113:L113"/>
    <mergeCell ref="B102:M102"/>
    <mergeCell ref="B103:M103"/>
    <mergeCell ref="B104:M104"/>
    <mergeCell ref="B105:M105"/>
    <mergeCell ref="B106:J106"/>
    <mergeCell ref="A108:C108"/>
    <mergeCell ref="B96:M96"/>
    <mergeCell ref="B97:M97"/>
    <mergeCell ref="B98:J98"/>
    <mergeCell ref="B99:M99"/>
    <mergeCell ref="B100:M100"/>
    <mergeCell ref="B101:M101"/>
    <mergeCell ref="K61:L61"/>
    <mergeCell ref="L86:M86"/>
    <mergeCell ref="A87:M89"/>
    <mergeCell ref="A93:D93"/>
    <mergeCell ref="B95:M95"/>
    <mergeCell ref="H86:K86"/>
    <mergeCell ref="L58:M58"/>
    <mergeCell ref="A59:J59"/>
    <mergeCell ref="A61:A62"/>
    <mergeCell ref="B61:B62"/>
    <mergeCell ref="C61:D61"/>
    <mergeCell ref="E61:E62"/>
    <mergeCell ref="F61:F62"/>
    <mergeCell ref="G61:H61"/>
    <mergeCell ref="I61:J61"/>
    <mergeCell ref="H58:K58"/>
    <mergeCell ref="B49:D49"/>
    <mergeCell ref="H49:I49"/>
    <mergeCell ref="J49:K49"/>
    <mergeCell ref="A51:J51"/>
    <mergeCell ref="A53:M54"/>
    <mergeCell ref="A56:M56"/>
    <mergeCell ref="A41:J41"/>
    <mergeCell ref="A43:M45"/>
    <mergeCell ref="B47:D47"/>
    <mergeCell ref="H47:I47"/>
    <mergeCell ref="J47:K47"/>
    <mergeCell ref="B48:D48"/>
    <mergeCell ref="H48:I48"/>
    <mergeCell ref="J48:K48"/>
    <mergeCell ref="B38:C38"/>
    <mergeCell ref="D38:E38"/>
    <mergeCell ref="F38:G38"/>
    <mergeCell ref="A39:B39"/>
    <mergeCell ref="C39:D39"/>
    <mergeCell ref="E39:F39"/>
    <mergeCell ref="L32:M32"/>
    <mergeCell ref="A33:J33"/>
    <mergeCell ref="A34:J34"/>
    <mergeCell ref="B36:C37"/>
    <mergeCell ref="D36:E37"/>
    <mergeCell ref="F36:G37"/>
    <mergeCell ref="H36:K36"/>
    <mergeCell ref="H37:I37"/>
    <mergeCell ref="J37:K37"/>
    <mergeCell ref="H32:K32"/>
    <mergeCell ref="A22:M22"/>
    <mergeCell ref="B23:E23"/>
    <mergeCell ref="A24:D24"/>
    <mergeCell ref="E24:F24"/>
    <mergeCell ref="A26:J26"/>
    <mergeCell ref="A28:M28"/>
    <mergeCell ref="A17:C17"/>
    <mergeCell ref="D17:E17"/>
    <mergeCell ref="F17:G17"/>
    <mergeCell ref="A19:E19"/>
    <mergeCell ref="F19:J19"/>
    <mergeCell ref="A21:F21"/>
    <mergeCell ref="A15:C15"/>
    <mergeCell ref="D15:G15"/>
    <mergeCell ref="A16:C16"/>
    <mergeCell ref="D16:G16"/>
    <mergeCell ref="A7:B7"/>
    <mergeCell ref="D7:J7"/>
    <mergeCell ref="A8:B8"/>
    <mergeCell ref="D8:G8"/>
    <mergeCell ref="A10:C10"/>
    <mergeCell ref="D10:E10"/>
    <mergeCell ref="F10:H10"/>
    <mergeCell ref="I10:J10"/>
    <mergeCell ref="A1:M1"/>
    <mergeCell ref="L3:M3"/>
    <mergeCell ref="A4:C4"/>
    <mergeCell ref="G4:H4"/>
    <mergeCell ref="A6:B6"/>
    <mergeCell ref="D6:J6"/>
    <mergeCell ref="A12:J12"/>
    <mergeCell ref="A14:C14"/>
    <mergeCell ref="D14:J14"/>
    <mergeCell ref="H3:K3"/>
  </mergeCells>
  <dataValidations count="1">
    <dataValidation type="list" allowBlank="1" showInputMessage="1" showErrorMessage="1" sqref="F111" xr:uid="{00000000-0002-0000-2D00-000000000000}">
      <formula1>$V$161:$V$165</formula1>
    </dataValidation>
  </dataValidations>
  <printOptions horizontalCentered="1"/>
  <pageMargins left="0.23622047244094491" right="0.23622047244094491" top="0.74803149606299213" bottom="0.74803149606299213" header="0.31496062992125984" footer="0.31496062992125984"/>
  <pageSetup scale="70" orientation="portrait" r:id="rId1"/>
  <headerFooter>
    <oddHeader xml:space="preserve">&amp;C&amp;"-,Negrita"
 MODIFICACIÓN AL CERTIFICADO DE CALIBRACIÓN DE PESAS </oddHeader>
    <oddFooter>&amp;R
RT03-F40 Vr.9 (2021-05-21)
&amp;P de &amp;N</oddFooter>
  </headerFooter>
  <rowBreaks count="3" manualBreakCount="3">
    <brk id="29" max="12" man="1"/>
    <brk id="55" max="12" man="1"/>
    <brk id="83" max="12" man="1"/>
  </rowBreaks>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2D00-000001000000}">
          <x14:formula1>
            <xm:f>'DATOS %'!$B$175:$B$187</xm:f>
          </x14:formula1>
          <xm:sqref>K35</xm:sqref>
        </x14:dataValidation>
        <x14:dataValidation type="list" allowBlank="1" showInputMessage="1" showErrorMessage="1" xr:uid="{00000000-0002-0000-2D00-000002000000}">
          <x14:formula1>
            <xm:f>'DATOS %'!$V$161:$V$165</xm:f>
          </x14:formula1>
          <xm:sqref>L111</xm:sqref>
        </x14:dataValidation>
      </x14:dataValidations>
    </ext>
  </extLs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rgb="FF92D050"/>
  </sheetPr>
  <dimension ref="A1:M67"/>
  <sheetViews>
    <sheetView showGridLines="0" tabSelected="1" view="pageBreakPreview" zoomScaleNormal="100" zoomScaleSheetLayoutView="100" workbookViewId="0">
      <selection activeCell="C3" sqref="C3"/>
    </sheetView>
  </sheetViews>
  <sheetFormatPr baseColWidth="10" defaultColWidth="11.42578125" defaultRowHeight="15" x14ac:dyDescent="0.2"/>
  <cols>
    <col min="1" max="1" width="10.7109375" style="818" customWidth="1"/>
    <col min="2" max="2" width="15.42578125" style="818" customWidth="1"/>
    <col min="3" max="3" width="12.28515625" style="818" customWidth="1"/>
    <col min="4" max="4" width="10.140625" style="818" customWidth="1"/>
    <col min="5" max="5" width="16" style="818" customWidth="1"/>
    <col min="6" max="6" width="10.5703125" style="818" customWidth="1"/>
    <col min="7" max="9" width="11.7109375" style="818" customWidth="1"/>
    <col min="10" max="10" width="10" style="818" customWidth="1"/>
    <col min="11" max="16384" width="11.42578125" style="818"/>
  </cols>
  <sheetData>
    <row r="1" spans="1:13" ht="125.1" customHeight="1" x14ac:dyDescent="0.2">
      <c r="A1" s="1739"/>
      <c r="B1" s="1739"/>
      <c r="C1" s="1739"/>
      <c r="D1" s="1739"/>
      <c r="E1" s="1739"/>
      <c r="F1" s="1739"/>
      <c r="G1" s="1739"/>
      <c r="H1" s="1739"/>
      <c r="I1" s="1739"/>
      <c r="J1" s="1739"/>
      <c r="K1" s="1739"/>
      <c r="L1" s="1739"/>
      <c r="M1" s="822"/>
    </row>
    <row r="2" spans="1:13" ht="35.1" customHeight="1" x14ac:dyDescent="0.2">
      <c r="A2" s="964"/>
      <c r="B2" s="964"/>
      <c r="C2" s="964"/>
      <c r="D2" s="964"/>
      <c r="E2" s="964"/>
      <c r="F2" s="964"/>
    </row>
    <row r="3" spans="1:13" ht="35.1" customHeight="1" x14ac:dyDescent="0.2">
      <c r="A3" s="964"/>
      <c r="B3" s="964"/>
      <c r="C3" s="964"/>
      <c r="D3" s="964"/>
      <c r="E3" s="964"/>
      <c r="F3" s="964"/>
      <c r="I3" s="1446" t="s">
        <v>546</v>
      </c>
      <c r="J3" s="1446"/>
      <c r="K3" s="1447">
        <f>'DATOS %'!J8</f>
        <v>0</v>
      </c>
      <c r="L3" s="1447"/>
    </row>
    <row r="4" spans="1:13" ht="24.95" customHeight="1" x14ac:dyDescent="0.25">
      <c r="A4" s="1463" t="s">
        <v>6</v>
      </c>
      <c r="B4" s="1463"/>
      <c r="C4" s="1463"/>
      <c r="D4" s="819"/>
      <c r="E4" s="819"/>
      <c r="G4" s="1464"/>
      <c r="H4" s="1464"/>
    </row>
    <row r="5" spans="1:13" ht="20.100000000000001" customHeight="1" x14ac:dyDescent="0.2">
      <c r="A5" s="969"/>
      <c r="B5" s="819"/>
      <c r="C5" s="819"/>
      <c r="D5" s="819"/>
      <c r="E5" s="819"/>
      <c r="F5" s="819"/>
    </row>
    <row r="6" spans="1:13" ht="24.95" customHeight="1" x14ac:dyDescent="0.2">
      <c r="A6" s="1740" t="s">
        <v>286</v>
      </c>
      <c r="B6" s="1740"/>
      <c r="D6" s="1741">
        <f>('DATOS %'!E8)</f>
        <v>0</v>
      </c>
      <c r="E6" s="1741"/>
      <c r="F6" s="1741"/>
      <c r="G6" s="1741"/>
      <c r="H6" s="1741"/>
      <c r="I6" s="1741"/>
      <c r="J6" s="1741"/>
    </row>
    <row r="7" spans="1:13" ht="24.95" customHeight="1" x14ac:dyDescent="0.2">
      <c r="A7" s="1740" t="s">
        <v>287</v>
      </c>
      <c r="B7" s="1740"/>
      <c r="C7" s="820"/>
      <c r="D7" s="1741">
        <f>'DATOS %'!F8</f>
        <v>0</v>
      </c>
      <c r="E7" s="1741"/>
      <c r="F7" s="1741"/>
      <c r="G7" s="1741"/>
      <c r="H7" s="1741"/>
      <c r="I7" s="1741"/>
      <c r="J7" s="1741"/>
    </row>
    <row r="8" spans="1:13" ht="24.95" customHeight="1" x14ac:dyDescent="0.2">
      <c r="A8" s="1740" t="s">
        <v>288</v>
      </c>
      <c r="B8" s="1740"/>
      <c r="D8" s="1741" t="str">
        <f>PROPER('DATOS %'!C8)</f>
        <v/>
      </c>
      <c r="E8" s="1741"/>
      <c r="F8" s="1741"/>
      <c r="G8" s="1741"/>
    </row>
    <row r="9" spans="1:13" ht="24.95" customHeight="1" x14ac:dyDescent="0.2">
      <c r="A9" s="967"/>
      <c r="B9" s="967"/>
      <c r="D9" s="967"/>
      <c r="E9" s="967"/>
      <c r="F9" s="819"/>
    </row>
    <row r="10" spans="1:13" ht="24.95" customHeight="1" x14ac:dyDescent="0.2">
      <c r="A10" s="1740" t="s">
        <v>289</v>
      </c>
      <c r="B10" s="1740"/>
      <c r="C10" s="1740"/>
      <c r="D10" s="1745">
        <f>'DATOS %'!D8</f>
        <v>0</v>
      </c>
      <c r="E10" s="1745"/>
      <c r="F10" s="1712" t="s">
        <v>548</v>
      </c>
      <c r="G10" s="1746"/>
      <c r="H10" s="1746"/>
      <c r="I10" s="1745" t="e">
        <f>'10 kg %'!E4</f>
        <v>#N/A</v>
      </c>
      <c r="J10" s="1745"/>
    </row>
    <row r="11" spans="1:13" ht="24.95" customHeight="1" x14ac:dyDescent="0.2">
      <c r="A11" s="819"/>
      <c r="B11" s="819"/>
      <c r="C11" s="819"/>
      <c r="D11" s="819"/>
      <c r="E11" s="819"/>
      <c r="F11" s="819"/>
    </row>
    <row r="12" spans="1:13" ht="24.95" customHeight="1" x14ac:dyDescent="0.2">
      <c r="A12" s="1467" t="s">
        <v>549</v>
      </c>
      <c r="B12" s="1467"/>
      <c r="C12" s="1467"/>
      <c r="D12" s="1467"/>
      <c r="E12" s="1467"/>
      <c r="F12" s="1467"/>
      <c r="G12" s="1467"/>
      <c r="H12" s="1467"/>
      <c r="I12" s="1467"/>
      <c r="J12" s="1467"/>
    </row>
    <row r="13" spans="1:13" ht="20.100000000000001" customHeight="1" x14ac:dyDescent="0.2">
      <c r="A13" s="965"/>
      <c r="B13" s="965"/>
      <c r="C13" s="965"/>
      <c r="D13" s="965"/>
      <c r="E13" s="965"/>
      <c r="F13" s="819"/>
    </row>
    <row r="14" spans="1:13" ht="24.95" customHeight="1" x14ac:dyDescent="0.2">
      <c r="A14" s="1740" t="s">
        <v>291</v>
      </c>
      <c r="B14" s="1740"/>
      <c r="C14" s="1740"/>
      <c r="D14" s="1454" t="s">
        <v>332</v>
      </c>
      <c r="E14" s="1454"/>
      <c r="F14" s="1454"/>
      <c r="G14" s="1454"/>
      <c r="H14" s="1454"/>
      <c r="I14" s="1454"/>
      <c r="J14" s="1454"/>
    </row>
    <row r="15" spans="1:13" ht="24.95" customHeight="1" x14ac:dyDescent="0.2">
      <c r="A15" s="1740" t="s">
        <v>292</v>
      </c>
      <c r="B15" s="1740"/>
      <c r="C15" s="1740"/>
      <c r="D15" s="1742" t="str">
        <f>PROPER('DATOS %'!D48)</f>
        <v/>
      </c>
      <c r="E15" s="1743"/>
      <c r="F15" s="1743"/>
      <c r="G15" s="1743"/>
      <c r="H15" s="969"/>
      <c r="I15" s="969"/>
      <c r="J15" s="969"/>
    </row>
    <row r="16" spans="1:13" ht="24.95" customHeight="1" x14ac:dyDescent="0.2">
      <c r="A16" s="1740" t="s">
        <v>293</v>
      </c>
      <c r="B16" s="1740"/>
      <c r="C16" s="1740"/>
      <c r="D16" s="1744">
        <f>'DATOS %'!E48</f>
        <v>0</v>
      </c>
      <c r="E16" s="1744"/>
      <c r="F16" s="1744"/>
      <c r="G16" s="1744"/>
      <c r="H16" s="969"/>
      <c r="I16" s="969"/>
      <c r="J16" s="969"/>
    </row>
    <row r="17" spans="1:13" ht="24.95" customHeight="1" x14ac:dyDescent="0.2">
      <c r="A17" s="1740" t="s">
        <v>11</v>
      </c>
      <c r="B17" s="1740"/>
      <c r="C17" s="1740"/>
      <c r="D17" s="1748">
        <f>'DATOS %'!C48</f>
        <v>0</v>
      </c>
      <c r="E17" s="1748"/>
      <c r="F17" s="1745"/>
      <c r="G17" s="1745"/>
    </row>
    <row r="18" spans="1:13" ht="24.95" customHeight="1" x14ac:dyDescent="0.2">
      <c r="A18" s="967"/>
      <c r="B18" s="967"/>
      <c r="C18" s="967"/>
      <c r="D18" s="821"/>
      <c r="E18" s="969"/>
      <c r="F18" s="969"/>
      <c r="G18" s="969"/>
    </row>
    <row r="19" spans="1:13" ht="24.95" customHeight="1" x14ac:dyDescent="0.2">
      <c r="A19" s="1708" t="s">
        <v>550</v>
      </c>
      <c r="B19" s="1740"/>
      <c r="C19" s="1740"/>
      <c r="D19" s="1740"/>
      <c r="E19" s="1740"/>
      <c r="F19" s="1740">
        <f>'DATOS %'!C80</f>
        <v>0</v>
      </c>
      <c r="G19" s="1740"/>
      <c r="H19" s="1740"/>
      <c r="I19" s="1740"/>
      <c r="J19" s="1740"/>
    </row>
    <row r="20" spans="1:13" ht="24.95" customHeight="1" x14ac:dyDescent="0.2">
      <c r="A20" s="967"/>
      <c r="B20" s="967"/>
      <c r="C20" s="967"/>
      <c r="D20" s="967"/>
      <c r="E20" s="967"/>
      <c r="F20" s="967"/>
      <c r="G20" s="819"/>
    </row>
    <row r="21" spans="1:13" ht="24.95" customHeight="1" x14ac:dyDescent="0.2">
      <c r="A21" s="1463" t="s">
        <v>564</v>
      </c>
      <c r="B21" s="1463"/>
      <c r="C21" s="1463"/>
      <c r="D21" s="1463"/>
      <c r="E21" s="1747">
        <f>'DATOS %'!I8</f>
        <v>0</v>
      </c>
      <c r="F21" s="1747"/>
      <c r="G21" s="822"/>
      <c r="H21" s="822"/>
    </row>
    <row r="22" spans="1:13" ht="24.95" customHeight="1" x14ac:dyDescent="0.25">
      <c r="A22" s="969"/>
      <c r="B22" s="969"/>
      <c r="C22" s="969"/>
      <c r="D22" s="969"/>
      <c r="E22" s="969"/>
      <c r="F22" s="969"/>
      <c r="G22" s="966"/>
      <c r="H22" s="966"/>
      <c r="I22" s="819"/>
      <c r="J22" s="819"/>
    </row>
    <row r="23" spans="1:13" ht="24.95" customHeight="1" x14ac:dyDescent="0.2">
      <c r="A23" s="1413" t="s">
        <v>565</v>
      </c>
      <c r="B23" s="1413"/>
      <c r="C23" s="1413"/>
      <c r="D23" s="1413"/>
      <c r="E23" s="1413"/>
      <c r="F23" s="1413"/>
      <c r="G23" s="1413"/>
      <c r="H23" s="1413"/>
      <c r="I23" s="1413"/>
      <c r="J23" s="1413"/>
    </row>
    <row r="24" spans="1:13" ht="50.1" customHeight="1" x14ac:dyDescent="0.2">
      <c r="A24" s="960"/>
      <c r="B24" s="960"/>
      <c r="C24" s="960"/>
      <c r="D24" s="960"/>
      <c r="G24" s="819"/>
    </row>
    <row r="25" spans="1:13" ht="50.1" customHeight="1" x14ac:dyDescent="0.2">
      <c r="A25" s="1010"/>
      <c r="B25" s="1010"/>
      <c r="C25" s="1010"/>
      <c r="D25" s="1010"/>
      <c r="E25" s="1010"/>
      <c r="F25" s="1010"/>
      <c r="G25" s="1010"/>
      <c r="H25" s="1010"/>
      <c r="I25" s="1010"/>
      <c r="J25" s="1010"/>
      <c r="K25" s="1010"/>
      <c r="L25" s="1010"/>
      <c r="M25" s="1010"/>
    </row>
    <row r="26" spans="1:13" ht="50.1" customHeight="1" x14ac:dyDescent="0.25">
      <c r="G26" s="966"/>
      <c r="H26" s="966"/>
      <c r="I26" s="823"/>
      <c r="J26" s="823"/>
    </row>
    <row r="27" spans="1:13" ht="50.1" customHeight="1" x14ac:dyDescent="0.25">
      <c r="G27" s="966"/>
      <c r="H27" s="966"/>
      <c r="I27" s="823"/>
      <c r="J27" s="823"/>
    </row>
    <row r="28" spans="1:13" ht="50.1" customHeight="1" x14ac:dyDescent="0.25">
      <c r="G28" s="966"/>
      <c r="H28" s="966"/>
      <c r="I28" s="823"/>
      <c r="J28" s="823"/>
    </row>
    <row r="29" spans="1:13" ht="50.1" customHeight="1" x14ac:dyDescent="0.2"/>
    <row r="30" spans="1:13" ht="50.1" customHeight="1" x14ac:dyDescent="0.2">
      <c r="C30" s="1011"/>
      <c r="D30" s="1011"/>
      <c r="E30" s="1011"/>
      <c r="F30" s="1011"/>
      <c r="G30" s="1011"/>
      <c r="H30" s="1011"/>
      <c r="I30" s="1011"/>
      <c r="J30" s="1011"/>
    </row>
    <row r="31" spans="1:13" ht="50.1" customHeight="1" x14ac:dyDescent="0.2">
      <c r="A31" s="1719"/>
      <c r="B31" s="1719"/>
      <c r="C31" s="1719"/>
      <c r="D31" s="1719"/>
      <c r="E31" s="1719"/>
      <c r="F31" s="1719"/>
      <c r="G31" s="1719"/>
      <c r="H31" s="1719"/>
      <c r="I31" s="1719"/>
      <c r="J31" s="1719"/>
    </row>
    <row r="32" spans="1:13" ht="50.1" customHeight="1" x14ac:dyDescent="0.2"/>
    <row r="33" spans="1:13" ht="50.1" customHeight="1" x14ac:dyDescent="0.2">
      <c r="A33" s="1413"/>
      <c r="B33" s="1413"/>
      <c r="C33" s="1413"/>
      <c r="D33" s="1413"/>
      <c r="E33" s="1413"/>
      <c r="F33" s="1413"/>
      <c r="G33" s="1413"/>
      <c r="H33" s="1413"/>
      <c r="I33" s="1413"/>
      <c r="J33" s="1413"/>
    </row>
    <row r="34" spans="1:13" ht="50.1" customHeight="1" x14ac:dyDescent="0.2">
      <c r="A34" s="389"/>
    </row>
    <row r="35" spans="1:13" ht="50.1" customHeight="1" x14ac:dyDescent="0.2">
      <c r="C35" s="864"/>
      <c r="D35" s="864"/>
      <c r="E35" s="864"/>
      <c r="F35" s="864"/>
      <c r="G35" s="864"/>
      <c r="H35" s="864"/>
      <c r="I35" s="864"/>
      <c r="J35" s="864"/>
      <c r="K35" s="864"/>
      <c r="L35" s="864"/>
      <c r="M35" s="864"/>
    </row>
    <row r="36" spans="1:13" ht="50.1" customHeight="1" x14ac:dyDescent="0.2">
      <c r="A36" s="864"/>
      <c r="B36" s="864"/>
      <c r="C36" s="864"/>
      <c r="D36" s="864"/>
      <c r="E36" s="864"/>
      <c r="F36" s="864"/>
      <c r="G36" s="864"/>
      <c r="H36" s="864"/>
      <c r="I36" s="864"/>
      <c r="J36" s="864"/>
      <c r="K36" s="864"/>
      <c r="L36" s="864"/>
      <c r="M36" s="864"/>
    </row>
    <row r="37" spans="1:13" ht="50.1" customHeight="1" x14ac:dyDescent="0.2">
      <c r="A37" s="864"/>
      <c r="B37" s="864"/>
      <c r="C37" s="864"/>
      <c r="D37" s="864"/>
      <c r="E37" s="864"/>
      <c r="F37" s="864"/>
      <c r="G37" s="864"/>
      <c r="H37" s="864"/>
      <c r="I37" s="864"/>
      <c r="M37" s="1012"/>
    </row>
    <row r="38" spans="1:13" ht="20.100000000000001" customHeight="1" x14ac:dyDescent="0.2">
      <c r="A38" s="831"/>
      <c r="B38" s="831"/>
      <c r="C38" s="831"/>
      <c r="D38" s="831"/>
      <c r="E38" s="831"/>
      <c r="F38" s="831"/>
      <c r="G38" s="831"/>
      <c r="H38" s="831"/>
      <c r="I38" s="1446" t="s">
        <v>546</v>
      </c>
      <c r="J38" s="1446"/>
      <c r="K38" s="1447">
        <f>K3</f>
        <v>0</v>
      </c>
      <c r="L38" s="1447"/>
    </row>
    <row r="39" spans="1:13" ht="27" customHeight="1" x14ac:dyDescent="0.2">
      <c r="C39" s="961"/>
      <c r="D39" s="393"/>
      <c r="E39" s="961"/>
      <c r="F39" s="961"/>
      <c r="G39" s="961"/>
    </row>
    <row r="40" spans="1:13" ht="23.1" customHeight="1" x14ac:dyDescent="0.2">
      <c r="A40" s="1418"/>
      <c r="B40" s="1418"/>
      <c r="C40" s="1418"/>
      <c r="D40" s="1418"/>
      <c r="E40" s="1418"/>
      <c r="F40" s="1418"/>
      <c r="G40" s="1418"/>
      <c r="H40" s="1418"/>
      <c r="I40" s="1418"/>
      <c r="J40" s="1418"/>
    </row>
    <row r="41" spans="1:13" ht="20.100000000000001" customHeight="1" x14ac:dyDescent="0.2">
      <c r="A41" s="389"/>
      <c r="B41" s="389"/>
    </row>
    <row r="42" spans="1:13" ht="30" customHeight="1" x14ac:dyDescent="0.2">
      <c r="A42" s="1011" t="s">
        <v>566</v>
      </c>
      <c r="B42" s="1011"/>
      <c r="C42" s="924"/>
      <c r="D42" s="924"/>
      <c r="E42" s="924"/>
      <c r="F42" s="924"/>
      <c r="G42" s="924"/>
      <c r="H42" s="924"/>
      <c r="I42" s="924"/>
      <c r="J42" s="924"/>
      <c r="K42" s="924"/>
      <c r="L42" s="924"/>
      <c r="M42" s="924"/>
    </row>
    <row r="43" spans="1:13" ht="30" customHeight="1" x14ac:dyDescent="0.2"/>
    <row r="44" spans="1:13" ht="18" customHeight="1" x14ac:dyDescent="0.2"/>
    <row r="45" spans="1:13" ht="12" customHeight="1" x14ac:dyDescent="0.2"/>
    <row r="46" spans="1:13" ht="12" customHeight="1" x14ac:dyDescent="0.2"/>
    <row r="47" spans="1:13" ht="12" customHeight="1" x14ac:dyDescent="0.2"/>
    <row r="48" spans="1:13" ht="12" customHeight="1" x14ac:dyDescent="0.2"/>
    <row r="49" spans="1:13" ht="12" customHeight="1" x14ac:dyDescent="0.2"/>
    <row r="50" spans="1:13" ht="12" customHeight="1" x14ac:dyDescent="0.2"/>
    <row r="51" spans="1:13" ht="12" customHeight="1" x14ac:dyDescent="0.2"/>
    <row r="52" spans="1:13" ht="20.100000000000001" customHeight="1" x14ac:dyDescent="0.2"/>
    <row r="53" spans="1:13" ht="23.1" customHeight="1" x14ac:dyDescent="0.25">
      <c r="E53" s="396"/>
    </row>
    <row r="54" spans="1:13" ht="20.100000000000001" customHeight="1" x14ac:dyDescent="0.2"/>
    <row r="55" spans="1:13" ht="20.100000000000001" customHeight="1" x14ac:dyDescent="0.2">
      <c r="G55" s="863"/>
      <c r="J55" s="964"/>
    </row>
    <row r="56" spans="1:13" ht="12" customHeight="1" x14ac:dyDescent="0.2"/>
    <row r="57" spans="1:13" ht="12" customHeight="1" x14ac:dyDescent="0.2"/>
    <row r="58" spans="1:13" ht="12" customHeight="1" x14ac:dyDescent="0.2"/>
    <row r="59" spans="1:13" ht="20.100000000000001" customHeight="1" x14ac:dyDescent="0.25">
      <c r="A59" s="1484" t="s">
        <v>16</v>
      </c>
      <c r="B59" s="1484"/>
      <c r="C59" s="1484"/>
      <c r="D59" s="924"/>
      <c r="E59" s="924"/>
      <c r="F59" s="397"/>
      <c r="G59" s="924"/>
      <c r="H59" s="924"/>
      <c r="I59" s="924"/>
      <c r="J59" s="924"/>
      <c r="K59" s="924"/>
      <c r="L59" s="397"/>
      <c r="M59" s="924"/>
    </row>
    <row r="60" spans="1:13" ht="20.100000000000001" customHeight="1" thickBot="1" x14ac:dyDescent="0.3">
      <c r="A60" s="396"/>
      <c r="B60" s="1762"/>
      <c r="C60" s="1762"/>
      <c r="D60" s="1762"/>
      <c r="E60" s="1762"/>
      <c r="H60" s="1762"/>
      <c r="I60" s="1762"/>
      <c r="J60" s="1762"/>
      <c r="K60" s="1762"/>
    </row>
    <row r="61" spans="1:13" ht="20.100000000000001" customHeight="1" x14ac:dyDescent="0.2">
      <c r="B61" s="1442" t="s">
        <v>247</v>
      </c>
      <c r="C61" s="1442"/>
      <c r="D61" s="1442"/>
      <c r="E61" s="1442"/>
      <c r="F61" s="864"/>
      <c r="I61" s="1443" t="s">
        <v>547</v>
      </c>
      <c r="J61" s="1443"/>
      <c r="K61" s="1443"/>
      <c r="L61" s="1443"/>
    </row>
    <row r="62" spans="1:13" ht="26.45" customHeight="1" x14ac:dyDescent="0.25">
      <c r="A62" s="396"/>
      <c r="B62" s="1439" t="e">
        <f>VLOOKUP($F$59,'DATOS %'!$V$161:$Y$165,4,FALSE)</f>
        <v>#N/A</v>
      </c>
      <c r="C62" s="1439"/>
      <c r="D62" s="1439"/>
      <c r="E62" s="1439"/>
      <c r="F62" s="524"/>
      <c r="I62" s="1439" t="e">
        <f>VLOOKUP($L$59,'DATOS %'!V161:AA165,6,FALSE)</f>
        <v>#N/A</v>
      </c>
      <c r="J62" s="1439"/>
      <c r="K62" s="1439"/>
      <c r="L62" s="1439"/>
    </row>
    <row r="63" spans="1:13" ht="20.100000000000001" customHeight="1" x14ac:dyDescent="0.2">
      <c r="B63" s="1439" t="e">
        <f>VLOOKUP($F$59,'DATOS %'!$V$161:$Y$165,2,FALSE)</f>
        <v>#N/A</v>
      </c>
      <c r="C63" s="1439"/>
      <c r="D63" s="1439"/>
      <c r="E63" s="1439"/>
      <c r="F63" s="864"/>
      <c r="I63" s="1439" t="e">
        <f>VLOOKUP($L$59,'DATOS %'!$V$161:$AA$165,2,FALSE)</f>
        <v>#N/A</v>
      </c>
      <c r="J63" s="1439"/>
      <c r="K63" s="1439"/>
      <c r="L63" s="1439"/>
    </row>
    <row r="64" spans="1:13" ht="20.100000000000001" customHeight="1" x14ac:dyDescent="0.2">
      <c r="J64" s="964"/>
    </row>
    <row r="65" spans="1:13" ht="20.100000000000001" customHeight="1" x14ac:dyDescent="0.2">
      <c r="B65" s="1760" t="s">
        <v>296</v>
      </c>
      <c r="C65" s="1760"/>
      <c r="D65" s="1763"/>
      <c r="E65" s="1763"/>
      <c r="F65" s="1171"/>
      <c r="G65" s="924"/>
      <c r="H65" s="1761" t="s">
        <v>350</v>
      </c>
      <c r="I65" s="1761"/>
      <c r="J65" s="1764"/>
      <c r="K65" s="1764"/>
      <c r="L65" s="822"/>
      <c r="M65" s="822"/>
    </row>
    <row r="66" spans="1:13" x14ac:dyDescent="0.2">
      <c r="J66" s="964"/>
    </row>
    <row r="67" spans="1:13" ht="15.75" x14ac:dyDescent="0.25">
      <c r="A67" s="1436" t="s">
        <v>60</v>
      </c>
      <c r="B67" s="1436"/>
      <c r="C67" s="1436"/>
      <c r="D67" s="1436"/>
      <c r="E67" s="1436"/>
      <c r="F67" s="1436"/>
      <c r="G67" s="1436"/>
      <c r="H67" s="1436"/>
      <c r="I67" s="1436"/>
      <c r="J67" s="1436"/>
      <c r="K67" s="1436"/>
      <c r="L67" s="1436"/>
      <c r="M67" s="1436"/>
    </row>
  </sheetData>
  <sheetProtection password="CF5C" sheet="1" objects="1" scenarios="1"/>
  <mergeCells count="49">
    <mergeCell ref="D65:E65"/>
    <mergeCell ref="H65:I65"/>
    <mergeCell ref="J65:K65"/>
    <mergeCell ref="A67:M67"/>
    <mergeCell ref="K38:L38"/>
    <mergeCell ref="I38:J38"/>
    <mergeCell ref="B63:E63"/>
    <mergeCell ref="I63:L63"/>
    <mergeCell ref="B65:C65"/>
    <mergeCell ref="B60:E60"/>
    <mergeCell ref="H60:K60"/>
    <mergeCell ref="B61:E61"/>
    <mergeCell ref="I61:L61"/>
    <mergeCell ref="B62:E62"/>
    <mergeCell ref="I62:L62"/>
    <mergeCell ref="A59:C59"/>
    <mergeCell ref="A19:E19"/>
    <mergeCell ref="F19:J19"/>
    <mergeCell ref="A16:C16"/>
    <mergeCell ref="D16:G16"/>
    <mergeCell ref="A17:C17"/>
    <mergeCell ref="D17:E17"/>
    <mergeCell ref="F17:G17"/>
    <mergeCell ref="A40:J40"/>
    <mergeCell ref="A33:J33"/>
    <mergeCell ref="A31:J31"/>
    <mergeCell ref="A21:D21"/>
    <mergeCell ref="E21:F21"/>
    <mergeCell ref="A23:J23"/>
    <mergeCell ref="A14:C14"/>
    <mergeCell ref="D14:J14"/>
    <mergeCell ref="A15:C15"/>
    <mergeCell ref="D15:G15"/>
    <mergeCell ref="A12:J12"/>
    <mergeCell ref="A6:B6"/>
    <mergeCell ref="D6:J6"/>
    <mergeCell ref="A1:L1"/>
    <mergeCell ref="I3:J3"/>
    <mergeCell ref="K3:L3"/>
    <mergeCell ref="A4:C4"/>
    <mergeCell ref="G4:H4"/>
    <mergeCell ref="A7:B7"/>
    <mergeCell ref="D7:J7"/>
    <mergeCell ref="A8:B8"/>
    <mergeCell ref="D8:G8"/>
    <mergeCell ref="A10:C10"/>
    <mergeCell ref="D10:E10"/>
    <mergeCell ref="F10:H10"/>
    <mergeCell ref="I10:J10"/>
  </mergeCells>
  <dataValidations count="1">
    <dataValidation type="list" allowBlank="1" showInputMessage="1" showErrorMessage="1" sqref="F59" xr:uid="{00000000-0002-0000-2E00-000000000000}">
      <formula1>$V$158:$V$162</formula1>
    </dataValidation>
  </dataValidations>
  <printOptions horizontalCentered="1"/>
  <pageMargins left="0.23622047244094491" right="0.23622047244094491" top="0.74803149606299213" bottom="0.74803149606299213" header="0.31496062992125984" footer="0.31496062992125984"/>
  <pageSetup scale="70" orientation="portrait" r:id="rId1"/>
  <headerFooter>
    <oddHeader>&amp;C&amp;"-,Negrita"
   INFORME DE PESAS NO APTAS</oddHeader>
    <oddFooter>&amp;RRT03-F19 Vr.4 (2021-05-24)
&amp;P de &amp;N</oddFooter>
  </headerFooter>
  <rowBreaks count="1" manualBreakCount="1">
    <brk id="34" max="11" man="1"/>
  </rowBreak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E00-000001000000}">
          <x14:formula1>
            <xm:f>'DATOS %'!$V$161:$V$165</xm:f>
          </x14:formula1>
          <xm:sqref>L59</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FF00"/>
  </sheetPr>
  <dimension ref="A1:U115"/>
  <sheetViews>
    <sheetView showGridLines="0" view="pageBreakPreview" topLeftCell="A19" zoomScale="80" zoomScaleNormal="60" zoomScaleSheetLayoutView="80" workbookViewId="0">
      <selection activeCell="C65" sqref="C65"/>
    </sheetView>
  </sheetViews>
  <sheetFormatPr baseColWidth="10" defaultColWidth="11.42578125" defaultRowHeight="31.5" customHeight="1" x14ac:dyDescent="0.2"/>
  <cols>
    <col min="1" max="1" width="14.7109375" style="37" customWidth="1"/>
    <col min="2" max="2" width="12" style="37" customWidth="1"/>
    <col min="3" max="3" width="15.7109375" style="37" customWidth="1"/>
    <col min="4" max="4" width="17" style="37" customWidth="1"/>
    <col min="5" max="5" width="15.5703125" style="37" customWidth="1"/>
    <col min="6" max="6" width="18.5703125" style="37" customWidth="1"/>
    <col min="7" max="7" width="15.7109375" style="37" customWidth="1"/>
    <col min="8" max="8" width="24.42578125" style="37" bestFit="1" customWidth="1"/>
    <col min="9" max="9" width="13.85546875" style="37" bestFit="1" customWidth="1"/>
    <col min="10" max="10" width="13.7109375" style="37" customWidth="1"/>
    <col min="11" max="19" width="11.42578125" style="8"/>
    <col min="20" max="20" width="15.85546875" style="8" bestFit="1" customWidth="1"/>
    <col min="21" max="21" width="14.42578125" style="8" bestFit="1" customWidth="1"/>
    <col min="22" max="16384" width="11.42578125" style="8"/>
  </cols>
  <sheetData>
    <row r="1" spans="1:16" ht="60" customHeight="1" thickBot="1" x14ac:dyDescent="0.25">
      <c r="A1" s="1257"/>
      <c r="B1" s="1258"/>
      <c r="C1" s="1259" t="s">
        <v>57</v>
      </c>
      <c r="D1" s="1260"/>
      <c r="E1" s="1260"/>
      <c r="F1" s="1260"/>
      <c r="G1" s="1260"/>
      <c r="H1" s="1260"/>
      <c r="I1" s="1260"/>
      <c r="J1" s="1260"/>
      <c r="K1" s="1260"/>
      <c r="L1" s="1260"/>
      <c r="M1" s="1261"/>
      <c r="N1" s="7"/>
      <c r="O1" s="7"/>
      <c r="P1" s="7"/>
    </row>
    <row r="2" spans="1:16" s="11" customFormat="1" ht="9.75" customHeight="1" thickBot="1" x14ac:dyDescent="0.25">
      <c r="A2" s="9"/>
      <c r="B2" s="9"/>
      <c r="C2" s="10"/>
      <c r="D2" s="10"/>
      <c r="E2" s="10"/>
      <c r="F2" s="10"/>
      <c r="G2" s="10"/>
      <c r="H2" s="10"/>
      <c r="K2" s="12"/>
      <c r="M2" s="7"/>
    </row>
    <row r="3" spans="1:16" s="12" customFormat="1" ht="35.25" customHeight="1" thickBot="1" x14ac:dyDescent="0.25">
      <c r="A3" s="13" t="s">
        <v>17</v>
      </c>
      <c r="B3" s="14" t="s">
        <v>55</v>
      </c>
      <c r="C3" s="15" t="s">
        <v>209</v>
      </c>
      <c r="D3" s="15" t="s">
        <v>56</v>
      </c>
      <c r="E3" s="15" t="s">
        <v>8</v>
      </c>
      <c r="F3" s="16" t="s">
        <v>18</v>
      </c>
      <c r="G3" s="16" t="s">
        <v>297</v>
      </c>
      <c r="H3" s="17" t="s">
        <v>24</v>
      </c>
      <c r="I3" s="1262"/>
      <c r="J3" s="1263"/>
      <c r="K3" s="11"/>
      <c r="M3" s="7"/>
    </row>
    <row r="4" spans="1:16" s="11" customFormat="1" ht="32.25" customHeight="1" thickBot="1" x14ac:dyDescent="0.25">
      <c r="A4" s="18" t="e">
        <f>VLOOKUP($I$3,'DATOS %'!B7:J29,2,FALSE)</f>
        <v>#N/A</v>
      </c>
      <c r="B4" s="212" t="e">
        <f>VLOOKUP($I$3,'DATOS %'!$B$7:$J$29,3,FALSE)</f>
        <v>#N/A</v>
      </c>
      <c r="C4" s="19" t="e">
        <f>VLOOKUP($I$3,'DATOS %'!$B$7:$J$29,8,FALSE)</f>
        <v>#N/A</v>
      </c>
      <c r="D4" s="19" t="e">
        <f>VLOOKUP($I$3,'DATOS %'!$B$7:$J$29,6,FALSE)</f>
        <v>#N/A</v>
      </c>
      <c r="E4" s="212" t="e">
        <f>VLOOKUP($I$3,'DATOS %'!$B$7:$J$29,7,FALSE)</f>
        <v>#N/A</v>
      </c>
      <c r="F4" s="18" t="e">
        <f>VLOOKUP($I$3,'DATOS %'!$B$7:$J$29,4,FALSE)</f>
        <v>#N/A</v>
      </c>
      <c r="G4" s="18" t="e">
        <f>VLOOKUP($I$3,'DATOS %'!$B$7:$J$29,5,FALSE)</f>
        <v>#N/A</v>
      </c>
      <c r="H4" s="19" t="e">
        <f>VLOOKUP($I$3,'DATOS %'!$B$7:$J$29,9,FALSE)</f>
        <v>#N/A</v>
      </c>
      <c r="I4" s="1264"/>
      <c r="J4" s="1265"/>
      <c r="K4" s="8"/>
      <c r="L4" s="20"/>
      <c r="M4" s="20"/>
    </row>
    <row r="5" spans="1:16" s="22" customFormat="1" ht="6.75" customHeight="1" thickBot="1" x14ac:dyDescent="0.25">
      <c r="A5" s="21"/>
      <c r="B5" s="21"/>
      <c r="C5" s="21"/>
      <c r="F5" s="21"/>
      <c r="G5" s="21"/>
      <c r="H5" s="21"/>
      <c r="K5" s="8"/>
    </row>
    <row r="6" spans="1:16" ht="31.5" customHeight="1" thickBot="1" x14ac:dyDescent="0.25">
      <c r="A6" s="1266" t="s">
        <v>19</v>
      </c>
      <c r="B6" s="1267"/>
      <c r="C6" s="1267"/>
      <c r="D6" s="1268"/>
      <c r="E6" s="4"/>
      <c r="F6" s="1266" t="s">
        <v>20</v>
      </c>
      <c r="G6" s="1267"/>
      <c r="H6" s="1267"/>
      <c r="I6" s="1268"/>
      <c r="J6" s="402">
        <f>I3</f>
        <v>0</v>
      </c>
    </row>
    <row r="7" spans="1:16" ht="31.5" customHeight="1" x14ac:dyDescent="0.2">
      <c r="A7" s="23" t="s">
        <v>21</v>
      </c>
      <c r="B7" s="24" t="e">
        <f>VLOOKUP($E$6,'DATOS %'!N11:AA113,2,FALSE)</f>
        <v>#N/A</v>
      </c>
      <c r="C7" s="25" t="s">
        <v>10</v>
      </c>
      <c r="D7" s="26" t="e">
        <f>VLOOKUP($E$6,'DATOS %'!N11:AA113,3,FALSE)</f>
        <v>#N/A</v>
      </c>
      <c r="E7" s="27"/>
      <c r="F7" s="23" t="s">
        <v>21</v>
      </c>
      <c r="G7" s="24" t="e">
        <f>VLOOKUP($J$6,'DATOS %'!B47:I79,2,FALSE)</f>
        <v>#N/A</v>
      </c>
      <c r="H7" s="28" t="s">
        <v>10</v>
      </c>
      <c r="I7" s="26" t="e">
        <f>VLOOKUP($J$6,'DATOS %'!B47:I79,3,FALSE)</f>
        <v>#N/A</v>
      </c>
      <c r="J7" s="29"/>
    </row>
    <row r="8" spans="1:16" ht="31.5" customHeight="1" x14ac:dyDescent="0.2">
      <c r="A8" s="30" t="s">
        <v>22</v>
      </c>
      <c r="B8" s="31" t="e">
        <f>VLOOKUP($E$6,'DATOS %'!N11:AA113,4,FALSE)</f>
        <v>#N/A</v>
      </c>
      <c r="C8" s="32" t="s">
        <v>23</v>
      </c>
      <c r="D8" s="33" t="e">
        <f>VLOOKUP($E$6,'DATOS %'!N11:AA113,5,FALSE)</f>
        <v>#N/A</v>
      </c>
      <c r="E8" s="27"/>
      <c r="F8" s="30" t="s">
        <v>22</v>
      </c>
      <c r="G8" s="31" t="e">
        <f>VLOOKUP($J$6,'DATOS %'!B47:I79,4,FALSE)</f>
        <v>#N/A</v>
      </c>
      <c r="H8" s="32" t="s">
        <v>23</v>
      </c>
      <c r="I8" s="297" t="e">
        <f>VLOOKUP($J$6,'DATOS %'!B47:I79,5,FALSE)</f>
        <v>#N/A</v>
      </c>
      <c r="J8" s="29"/>
    </row>
    <row r="9" spans="1:16" ht="31.5" customHeight="1" x14ac:dyDescent="0.2">
      <c r="A9" s="34" t="s">
        <v>24</v>
      </c>
      <c r="B9" s="31" t="e">
        <f>VLOOKUP($E$6,'DATOS %'!N11:AA113,6,FALSE)</f>
        <v>#N/A</v>
      </c>
      <c r="C9" s="35" t="s">
        <v>15</v>
      </c>
      <c r="D9" s="36" t="e">
        <f>VLOOKUP($E$6,'DATOS %'!N11:AA113,7,FALSE)</f>
        <v>#N/A</v>
      </c>
      <c r="F9" s="1252" t="s">
        <v>62</v>
      </c>
      <c r="G9" s="1253"/>
      <c r="H9" s="31" t="e">
        <f>(VLOOKUP($J$6,'DATOS %'!B47:I79,6,FALSE))/1000</f>
        <v>#N/A</v>
      </c>
      <c r="I9" s="33" t="s">
        <v>1</v>
      </c>
      <c r="J9" s="29"/>
      <c r="K9" s="208"/>
    </row>
    <row r="10" spans="1:16" s="38" customFormat="1" ht="31.5" customHeight="1" x14ac:dyDescent="0.25">
      <c r="A10" s="1252" t="s">
        <v>63</v>
      </c>
      <c r="B10" s="1253"/>
      <c r="C10" s="926" t="e">
        <f>(VLOOKUP($E$6,'DATOS %'!N11:AA113,8,FALSE))/1000</f>
        <v>#N/A</v>
      </c>
      <c r="D10" s="33" t="s">
        <v>1</v>
      </c>
      <c r="F10" s="1252" t="s">
        <v>64</v>
      </c>
      <c r="G10" s="1253"/>
      <c r="H10" s="213" t="e">
        <f>VLOOKUP($J$6,'DATOS %'!B47:I79,7,FALSE)</f>
        <v>#N/A</v>
      </c>
      <c r="I10" s="33" t="s">
        <v>76</v>
      </c>
      <c r="J10" s="39"/>
    </row>
    <row r="11" spans="1:16" s="38" customFormat="1" ht="31.5" customHeight="1" thickBot="1" x14ac:dyDescent="0.3">
      <c r="A11" s="1252" t="s">
        <v>65</v>
      </c>
      <c r="B11" s="1253"/>
      <c r="C11" s="31" t="e">
        <f>VLOOKUP($E$6,'DATOS %'!N11:AA113,9,FALSE)</f>
        <v>#N/A</v>
      </c>
      <c r="D11" s="33" t="s">
        <v>3</v>
      </c>
      <c r="E11" s="40"/>
      <c r="F11" s="1271" t="s">
        <v>66</v>
      </c>
      <c r="G11" s="1272"/>
      <c r="H11" s="41" t="e">
        <f>VLOOKUP($J$6,'DATOS %'!B47:I79,8,FALSE)</f>
        <v>#N/A</v>
      </c>
      <c r="I11" s="45" t="s">
        <v>76</v>
      </c>
      <c r="J11" s="39"/>
    </row>
    <row r="12" spans="1:16" s="38" customFormat="1" ht="31.5" customHeight="1" thickBot="1" x14ac:dyDescent="0.3">
      <c r="A12" s="1252" t="s">
        <v>67</v>
      </c>
      <c r="B12" s="1253"/>
      <c r="C12" s="31" t="e">
        <f>VLOOKUP($E$6,'DATOS %'!N11:AA113,10,FALSE)</f>
        <v>#N/A</v>
      </c>
      <c r="D12" s="33" t="s">
        <v>3</v>
      </c>
      <c r="E12" s="39"/>
      <c r="F12" s="39"/>
      <c r="G12" s="39"/>
      <c r="H12" s="39"/>
    </row>
    <row r="13" spans="1:16" s="38" customFormat="1" ht="31.5" customHeight="1" thickBot="1" x14ac:dyDescent="0.3">
      <c r="A13" s="1252" t="s">
        <v>68</v>
      </c>
      <c r="B13" s="1253"/>
      <c r="C13" s="213" t="e">
        <f>VLOOKUP($E$6,'DATOS %'!N11:AA113,11,FALSE)</f>
        <v>#N/A</v>
      </c>
      <c r="D13" s="33" t="s">
        <v>76</v>
      </c>
      <c r="E13" s="39"/>
      <c r="F13" s="1254" t="s">
        <v>559</v>
      </c>
      <c r="G13" s="1255"/>
      <c r="H13" s="1255"/>
      <c r="I13" s="1256"/>
      <c r="J13" s="5"/>
    </row>
    <row r="14" spans="1:16" s="38" customFormat="1" ht="31.5" customHeight="1" x14ac:dyDescent="0.2">
      <c r="A14" s="1252" t="s">
        <v>305</v>
      </c>
      <c r="B14" s="1253"/>
      <c r="C14" s="31" t="e">
        <f>VLOOKUP($E$6,'DATOS %'!N11:AA113,12,FALSE)</f>
        <v>#N/A</v>
      </c>
      <c r="D14" s="33" t="s">
        <v>76</v>
      </c>
      <c r="E14" s="39"/>
      <c r="F14" s="23" t="s">
        <v>10</v>
      </c>
      <c r="G14" s="24" t="e">
        <f>VLOOKUP($J$13,'DATOS %'!$V$119:$Y$126,2,FALSE)</f>
        <v>#N/A</v>
      </c>
      <c r="H14" s="28" t="s">
        <v>22</v>
      </c>
      <c r="I14" s="24" t="e">
        <f>VLOOKUP($J$13,'DATOS %'!$V$119:$Z$126,3,FALSE)</f>
        <v>#N/A</v>
      </c>
      <c r="J14" s="42"/>
      <c r="K14" s="8"/>
    </row>
    <row r="15" spans="1:16" ht="31.5" customHeight="1" thickBot="1" x14ac:dyDescent="0.25">
      <c r="A15" s="1277" t="s">
        <v>69</v>
      </c>
      <c r="B15" s="1278"/>
      <c r="C15" s="31" t="e">
        <f>VLOOKUP($E$6,'DATOS %'!N11:AA113,13,FALSE)</f>
        <v>#N/A</v>
      </c>
      <c r="D15" s="33" t="s">
        <v>76</v>
      </c>
      <c r="E15" s="29"/>
      <c r="F15" s="43" t="s">
        <v>61</v>
      </c>
      <c r="G15" s="41" t="e">
        <f>VLOOKUP($J$13,'DATOS %'!$V$119:$Y$126,4,FALSE)</f>
        <v>#N/A</v>
      </c>
      <c r="H15" s="41" t="s">
        <v>1</v>
      </c>
      <c r="I15" s="243" t="s">
        <v>210</v>
      </c>
      <c r="J15" s="45" t="e">
        <f>VLOOKUP($J$13,'DATOS %'!$V$119:$Z$126,5,FALSE)</f>
        <v>#N/A</v>
      </c>
      <c r="K15" s="22"/>
    </row>
    <row r="16" spans="1:16" ht="30.95" customHeight="1" thickBot="1" x14ac:dyDescent="0.25">
      <c r="A16" s="1279" t="s">
        <v>210</v>
      </c>
      <c r="B16" s="1280"/>
      <c r="C16" s="1281" t="e">
        <f>VLOOKUP($E$6,'DATOS %'!N11:AA113,14,FALSE)</f>
        <v>#N/A</v>
      </c>
      <c r="D16" s="1282"/>
      <c r="E16" s="29"/>
      <c r="F16" s="8"/>
      <c r="G16" s="8"/>
      <c r="H16" s="8"/>
      <c r="I16" s="8"/>
      <c r="J16" s="8"/>
    </row>
    <row r="17" spans="1:11" s="22" customFormat="1" ht="30.95" customHeight="1" thickBot="1" x14ac:dyDescent="0.25">
      <c r="A17" s="29"/>
      <c r="B17" s="29"/>
      <c r="C17" s="29"/>
      <c r="D17" s="29"/>
      <c r="E17" s="29"/>
      <c r="F17" s="29"/>
      <c r="G17" s="29"/>
      <c r="H17" s="29"/>
      <c r="I17" s="29"/>
      <c r="J17" s="29"/>
      <c r="K17" s="8"/>
    </row>
    <row r="18" spans="1:11" ht="31.5" customHeight="1" thickBot="1" x14ac:dyDescent="0.25">
      <c r="A18" s="1331" t="s">
        <v>26</v>
      </c>
      <c r="B18" s="1332"/>
      <c r="C18" s="1332"/>
      <c r="D18" s="1332"/>
      <c r="E18" s="1332"/>
      <c r="F18" s="1332"/>
      <c r="G18" s="1332"/>
      <c r="H18" s="1332"/>
      <c r="I18" s="1332"/>
      <c r="J18" s="1333"/>
    </row>
    <row r="19" spans="1:11" ht="46.5" customHeight="1" thickBot="1" x14ac:dyDescent="0.25">
      <c r="A19" s="407" t="s">
        <v>10</v>
      </c>
      <c r="B19" s="101" t="e">
        <f>VLOOKUP(J19,'DATOS %'!J174:W180,2,FALSE)</f>
        <v>#N/A</v>
      </c>
      <c r="C19" s="95" t="s">
        <v>7</v>
      </c>
      <c r="D19" s="408" t="e">
        <f>VLOOKUP(J19,'DATOS %'!J174:W180,3,FALSE)</f>
        <v>#N/A</v>
      </c>
      <c r="E19" s="409" t="s">
        <v>24</v>
      </c>
      <c r="F19" s="1286" t="e">
        <f>VLOOKUP(J19,'DATOS %'!J174:W180,5,FALSE)</f>
        <v>#N/A</v>
      </c>
      <c r="G19" s="1287"/>
      <c r="H19" s="95" t="s">
        <v>25</v>
      </c>
      <c r="I19" s="212" t="e">
        <f>VLOOKUP(J19,'DATOS %'!J174:W180,4,FALSE)</f>
        <v>#N/A</v>
      </c>
      <c r="J19" s="1374"/>
    </row>
    <row r="20" spans="1:11" ht="31.5" customHeight="1" thickBot="1" x14ac:dyDescent="0.25">
      <c r="A20" s="1290" t="s">
        <v>316</v>
      </c>
      <c r="B20" s="1291"/>
      <c r="C20" s="94" t="s">
        <v>27</v>
      </c>
      <c r="D20" s="101" t="e">
        <f>VLOOKUP(J19,'DATOS %'!J174:W180,6,FALSE)</f>
        <v>#N/A</v>
      </c>
      <c r="E20" s="1292" t="s">
        <v>307</v>
      </c>
      <c r="F20" s="1293"/>
      <c r="G20" s="101" t="e">
        <f>VLOOKUP(J19,'DATOS %'!J174:W180,7,FALSE)</f>
        <v>#N/A</v>
      </c>
      <c r="H20" s="95" t="s">
        <v>9</v>
      </c>
      <c r="I20" s="214" t="e">
        <f>VLOOKUP(J19,'DATOS %'!J174:W180,8,FALSE)</f>
        <v>#N/A</v>
      </c>
      <c r="J20" s="1289"/>
    </row>
    <row r="21" spans="1:11" s="46" customFormat="1" ht="15" customHeight="1" thickBot="1" x14ac:dyDescent="0.25">
      <c r="A21" s="47"/>
      <c r="B21" s="47"/>
      <c r="C21" s="47"/>
      <c r="D21" s="47"/>
      <c r="E21" s="47"/>
      <c r="F21" s="47"/>
      <c r="G21" s="47"/>
      <c r="H21" s="47"/>
      <c r="I21" s="47"/>
      <c r="J21" s="47"/>
      <c r="K21" s="8"/>
    </row>
    <row r="22" spans="1:11" s="48" customFormat="1" ht="31.5" customHeight="1" thickBot="1" x14ac:dyDescent="0.25">
      <c r="A22" s="1294" t="s">
        <v>28</v>
      </c>
      <c r="B22" s="1295"/>
      <c r="C22" s="1295"/>
      <c r="D22" s="1295"/>
      <c r="E22" s="1295"/>
      <c r="F22" s="1295"/>
      <c r="G22" s="1295"/>
      <c r="H22" s="1295"/>
      <c r="I22" s="1295"/>
      <c r="J22" s="1296"/>
      <c r="K22" s="47"/>
    </row>
    <row r="23" spans="1:11" s="47" customFormat="1" ht="2.25" customHeight="1" thickBot="1" x14ac:dyDescent="0.25">
      <c r="A23" s="49"/>
      <c r="B23" s="50"/>
      <c r="C23" s="50"/>
      <c r="D23" s="50"/>
      <c r="E23" s="50"/>
      <c r="F23" s="50"/>
      <c r="G23" s="50"/>
      <c r="H23" s="50"/>
      <c r="I23" s="50"/>
      <c r="J23" s="51"/>
      <c r="K23" s="48"/>
    </row>
    <row r="24" spans="1:11" s="48" customFormat="1" ht="31.5" customHeight="1" thickBot="1" x14ac:dyDescent="0.25">
      <c r="A24" s="52" t="s">
        <v>29</v>
      </c>
      <c r="B24" s="916"/>
      <c r="C24" s="1297" t="s">
        <v>27</v>
      </c>
      <c r="D24" s="1298"/>
      <c r="E24" s="1"/>
      <c r="F24" s="1299" t="s">
        <v>307</v>
      </c>
      <c r="G24" s="1300"/>
      <c r="H24" s="2"/>
      <c r="I24" s="224" t="s">
        <v>9</v>
      </c>
      <c r="J24" s="215"/>
      <c r="K24" s="46"/>
    </row>
    <row r="25" spans="1:11" s="46" customFormat="1" ht="15" customHeight="1" thickBot="1" x14ac:dyDescent="0.25">
      <c r="A25" s="47"/>
      <c r="B25" s="47"/>
      <c r="C25" s="47"/>
      <c r="D25" s="47"/>
      <c r="E25" s="47"/>
      <c r="F25" s="47"/>
      <c r="G25" s="47"/>
      <c r="H25" s="6"/>
      <c r="I25" s="47"/>
      <c r="K25" s="48"/>
    </row>
    <row r="26" spans="1:11" s="48" customFormat="1" ht="29.25" customHeight="1" thickBot="1" x14ac:dyDescent="0.25">
      <c r="A26" s="115" t="s">
        <v>129</v>
      </c>
      <c r="B26" s="105">
        <v>4</v>
      </c>
      <c r="C26" s="1301" t="s">
        <v>30</v>
      </c>
      <c r="D26" s="1302"/>
      <c r="E26" s="1302"/>
      <c r="F26" s="1303"/>
      <c r="G26" s="1304" t="s">
        <v>211</v>
      </c>
      <c r="H26" s="1305"/>
    </row>
    <row r="27" spans="1:11" s="48" customFormat="1" ht="31.5" customHeight="1" thickBot="1" x14ac:dyDescent="0.25">
      <c r="A27" s="1273" t="s">
        <v>31</v>
      </c>
      <c r="B27" s="1274"/>
      <c r="C27" s="525">
        <v>1</v>
      </c>
      <c r="D27" s="525">
        <v>2</v>
      </c>
      <c r="E27" s="525">
        <v>3</v>
      </c>
      <c r="F27" s="129">
        <v>4</v>
      </c>
      <c r="G27" s="1275" t="e">
        <f>VLOOKUP($H$25,'DATOS %'!$V$161:$AA$165,2,FALSE)</f>
        <v>#N/A</v>
      </c>
      <c r="H27" s="1276"/>
    </row>
    <row r="28" spans="1:11" s="48" customFormat="1" ht="31.5" customHeight="1" x14ac:dyDescent="0.2">
      <c r="A28" s="1310" t="s">
        <v>32</v>
      </c>
      <c r="B28" s="141" t="s">
        <v>0</v>
      </c>
      <c r="C28" s="142"/>
      <c r="D28" s="142"/>
      <c r="E28" s="142"/>
      <c r="F28" s="143"/>
      <c r="G28" s="47"/>
      <c r="H28" s="47"/>
      <c r="I28" s="47"/>
      <c r="J28" s="47"/>
    </row>
    <row r="29" spans="1:11" s="48" customFormat="1" ht="31.5" customHeight="1" x14ac:dyDescent="0.2">
      <c r="A29" s="1311"/>
      <c r="B29" s="104" t="s">
        <v>2</v>
      </c>
      <c r="C29" s="127"/>
      <c r="D29" s="127"/>
      <c r="E29" s="127"/>
      <c r="F29" s="128"/>
      <c r="G29" s="47"/>
      <c r="H29" s="47"/>
      <c r="I29" s="47"/>
      <c r="J29" s="47"/>
    </row>
    <row r="30" spans="1:11" s="48" customFormat="1" ht="31.5" customHeight="1" x14ac:dyDescent="0.2">
      <c r="A30" s="1311"/>
      <c r="B30" s="104" t="s">
        <v>2</v>
      </c>
      <c r="C30" s="127"/>
      <c r="D30" s="127"/>
      <c r="E30" s="127"/>
      <c r="F30" s="128"/>
      <c r="G30" s="47"/>
      <c r="H30" s="47"/>
      <c r="I30" s="47"/>
      <c r="J30" s="47"/>
    </row>
    <row r="31" spans="1:11" s="48" customFormat="1" ht="31.5" customHeight="1" thickBot="1" x14ac:dyDescent="0.25">
      <c r="A31" s="1312"/>
      <c r="B31" s="53" t="s">
        <v>0</v>
      </c>
      <c r="C31" s="144"/>
      <c r="D31" s="144"/>
      <c r="E31" s="144"/>
      <c r="F31" s="145"/>
      <c r="G31" s="47"/>
      <c r="H31" s="47"/>
      <c r="I31" s="47"/>
      <c r="J31" s="47"/>
      <c r="K31" s="46"/>
    </row>
    <row r="32" spans="1:11" s="46" customFormat="1" ht="15" customHeight="1" thickBot="1" x14ac:dyDescent="0.25">
      <c r="A32" s="47"/>
      <c r="B32" s="47"/>
      <c r="C32" s="47"/>
      <c r="D32" s="47"/>
      <c r="E32" s="47"/>
      <c r="F32" s="47"/>
      <c r="G32" s="47"/>
      <c r="H32" s="47"/>
      <c r="I32" s="47"/>
      <c r="J32" s="47"/>
      <c r="K32" s="48"/>
    </row>
    <row r="33" spans="1:11" s="48" customFormat="1" ht="31.5" customHeight="1" thickBot="1" x14ac:dyDescent="0.25">
      <c r="A33" s="54" t="s">
        <v>33</v>
      </c>
      <c r="B33" s="916"/>
      <c r="C33" s="1297" t="s">
        <v>27</v>
      </c>
      <c r="D33" s="1298"/>
      <c r="E33" s="1"/>
      <c r="F33" s="1299" t="s">
        <v>307</v>
      </c>
      <c r="G33" s="1300"/>
      <c r="H33" s="2"/>
      <c r="I33" s="225" t="s">
        <v>9</v>
      </c>
      <c r="J33" s="3"/>
      <c r="K33" s="46"/>
    </row>
    <row r="34" spans="1:11" s="46" customFormat="1" ht="12" customHeight="1" x14ac:dyDescent="0.2">
      <c r="A34" s="55"/>
      <c r="B34" s="55"/>
      <c r="C34" s="55"/>
      <c r="D34" s="55"/>
      <c r="E34" s="55"/>
      <c r="F34" s="55"/>
      <c r="G34" s="55"/>
      <c r="H34" s="55"/>
      <c r="I34" s="55"/>
      <c r="J34" s="55"/>
      <c r="K34" s="48"/>
    </row>
    <row r="35" spans="1:11" s="48" customFormat="1" ht="15" customHeight="1" thickBot="1" x14ac:dyDescent="0.25">
      <c r="A35" s="56"/>
      <c r="B35" s="56"/>
      <c r="C35" s="56"/>
      <c r="D35" s="56"/>
      <c r="E35" s="56"/>
      <c r="F35" s="56"/>
      <c r="G35" s="56"/>
      <c r="H35" s="56"/>
      <c r="I35" s="56"/>
      <c r="J35" s="56"/>
    </row>
    <row r="36" spans="1:11" s="48" customFormat="1" ht="32.25" customHeight="1" thickBot="1" x14ac:dyDescent="0.25">
      <c r="A36" s="1294" t="s">
        <v>34</v>
      </c>
      <c r="B36" s="1295"/>
      <c r="C36" s="1295"/>
      <c r="D36" s="1295"/>
      <c r="E36" s="1295"/>
      <c r="F36" s="1295"/>
      <c r="G36" s="1295"/>
      <c r="H36" s="1295"/>
      <c r="I36" s="1295"/>
      <c r="J36" s="1296"/>
    </row>
    <row r="37" spans="1:11" s="48" customFormat="1" ht="3.75" customHeight="1" thickBot="1" x14ac:dyDescent="0.25">
      <c r="A37" s="55"/>
      <c r="B37" s="47"/>
      <c r="C37" s="47"/>
      <c r="D37" s="47"/>
      <c r="E37" s="47"/>
      <c r="F37" s="47"/>
      <c r="G37" s="47"/>
      <c r="H37" s="47"/>
      <c r="I37" s="47"/>
      <c r="J37" s="55"/>
    </row>
    <row r="38" spans="1:11" s="48" customFormat="1" ht="31.5" customHeight="1" thickBot="1" x14ac:dyDescent="0.25">
      <c r="A38" s="47"/>
      <c r="B38" s="1316" t="s">
        <v>35</v>
      </c>
      <c r="C38" s="1317"/>
      <c r="D38" s="1317"/>
      <c r="E38" s="1317"/>
      <c r="F38" s="1318"/>
      <c r="G38" s="47"/>
      <c r="H38" s="1319" t="s">
        <v>236</v>
      </c>
      <c r="I38" s="1320"/>
      <c r="J38" s="1321"/>
    </row>
    <row r="39" spans="1:11" s="48" customFormat="1" ht="31.5" customHeight="1" thickBot="1" x14ac:dyDescent="0.25">
      <c r="A39" s="47"/>
      <c r="B39" s="57" t="s">
        <v>31</v>
      </c>
      <c r="C39" s="203">
        <v>1</v>
      </c>
      <c r="D39" s="141">
        <v>2</v>
      </c>
      <c r="E39" s="141">
        <v>3</v>
      </c>
      <c r="F39" s="204">
        <v>4</v>
      </c>
      <c r="G39" s="47"/>
      <c r="H39" s="1322"/>
      <c r="I39" s="1323"/>
      <c r="J39" s="1324"/>
    </row>
    <row r="40" spans="1:11" s="48" customFormat="1" ht="31.5" customHeight="1" x14ac:dyDescent="0.2">
      <c r="A40" s="58"/>
      <c r="B40" s="59"/>
      <c r="C40" s="121" t="e">
        <f>+AVERAGE(C28,C31)</f>
        <v>#DIV/0!</v>
      </c>
      <c r="D40" s="122" t="e">
        <f>+AVERAGE(D28,D31)</f>
        <v>#DIV/0!</v>
      </c>
      <c r="E40" s="122" t="e">
        <f>+AVERAGE(E28,E31)</f>
        <v>#DIV/0!</v>
      </c>
      <c r="F40" s="205" t="e">
        <f>+AVERAGE(F28,F31)</f>
        <v>#DIV/0!</v>
      </c>
      <c r="G40" s="47"/>
      <c r="H40" s="1325"/>
      <c r="I40" s="1326"/>
      <c r="J40" s="1327"/>
    </row>
    <row r="41" spans="1:11" s="48" customFormat="1" ht="31.5" customHeight="1" x14ac:dyDescent="0.2">
      <c r="A41" s="58"/>
      <c r="B41" s="60"/>
      <c r="C41" s="123" t="e">
        <f>+AVERAGE(C29:C30)</f>
        <v>#DIV/0!</v>
      </c>
      <c r="D41" s="61" t="e">
        <f>+AVERAGE(D29:D30)</f>
        <v>#DIV/0!</v>
      </c>
      <c r="E41" s="61" t="e">
        <f>+AVERAGE(E29:E30)</f>
        <v>#DIV/0!</v>
      </c>
      <c r="F41" s="206" t="e">
        <f>+AVERAGE(F29:F30)</f>
        <v>#DIV/0!</v>
      </c>
      <c r="G41" s="47"/>
      <c r="H41" s="1325"/>
      <c r="I41" s="1326"/>
      <c r="J41" s="1327"/>
    </row>
    <row r="42" spans="1:11" s="48" customFormat="1" ht="31.5" customHeight="1" thickBot="1" x14ac:dyDescent="0.25">
      <c r="A42" s="58"/>
      <c r="B42" s="62"/>
      <c r="C42" s="124" t="e">
        <f>+C41-C40</f>
        <v>#DIV/0!</v>
      </c>
      <c r="D42" s="125" t="e">
        <f>+D41-D40</f>
        <v>#DIV/0!</v>
      </c>
      <c r="E42" s="125" t="e">
        <f>+E41-E40</f>
        <v>#DIV/0!</v>
      </c>
      <c r="F42" s="207" t="e">
        <f>+F41-F40</f>
        <v>#DIV/0!</v>
      </c>
      <c r="G42" s="47"/>
      <c r="H42" s="1328"/>
      <c r="I42" s="1329"/>
      <c r="J42" s="1330"/>
    </row>
    <row r="43" spans="1:11" s="48" customFormat="1" ht="31.5" customHeight="1" thickBot="1" x14ac:dyDescent="0.25">
      <c r="A43" s="47"/>
      <c r="B43" s="63" t="s">
        <v>36</v>
      </c>
      <c r="C43" s="286" t="e">
        <f>+AVERAGE(C42:F42)</f>
        <v>#DIV/0!</v>
      </c>
      <c r="D43" s="47"/>
      <c r="E43" s="47"/>
      <c r="F43" s="47"/>
      <c r="G43" s="47"/>
      <c r="H43" s="47"/>
      <c r="I43" s="47"/>
      <c r="J43" s="47"/>
    </row>
    <row r="44" spans="1:11" s="48" customFormat="1" ht="31.5" customHeight="1" thickBot="1" x14ac:dyDescent="0.25">
      <c r="A44" s="47"/>
      <c r="B44" s="64" t="s">
        <v>77</v>
      </c>
      <c r="C44" s="287" t="e">
        <f>+STDEV(C42:F42)</f>
        <v>#DIV/0!</v>
      </c>
      <c r="D44" s="47"/>
      <c r="E44" s="47"/>
      <c r="F44" s="47"/>
      <c r="G44" s="47"/>
      <c r="H44" s="47"/>
      <c r="I44" s="47"/>
      <c r="J44" s="47"/>
      <c r="K44" s="46"/>
    </row>
    <row r="45" spans="1:11" s="46" customFormat="1" ht="15" customHeight="1" thickBot="1" x14ac:dyDescent="0.25">
      <c r="A45" s="47"/>
      <c r="B45" s="47"/>
      <c r="C45" s="47"/>
      <c r="D45" s="47"/>
      <c r="E45" s="47"/>
      <c r="F45" s="47"/>
      <c r="G45" s="65"/>
      <c r="H45" s="47"/>
      <c r="I45" s="47"/>
      <c r="J45" s="47"/>
      <c r="K45" s="48"/>
    </row>
    <row r="46" spans="1:11" s="48" customFormat="1" ht="31.5" customHeight="1" thickBot="1" x14ac:dyDescent="0.25">
      <c r="A46" s="1331" t="s">
        <v>37</v>
      </c>
      <c r="B46" s="1332"/>
      <c r="C46" s="1284"/>
      <c r="D46" s="1284"/>
      <c r="E46" s="1284"/>
      <c r="F46" s="1332"/>
      <c r="G46" s="1332"/>
      <c r="H46" s="1332"/>
      <c r="I46" s="1332"/>
      <c r="J46" s="1333"/>
    </row>
    <row r="47" spans="1:11" s="48" customFormat="1" ht="31.5" customHeight="1" thickBot="1" x14ac:dyDescent="0.25">
      <c r="A47" s="1375" t="s">
        <v>321</v>
      </c>
      <c r="B47" s="1376"/>
      <c r="C47" s="1338" t="s">
        <v>38</v>
      </c>
      <c r="D47" s="1339"/>
      <c r="E47" s="1340"/>
      <c r="F47" s="47"/>
      <c r="G47" s="47"/>
      <c r="H47" s="47"/>
      <c r="I47" s="47"/>
      <c r="J47" s="47"/>
    </row>
    <row r="48" spans="1:11" s="48" customFormat="1" ht="36.75" customHeight="1" thickBot="1" x14ac:dyDescent="0.25">
      <c r="A48" s="1377"/>
      <c r="B48" s="1378"/>
      <c r="C48" s="82" t="s">
        <v>27</v>
      </c>
      <c r="D48" s="93" t="s">
        <v>307</v>
      </c>
      <c r="E48" s="83" t="s">
        <v>9</v>
      </c>
      <c r="G48" s="1341" t="s">
        <v>70</v>
      </c>
      <c r="H48" s="1342"/>
      <c r="I48" s="102" t="e">
        <f>+(0.34848*E50-0.009*D50*EXP(0.061*C50))/(273.15+C50)</f>
        <v>#DIV/0!</v>
      </c>
      <c r="J48" s="103" t="s">
        <v>73</v>
      </c>
    </row>
    <row r="49" spans="1:21" s="48" customFormat="1" ht="33" customHeight="1" thickBot="1" x14ac:dyDescent="0.25">
      <c r="A49" s="1306" t="s">
        <v>39</v>
      </c>
      <c r="B49" s="1307"/>
      <c r="C49" s="90" t="e">
        <f>+AVERAGE(E33,E24)</f>
        <v>#DIV/0!</v>
      </c>
      <c r="D49" s="91" t="e">
        <f>+AVERAGE(H33,H24)</f>
        <v>#DIV/0!</v>
      </c>
      <c r="E49" s="92" t="e">
        <f>+AVERAGE(J33,J24)</f>
        <v>#DIV/0!</v>
      </c>
      <c r="G49" s="1308" t="s">
        <v>71</v>
      </c>
      <c r="H49" s="1309"/>
      <c r="I49" s="422" t="e">
        <f>I48*((0.0001)^2+(0.001*I20/2)^2+(-0.0034*D20/2)^2+(-0.01*G20/2)^2)^0.5</f>
        <v>#DIV/0!</v>
      </c>
      <c r="J49" s="66" t="s">
        <v>73</v>
      </c>
    </row>
    <row r="50" spans="1:21" s="48" customFormat="1" ht="36.75" customHeight="1" thickBot="1" x14ac:dyDescent="0.25">
      <c r="A50" s="1343" t="s">
        <v>322</v>
      </c>
      <c r="B50" s="1344"/>
      <c r="C50" s="84" t="e">
        <f>C49+(VLOOKUP(J19,'DATOS %'!J174:W180,9,FALSE))*C49+(VLOOKUP(J19,'DATOS %'!J174:W180,10,FALSE))</f>
        <v>#DIV/0!</v>
      </c>
      <c r="D50" s="85" t="e">
        <f>D49+(VLOOKUP(J19,'DATOS %'!J174:W180,11,FALSE))*D49+(VLOOKUP(J19,'DATOS %'!J174:W180,12,FALSE))</f>
        <v>#DIV/0!</v>
      </c>
      <c r="E50" s="86" t="e">
        <f>E49+(VLOOKUP(J19,'DATOS %'!J174:W180,13,FALSE))*E49+(VLOOKUP(J19,'DATOS %'!J174:W180,14,FALSE))</f>
        <v>#DIV/0!</v>
      </c>
      <c r="G50" s="1341" t="s">
        <v>72</v>
      </c>
      <c r="H50" s="1342"/>
      <c r="I50" s="67">
        <v>1.2</v>
      </c>
      <c r="J50" s="66" t="s">
        <v>73</v>
      </c>
    </row>
    <row r="51" spans="1:21" s="46" customFormat="1" ht="15" customHeight="1" thickBot="1" x14ac:dyDescent="0.25">
      <c r="A51" s="47"/>
      <c r="B51" s="47"/>
      <c r="C51" s="47"/>
      <c r="D51" s="47"/>
      <c r="E51" s="47"/>
      <c r="F51" s="47"/>
      <c r="G51" s="47"/>
      <c r="H51" s="47"/>
      <c r="I51" s="47"/>
      <c r="J51" s="47"/>
      <c r="K51" s="48"/>
    </row>
    <row r="52" spans="1:21" s="48" customFormat="1" ht="31.5" customHeight="1" thickBot="1" x14ac:dyDescent="0.25">
      <c r="A52" s="1331" t="s">
        <v>40</v>
      </c>
      <c r="B52" s="1332"/>
      <c r="C52" s="1332"/>
      <c r="D52" s="1332"/>
      <c r="E52" s="1332"/>
      <c r="F52" s="1332"/>
      <c r="G52" s="1332"/>
      <c r="H52" s="1332"/>
      <c r="I52" s="1332"/>
      <c r="J52" s="1333"/>
    </row>
    <row r="53" spans="1:21" s="48" customFormat="1" ht="31.5" customHeight="1" x14ac:dyDescent="0.35">
      <c r="A53" s="47"/>
      <c r="B53" s="68" t="s">
        <v>41</v>
      </c>
      <c r="C53" s="69"/>
      <c r="D53" s="1345" t="s">
        <v>74</v>
      </c>
      <c r="E53" s="1345"/>
      <c r="F53" s="70" t="s">
        <v>42</v>
      </c>
      <c r="G53" s="71" t="s">
        <v>43</v>
      </c>
      <c r="H53" s="1346" t="s">
        <v>44</v>
      </c>
      <c r="I53" s="1347"/>
      <c r="J53" s="47"/>
    </row>
    <row r="54" spans="1:21" s="48" customFormat="1" ht="31.5" customHeight="1" thickBot="1" x14ac:dyDescent="0.25">
      <c r="A54" s="47"/>
      <c r="B54" s="72" t="e">
        <f>+C43</f>
        <v>#DIV/0!</v>
      </c>
      <c r="C54" s="73" t="s">
        <v>1</v>
      </c>
      <c r="D54" s="74" t="e">
        <f>+C10+C11/1000</f>
        <v>#N/A</v>
      </c>
      <c r="E54" s="73" t="s">
        <v>1</v>
      </c>
      <c r="F54" s="939" t="e">
        <f>+(I48-I50)*(1/H10-1/C13)</f>
        <v>#DIV/0!</v>
      </c>
      <c r="G54" s="75"/>
      <c r="H54" s="938" t="e">
        <f>+(B54+D54*F54)*1000</f>
        <v>#DIV/0!</v>
      </c>
      <c r="I54" s="66" t="s">
        <v>3</v>
      </c>
      <c r="J54" s="47"/>
      <c r="K54" s="46"/>
    </row>
    <row r="55" spans="1:21" s="46" customFormat="1" ht="15" customHeight="1" x14ac:dyDescent="0.2">
      <c r="A55" s="47"/>
      <c r="B55" s="47"/>
      <c r="C55" s="47"/>
      <c r="D55" s="47"/>
      <c r="E55" s="47"/>
      <c r="F55" s="47"/>
      <c r="G55" s="47"/>
      <c r="H55" s="47"/>
      <c r="I55" s="47"/>
      <c r="J55" s="47"/>
      <c r="K55" s="48"/>
    </row>
    <row r="56" spans="1:21" s="48" customFormat="1" ht="31.5" customHeight="1" x14ac:dyDescent="0.2">
      <c r="A56" s="1348" t="s">
        <v>45</v>
      </c>
      <c r="B56" s="1349"/>
      <c r="C56" s="1349"/>
      <c r="D56" s="1349"/>
      <c r="E56" s="1349"/>
      <c r="F56" s="1349"/>
      <c r="G56" s="1349"/>
      <c r="H56" s="1349"/>
      <c r="I56" s="1349"/>
      <c r="J56" s="1349"/>
      <c r="K56" s="46"/>
    </row>
    <row r="57" spans="1:21" s="46" customFormat="1" ht="15" customHeight="1" thickBot="1" x14ac:dyDescent="0.25">
      <c r="A57" s="47"/>
      <c r="B57" s="47"/>
      <c r="C57" s="47"/>
      <c r="D57" s="47"/>
      <c r="E57" s="47"/>
      <c r="K57" s="48"/>
    </row>
    <row r="58" spans="1:21" s="48" customFormat="1" ht="31.5" customHeight="1" thickBot="1" x14ac:dyDescent="0.25">
      <c r="A58" s="1350" t="s">
        <v>38</v>
      </c>
      <c r="B58" s="1351"/>
      <c r="C58" s="1352" t="s">
        <v>46</v>
      </c>
      <c r="D58" s="1353"/>
      <c r="E58" s="1354" t="s">
        <v>238</v>
      </c>
      <c r="F58" s="1379"/>
      <c r="G58" s="1061" t="s">
        <v>553</v>
      </c>
      <c r="J58" s="114"/>
      <c r="L58" s="46"/>
      <c r="Q58" s="47"/>
      <c r="R58" s="47"/>
      <c r="S58" s="47"/>
      <c r="T58" s="47"/>
      <c r="U58" s="47"/>
    </row>
    <row r="59" spans="1:21" s="48" customFormat="1" ht="57.95" customHeight="1" thickBot="1" x14ac:dyDescent="0.25">
      <c r="A59" s="1024" t="s">
        <v>47</v>
      </c>
      <c r="B59" s="1025"/>
      <c r="C59" s="1026" t="e">
        <f>+C44/B26^0.5*1000</f>
        <v>#DIV/0!</v>
      </c>
      <c r="D59" s="1017" t="s">
        <v>3</v>
      </c>
      <c r="E59" s="1027" t="s">
        <v>240</v>
      </c>
      <c r="F59" s="139">
        <f>$B$26-1</f>
        <v>3</v>
      </c>
      <c r="G59" s="1111" t="e">
        <f>(C59/$G$70)^2</f>
        <v>#DIV/0!</v>
      </c>
      <c r="H59" s="47"/>
      <c r="K59" s="156">
        <v>0.3</v>
      </c>
      <c r="L59" s="157">
        <v>1.65</v>
      </c>
      <c r="M59" s="113"/>
    </row>
    <row r="60" spans="1:21" s="48" customFormat="1" ht="57.95" customHeight="1" thickBot="1" x14ac:dyDescent="0.25">
      <c r="A60" s="1019" t="s">
        <v>343</v>
      </c>
      <c r="B60" s="1020" t="s">
        <v>48</v>
      </c>
      <c r="C60" s="1021" t="e">
        <f>+C12/2</f>
        <v>#N/A</v>
      </c>
      <c r="D60" s="1022" t="s">
        <v>3</v>
      </c>
      <c r="E60" s="1023" t="s">
        <v>239</v>
      </c>
      <c r="F60" s="146" t="s">
        <v>265</v>
      </c>
      <c r="G60" s="1112"/>
      <c r="H60" s="1380" t="s">
        <v>241</v>
      </c>
      <c r="I60" s="1356"/>
      <c r="J60" s="1356"/>
      <c r="K60" s="1356"/>
      <c r="L60" s="1356"/>
      <c r="M60" s="1357"/>
    </row>
    <row r="61" spans="1:21" s="48" customFormat="1" ht="57.95" customHeight="1" thickBot="1" x14ac:dyDescent="0.25">
      <c r="A61" s="1028" t="s">
        <v>344</v>
      </c>
      <c r="B61" s="1029"/>
      <c r="C61" s="1030" t="e">
        <f>+C12/3^0.5</f>
        <v>#N/A</v>
      </c>
      <c r="D61" s="1031" t="s">
        <v>3</v>
      </c>
      <c r="E61" s="1032" t="s">
        <v>239</v>
      </c>
      <c r="F61" s="147" t="s">
        <v>265</v>
      </c>
      <c r="G61" s="1112"/>
      <c r="H61" s="132" t="s">
        <v>243</v>
      </c>
      <c r="I61" s="1016" t="e">
        <f>MAX(C59:C62,C66:C67,C68)</f>
        <v>#DIV/0!</v>
      </c>
      <c r="J61" s="151" t="e">
        <f>IF((I62)&lt;=(K59),"1,65","2")</f>
        <v>#DIV/0!</v>
      </c>
      <c r="K61" s="152" t="s">
        <v>242</v>
      </c>
      <c r="L61" s="153" t="s">
        <v>237</v>
      </c>
      <c r="M61" s="360" t="s">
        <v>328</v>
      </c>
    </row>
    <row r="62" spans="1:21" s="48" customFormat="1" ht="57.95" customHeight="1" thickBot="1" x14ac:dyDescent="0.3">
      <c r="A62" s="1024" t="s">
        <v>49</v>
      </c>
      <c r="B62" s="1035"/>
      <c r="C62" s="1036" t="e">
        <f>+SQRT(SUMSQ(C60:C61))</f>
        <v>#N/A</v>
      </c>
      <c r="D62" s="1017" t="s">
        <v>3</v>
      </c>
      <c r="E62" s="1037" t="s">
        <v>240</v>
      </c>
      <c r="F62" s="139">
        <v>200</v>
      </c>
      <c r="G62" s="1112" t="e">
        <f t="shared" ref="G62:G68" si="0">(C62/$G$70)^2</f>
        <v>#N/A</v>
      </c>
      <c r="H62" s="133" t="s">
        <v>244</v>
      </c>
      <c r="I62" s="150" t="e">
        <f>SQRT((C59)^2+(C66)^2+(C67)^2+(C68)^2)/I61</f>
        <v>#DIV/0!</v>
      </c>
      <c r="J62" s="126"/>
      <c r="K62" s="154" t="s">
        <v>242</v>
      </c>
      <c r="L62" s="155" t="s">
        <v>252</v>
      </c>
      <c r="M62" s="361" t="s">
        <v>329</v>
      </c>
    </row>
    <row r="63" spans="1:21" s="48" customFormat="1" ht="57.95" customHeight="1" x14ac:dyDescent="0.2">
      <c r="A63" s="1019" t="s">
        <v>345</v>
      </c>
      <c r="B63" s="1020"/>
      <c r="C63" s="1033" t="e">
        <f>+I49</f>
        <v>#DIV/0!</v>
      </c>
      <c r="D63" s="1021" t="s">
        <v>73</v>
      </c>
      <c r="E63" s="1034" t="s">
        <v>239</v>
      </c>
      <c r="F63" s="146" t="s">
        <v>265</v>
      </c>
      <c r="G63" s="1112"/>
      <c r="L63" s="46"/>
      <c r="T63" s="46"/>
      <c r="U63" s="46"/>
    </row>
    <row r="64" spans="1:21" s="48" customFormat="1" ht="57.95" customHeight="1" x14ac:dyDescent="0.2">
      <c r="A64" s="426" t="s">
        <v>50</v>
      </c>
      <c r="B64" s="1018"/>
      <c r="C64" s="425" t="e">
        <f>+H11/2</f>
        <v>#N/A</v>
      </c>
      <c r="D64" s="424" t="s">
        <v>73</v>
      </c>
      <c r="E64" s="423" t="s">
        <v>239</v>
      </c>
      <c r="F64" s="148" t="s">
        <v>265</v>
      </c>
      <c r="G64" s="1112"/>
      <c r="H64" s="130"/>
      <c r="J64" s="130"/>
      <c r="K64" s="130"/>
      <c r="L64" s="130"/>
      <c r="M64" s="130"/>
      <c r="Q64" s="47"/>
      <c r="R64" s="47"/>
      <c r="S64" s="47"/>
      <c r="T64" s="47"/>
      <c r="U64" s="47"/>
    </row>
    <row r="65" spans="1:21" s="48" customFormat="1" ht="57.95" customHeight="1" thickBot="1" x14ac:dyDescent="0.25">
      <c r="A65" s="1028" t="s">
        <v>346</v>
      </c>
      <c r="B65" s="1038"/>
      <c r="C65" s="1039" t="e">
        <f>+C14/2</f>
        <v>#N/A</v>
      </c>
      <c r="D65" s="1031" t="s">
        <v>73</v>
      </c>
      <c r="E65" s="1040" t="s">
        <v>239</v>
      </c>
      <c r="F65" s="147" t="s">
        <v>265</v>
      </c>
      <c r="G65" s="1112"/>
      <c r="H65" s="130"/>
      <c r="I65" s="130"/>
      <c r="J65" s="130"/>
      <c r="K65" s="130"/>
      <c r="L65" s="130"/>
      <c r="M65" s="130"/>
      <c r="Q65" s="46"/>
      <c r="R65" s="46"/>
      <c r="S65" s="46"/>
      <c r="T65" s="46"/>
      <c r="U65" s="46"/>
    </row>
    <row r="66" spans="1:21" s="48" customFormat="1" ht="57.95" customHeight="1" thickBot="1" x14ac:dyDescent="0.3">
      <c r="A66" s="1024" t="s">
        <v>347</v>
      </c>
      <c r="B66" s="1035"/>
      <c r="C66" s="1036" t="e">
        <f>+SQRT(ABS(((C10/1000+C11/1000000)*(C13-H10)/(C13*H10)*C63)^2+((C10/1000+C11/1000000)*(I48-I50))^2*C64^2/H10^4+(C10/1000+C11/1000000)^2*(I48-I50)*((I48-I50)-2*(C15-I50))*C65^2/C13^4))*1000000</f>
        <v>#N/A</v>
      </c>
      <c r="D66" s="1051" t="s">
        <v>3</v>
      </c>
      <c r="E66" s="1037" t="s">
        <v>240</v>
      </c>
      <c r="F66" s="139">
        <v>200</v>
      </c>
      <c r="G66" s="1112" t="e">
        <f t="shared" si="0"/>
        <v>#N/A</v>
      </c>
      <c r="H66" s="130"/>
      <c r="I66" s="1093" t="s">
        <v>554</v>
      </c>
      <c r="J66" s="1095" t="s">
        <v>556</v>
      </c>
      <c r="K66" s="1094" t="s">
        <v>555</v>
      </c>
      <c r="L66" s="130"/>
      <c r="M66" s="130"/>
      <c r="Q66" s="47"/>
      <c r="R66" s="47"/>
      <c r="S66" s="47"/>
      <c r="T66" s="47"/>
      <c r="U66" s="47"/>
    </row>
    <row r="67" spans="1:21" s="48" customFormat="1" ht="57.95" customHeight="1" thickBot="1" x14ac:dyDescent="0.3">
      <c r="A67" s="1047" t="s">
        <v>52</v>
      </c>
      <c r="B67" s="1048"/>
      <c r="C67" s="1049" t="e">
        <f>+(G15/2/3^0.5)*2^0.5*1000</f>
        <v>#N/A</v>
      </c>
      <c r="D67" s="1044" t="s">
        <v>3</v>
      </c>
      <c r="E67" s="1045" t="s">
        <v>239</v>
      </c>
      <c r="F67" s="1050">
        <v>200</v>
      </c>
      <c r="G67" s="1112" t="e">
        <f t="shared" si="0"/>
        <v>#N/A</v>
      </c>
      <c r="H67" s="130"/>
      <c r="I67" s="1096" t="e">
        <f>G70^4/((C59^4/F59)+(C62^4/F62)+(C66^4/F66)+(C67^4/F67)+(C68^4/F68))</f>
        <v>#DIV/0!</v>
      </c>
      <c r="J67" s="1097" t="e">
        <f>TINV(0.05,I67)</f>
        <v>#DIV/0!</v>
      </c>
      <c r="K67" s="1098" t="e">
        <f>1-TDIST(J67,I67,2)</f>
        <v>#DIV/0!</v>
      </c>
      <c r="L67" s="130"/>
      <c r="M67" s="130"/>
    </row>
    <row r="68" spans="1:21" s="46" customFormat="1" ht="65.25" customHeight="1" thickBot="1" x14ac:dyDescent="0.3">
      <c r="A68" s="1041" t="s">
        <v>552</v>
      </c>
      <c r="B68" s="1042"/>
      <c r="C68" s="1043">
        <f>0.01/SQRT(45)</f>
        <v>1.4907119849998597E-3</v>
      </c>
      <c r="D68" s="1044" t="s">
        <v>3</v>
      </c>
      <c r="E68" s="1045" t="s">
        <v>240</v>
      </c>
      <c r="F68" s="1046">
        <v>50</v>
      </c>
      <c r="G68" s="1113" t="e">
        <f t="shared" si="0"/>
        <v>#DIV/0!</v>
      </c>
      <c r="H68" s="130"/>
      <c r="I68" s="130"/>
      <c r="J68" s="130"/>
      <c r="K68" s="130"/>
      <c r="L68" s="130"/>
      <c r="M68" s="130"/>
      <c r="S68" s="48"/>
      <c r="T68" s="48"/>
      <c r="U68" s="48"/>
    </row>
    <row r="69" spans="1:21" s="46" customFormat="1" ht="65.25" customHeight="1" thickBot="1" x14ac:dyDescent="0.25">
      <c r="A69" s="130"/>
      <c r="B69" s="130"/>
      <c r="C69" s="130"/>
      <c r="D69" s="130"/>
      <c r="E69" s="130"/>
      <c r="F69" s="130"/>
      <c r="G69" s="1114" t="e">
        <f>SUM(G59,G62,G66,G67,G68)</f>
        <v>#DIV/0!</v>
      </c>
      <c r="H69" s="130"/>
      <c r="I69" s="130"/>
      <c r="J69" s="130"/>
      <c r="K69" s="130"/>
      <c r="L69" s="130"/>
      <c r="M69" s="130"/>
      <c r="S69" s="48"/>
      <c r="T69" s="48"/>
      <c r="U69" s="48"/>
    </row>
    <row r="70" spans="1:21" s="106" customFormat="1" ht="51.75" customHeight="1" thickBot="1" x14ac:dyDescent="0.3">
      <c r="D70" s="1306" t="s">
        <v>51</v>
      </c>
      <c r="E70" s="1307"/>
      <c r="F70" s="134"/>
      <c r="G70" s="140" t="e">
        <f>+SQRT(SUMSQ(C59,C62,C66,C67,C68))</f>
        <v>#DIV/0!</v>
      </c>
      <c r="H70" s="136" t="s">
        <v>3</v>
      </c>
      <c r="K70" s="130"/>
      <c r="L70" s="130"/>
      <c r="M70" s="130"/>
      <c r="S70" s="48"/>
      <c r="T70" s="48"/>
      <c r="U70" s="48"/>
    </row>
    <row r="71" spans="1:21" s="106" customFormat="1" ht="35.1" customHeight="1" thickBot="1" x14ac:dyDescent="0.25">
      <c r="D71" s="1306" t="s">
        <v>53</v>
      </c>
      <c r="E71" s="1307"/>
      <c r="F71" s="135"/>
      <c r="G71" s="140" t="e">
        <f>+G70*2</f>
        <v>#DIV/0!</v>
      </c>
      <c r="H71" s="137" t="s">
        <v>3</v>
      </c>
      <c r="K71" s="110"/>
      <c r="L71" s="107"/>
      <c r="O71" s="48"/>
      <c r="P71" s="48"/>
      <c r="Q71" s="48"/>
      <c r="R71" s="48"/>
      <c r="S71" s="48"/>
      <c r="T71" s="48"/>
      <c r="U71" s="48"/>
    </row>
    <row r="72" spans="1:21" s="106" customFormat="1" ht="33.75" customHeight="1" thickBot="1" x14ac:dyDescent="4.45">
      <c r="B72" s="1313" t="s">
        <v>54</v>
      </c>
      <c r="C72" s="1314"/>
      <c r="D72" s="1314"/>
      <c r="E72" s="1314"/>
      <c r="F72" s="1314"/>
      <c r="G72" s="1314"/>
      <c r="H72" s="1314"/>
      <c r="I72" s="1314"/>
      <c r="J72" s="1314"/>
      <c r="K72" s="1315"/>
      <c r="L72" s="117"/>
      <c r="O72" s="48"/>
      <c r="P72" s="48"/>
      <c r="Q72" s="48"/>
      <c r="R72" s="48"/>
      <c r="S72" s="48"/>
      <c r="T72" s="48"/>
      <c r="U72" s="48"/>
    </row>
    <row r="73" spans="1:21" s="106" customFormat="1" ht="35.1" customHeight="1" thickBot="1" x14ac:dyDescent="0.25">
      <c r="B73" s="1368" t="s">
        <v>255</v>
      </c>
      <c r="C73" s="1369"/>
      <c r="D73" s="1369"/>
      <c r="E73" s="1370"/>
      <c r="F73" s="79"/>
      <c r="G73" s="80"/>
      <c r="H73" s="1371"/>
      <c r="I73" s="1372"/>
      <c r="J73" s="1372"/>
      <c r="K73" s="1373"/>
      <c r="O73" s="48"/>
      <c r="P73" s="48"/>
      <c r="Q73" s="48"/>
      <c r="R73" s="48"/>
      <c r="S73" s="48"/>
      <c r="T73" s="48"/>
      <c r="U73" s="48"/>
    </row>
    <row r="74" spans="1:21" s="106" customFormat="1" ht="40.5" customHeight="1" x14ac:dyDescent="0.2">
      <c r="B74" s="118"/>
      <c r="C74" s="362" t="s">
        <v>348</v>
      </c>
      <c r="D74" s="119" t="s">
        <v>253</v>
      </c>
      <c r="E74" s="120"/>
      <c r="F74" s="1358"/>
      <c r="G74" s="1358"/>
      <c r="H74" s="1359" t="s">
        <v>266</v>
      </c>
      <c r="I74" s="1381" t="s">
        <v>254</v>
      </c>
      <c r="J74" s="1381"/>
      <c r="K74" s="1382"/>
      <c r="O74" s="48"/>
      <c r="P74" s="48"/>
      <c r="Q74" s="48"/>
      <c r="R74" s="48"/>
      <c r="S74" s="48"/>
      <c r="T74" s="48"/>
      <c r="U74" s="48"/>
    </row>
    <row r="75" spans="1:21" s="106" customFormat="1" ht="35.1" customHeight="1" x14ac:dyDescent="0.2">
      <c r="B75" s="927" t="e">
        <f>C10</f>
        <v>#N/A</v>
      </c>
      <c r="C75" s="77" t="e">
        <f>C11</f>
        <v>#N/A</v>
      </c>
      <c r="D75" s="78" t="e">
        <f>H54</f>
        <v>#DIV/0!</v>
      </c>
      <c r="E75" s="940" t="e">
        <f>B75+(C75/1000)+(D75/1000)</f>
        <v>#N/A</v>
      </c>
      <c r="F75" s="264" t="e">
        <f>E75*1000-B75*1000</f>
        <v>#N/A</v>
      </c>
      <c r="G75" s="61"/>
      <c r="H75" s="1360"/>
      <c r="I75" s="285" t="e">
        <f>G71</f>
        <v>#DIV/0!</v>
      </c>
      <c r="J75" s="1364"/>
      <c r="K75" s="1365"/>
      <c r="O75" s="48"/>
      <c r="P75" s="48"/>
      <c r="Q75" s="48"/>
      <c r="R75" s="48"/>
      <c r="S75" s="48"/>
      <c r="T75" s="48"/>
      <c r="U75" s="48"/>
    </row>
    <row r="76" spans="1:21" s="106" customFormat="1" ht="35.1" customHeight="1" thickBot="1" x14ac:dyDescent="0.25">
      <c r="B76" s="928" t="e">
        <f>B75</f>
        <v>#N/A</v>
      </c>
      <c r="C76" s="88" t="e">
        <f>C75</f>
        <v>#N/A</v>
      </c>
      <c r="D76" s="88" t="e">
        <f>D75</f>
        <v>#DIV/0!</v>
      </c>
      <c r="E76" s="262" t="e">
        <f>B76+(C76/1000)+(D76/1000)</f>
        <v>#N/A</v>
      </c>
      <c r="F76" s="283" t="e">
        <f>F75/1000</f>
        <v>#N/A</v>
      </c>
      <c r="G76" s="89"/>
      <c r="H76" s="1361"/>
      <c r="I76" s="290" t="e">
        <f>I75/1000</f>
        <v>#DIV/0!</v>
      </c>
      <c r="J76" s="1366"/>
      <c r="K76" s="1367"/>
      <c r="O76" s="48"/>
      <c r="P76" s="48"/>
      <c r="Q76" s="48"/>
      <c r="R76" s="48"/>
      <c r="S76" s="48"/>
      <c r="T76" s="48"/>
      <c r="U76" s="48"/>
    </row>
    <row r="77" spans="1:21" s="106" customFormat="1" ht="35.1" customHeight="1" x14ac:dyDescent="0.2">
      <c r="G77" s="47"/>
      <c r="H77" s="47"/>
      <c r="I77" s="47"/>
      <c r="J77" s="47"/>
      <c r="O77" s="48"/>
      <c r="P77" s="48"/>
      <c r="Q77" s="48"/>
      <c r="R77" s="48"/>
      <c r="S77" s="48"/>
      <c r="T77" s="48"/>
      <c r="U77" s="48"/>
    </row>
    <row r="78" spans="1:21" s="106" customFormat="1" ht="35.1" customHeight="1" x14ac:dyDescent="0.2">
      <c r="G78" s="47"/>
      <c r="H78" s="47"/>
      <c r="I78" s="47"/>
      <c r="J78" s="47"/>
      <c r="O78" s="48"/>
      <c r="P78" s="48"/>
      <c r="Q78" s="48"/>
      <c r="R78" s="48"/>
      <c r="S78" s="48"/>
      <c r="T78" s="48"/>
      <c r="U78" s="48"/>
    </row>
    <row r="79" spans="1:21" s="106" customFormat="1" ht="35.1" customHeight="1" x14ac:dyDescent="0.2">
      <c r="G79" s="47"/>
      <c r="H79" s="47"/>
      <c r="I79" s="47"/>
      <c r="J79" s="47"/>
    </row>
    <row r="80" spans="1:21" s="107" customFormat="1" ht="9.9499999999999993" customHeight="1" x14ac:dyDescent="0.2">
      <c r="A80" s="109"/>
      <c r="B80" s="106"/>
      <c r="C80" s="106"/>
      <c r="D80" s="106"/>
      <c r="E80" s="106"/>
      <c r="F80" s="106"/>
      <c r="G80" s="47"/>
      <c r="H80" s="47"/>
    </row>
    <row r="81" spans="2:11" s="111" customFormat="1" ht="35.1" customHeight="1" x14ac:dyDescent="0.2">
      <c r="B81" s="106"/>
      <c r="C81" s="106"/>
      <c r="D81" s="106"/>
      <c r="E81" s="106"/>
      <c r="F81" s="106"/>
      <c r="G81" s="47"/>
      <c r="H81" s="47"/>
    </row>
    <row r="82" spans="2:11" s="106" customFormat="1" ht="61.5" customHeight="1" x14ac:dyDescent="0.2">
      <c r="H82" s="111"/>
      <c r="I82" s="111"/>
      <c r="J82" s="111"/>
      <c r="K82" s="108"/>
    </row>
    <row r="83" spans="2:11" s="106" customFormat="1" ht="35.1" customHeight="1" x14ac:dyDescent="0.2">
      <c r="G83" s="111"/>
      <c r="H83" s="111"/>
      <c r="I83" s="111"/>
      <c r="J83" s="111"/>
      <c r="K83" s="108"/>
    </row>
    <row r="84" spans="2:11" s="106" customFormat="1" ht="35.1" customHeight="1" x14ac:dyDescent="0.2">
      <c r="G84" s="111"/>
      <c r="H84" s="111"/>
      <c r="I84" s="111"/>
      <c r="J84" s="111"/>
      <c r="K84" s="108"/>
    </row>
    <row r="85" spans="2:11" s="106" customFormat="1" ht="35.1" customHeight="1" x14ac:dyDescent="0.2">
      <c r="F85" s="107"/>
      <c r="K85" s="108"/>
    </row>
    <row r="86" spans="2:11" s="106" customFormat="1" ht="50.1" customHeight="1" x14ac:dyDescent="0.2"/>
    <row r="87" spans="2:11" s="106" customFormat="1" ht="57.75" customHeight="1" x14ac:dyDescent="0.2">
      <c r="C87" s="112"/>
      <c r="D87" s="112"/>
      <c r="E87" s="112"/>
    </row>
    <row r="88" spans="2:11" s="106" customFormat="1" ht="35.1" customHeight="1" x14ac:dyDescent="0.2"/>
    <row r="89" spans="2:11" s="106" customFormat="1" ht="35.1" customHeight="1" x14ac:dyDescent="0.2">
      <c r="F89" s="108"/>
      <c r="G89" s="108"/>
      <c r="H89" s="108"/>
      <c r="I89" s="108"/>
      <c r="J89" s="108"/>
    </row>
    <row r="90" spans="2:11" s="106" customFormat="1" ht="35.1" customHeight="1" x14ac:dyDescent="0.2"/>
    <row r="91" spans="2:11" s="106" customFormat="1" ht="50.1" customHeight="1" x14ac:dyDescent="0.2">
      <c r="J91" s="47"/>
    </row>
    <row r="92" spans="2:11" s="106" customFormat="1" ht="55.5" customHeight="1" x14ac:dyDescent="0.2">
      <c r="J92" s="111"/>
    </row>
    <row r="93" spans="2:11" s="106" customFormat="1" ht="50.1" customHeight="1" x14ac:dyDescent="0.2">
      <c r="J93" s="111"/>
    </row>
    <row r="94" spans="2:11" s="107" customFormat="1" ht="31.5" customHeight="1" x14ac:dyDescent="0.2">
      <c r="J94" s="111"/>
    </row>
    <row r="95" spans="2:11" s="106" customFormat="1" ht="35.1" customHeight="1" x14ac:dyDescent="0.2">
      <c r="G95" s="111"/>
      <c r="H95" s="111"/>
      <c r="I95" s="111"/>
      <c r="J95" s="111"/>
    </row>
    <row r="96" spans="2:11" s="106" customFormat="1" ht="35.1" customHeight="1" x14ac:dyDescent="0.2">
      <c r="G96" s="111"/>
      <c r="H96" s="111"/>
      <c r="I96" s="111"/>
      <c r="J96" s="111"/>
    </row>
    <row r="97" spans="1:12" s="106" customFormat="1" ht="9.9499999999999993" customHeight="1" x14ac:dyDescent="0.2">
      <c r="G97" s="108"/>
      <c r="H97" s="108"/>
      <c r="I97" s="108"/>
      <c r="J97" s="108"/>
    </row>
    <row r="98" spans="1:12" s="106" customFormat="1" ht="35.1" customHeight="1" x14ac:dyDescent="0.2">
      <c r="J98" s="108"/>
      <c r="K98" s="108"/>
      <c r="L98" s="108"/>
    </row>
    <row r="99" spans="1:12" s="46" customFormat="1" ht="15" customHeight="1" x14ac:dyDescent="0.2">
      <c r="A99" s="47"/>
      <c r="G99" s="47"/>
      <c r="H99" s="47"/>
      <c r="I99" s="47"/>
      <c r="J99" s="47"/>
      <c r="K99" s="48"/>
    </row>
    <row r="100" spans="1:12" s="48" customFormat="1" ht="31.5" customHeight="1" x14ac:dyDescent="0.2">
      <c r="A100" s="47"/>
      <c r="B100" s="47"/>
      <c r="C100" s="47"/>
      <c r="D100" s="47"/>
      <c r="E100" s="47"/>
      <c r="F100" s="47"/>
      <c r="G100" s="47"/>
      <c r="H100" s="47"/>
      <c r="I100" s="47"/>
      <c r="J100" s="47"/>
    </row>
    <row r="101" spans="1:12" s="48" customFormat="1" ht="31.5" customHeight="1" x14ac:dyDescent="0.2"/>
    <row r="102" spans="1:12" s="48" customFormat="1" ht="31.5" customHeight="1" x14ac:dyDescent="0.2"/>
    <row r="103" spans="1:12" s="48" customFormat="1" ht="52.5" customHeight="1" x14ac:dyDescent="0.2"/>
    <row r="104" spans="1:12" s="48" customFormat="1" ht="31.5" customHeight="1" x14ac:dyDescent="0.2">
      <c r="K104" s="8"/>
    </row>
    <row r="105" spans="1:12" s="48" customFormat="1" ht="31.5" customHeight="1" x14ac:dyDescent="0.2">
      <c r="K105" s="8"/>
    </row>
    <row r="106" spans="1:12" ht="31.5" customHeight="1" x14ac:dyDescent="0.2">
      <c r="G106" s="76"/>
    </row>
    <row r="107" spans="1:12" ht="51" customHeight="1" x14ac:dyDescent="0.2"/>
    <row r="109" spans="1:12" ht="31.5" customHeight="1" x14ac:dyDescent="0.2">
      <c r="B109" s="29"/>
      <c r="C109" s="29"/>
      <c r="D109" s="29"/>
      <c r="E109" s="29"/>
      <c r="F109" s="29"/>
      <c r="G109" s="29"/>
      <c r="H109" s="29"/>
      <c r="I109" s="29"/>
      <c r="J109" s="29"/>
    </row>
    <row r="110" spans="1:12" ht="31.5" customHeight="1" x14ac:dyDescent="0.2">
      <c r="B110" s="29"/>
      <c r="C110" s="29"/>
      <c r="D110" s="29"/>
      <c r="E110" s="29"/>
      <c r="F110" s="29"/>
      <c r="G110" s="29"/>
      <c r="H110" s="29"/>
      <c r="I110" s="29"/>
      <c r="J110" s="29"/>
    </row>
    <row r="111" spans="1:12" ht="31.5" customHeight="1" x14ac:dyDescent="0.2">
      <c r="B111" s="29"/>
      <c r="C111" s="29"/>
      <c r="D111" s="29"/>
      <c r="E111" s="29"/>
      <c r="F111" s="29"/>
      <c r="G111" s="29"/>
      <c r="H111" s="29"/>
      <c r="I111" s="29"/>
      <c r="J111" s="29"/>
    </row>
    <row r="112" spans="1:12" ht="31.5" customHeight="1" x14ac:dyDescent="0.2">
      <c r="B112" s="29"/>
      <c r="C112" s="29"/>
      <c r="D112" s="29"/>
      <c r="E112" s="29"/>
      <c r="F112" s="29"/>
      <c r="G112" s="29"/>
      <c r="H112" s="29"/>
      <c r="I112" s="29"/>
      <c r="J112" s="29"/>
    </row>
    <row r="113" spans="2:10" ht="31.5" customHeight="1" x14ac:dyDescent="0.2">
      <c r="B113" s="29"/>
      <c r="C113" s="29"/>
      <c r="D113" s="29"/>
      <c r="E113" s="29"/>
      <c r="F113" s="29"/>
      <c r="G113" s="29"/>
      <c r="H113" s="29"/>
      <c r="I113" s="29"/>
      <c r="J113" s="29"/>
    </row>
    <row r="114" spans="2:10" ht="31.5" customHeight="1" x14ac:dyDescent="0.2">
      <c r="B114" s="29"/>
      <c r="C114" s="29"/>
      <c r="D114" s="29"/>
      <c r="E114" s="29"/>
      <c r="F114" s="29"/>
      <c r="G114" s="29"/>
      <c r="H114" s="29"/>
      <c r="I114" s="29"/>
      <c r="J114" s="29"/>
    </row>
    <row r="115" spans="2:10" ht="31.5" customHeight="1" x14ac:dyDescent="0.2">
      <c r="B115" s="29"/>
      <c r="C115" s="29"/>
      <c r="D115" s="29"/>
      <c r="E115" s="29"/>
      <c r="F115" s="29"/>
      <c r="G115" s="29"/>
      <c r="H115" s="29"/>
      <c r="I115" s="29"/>
      <c r="J115" s="29"/>
    </row>
  </sheetData>
  <sheetProtection password="CF5C" sheet="1" objects="1" scenarios="1"/>
  <mergeCells count="62">
    <mergeCell ref="D70:E70"/>
    <mergeCell ref="D71:E71"/>
    <mergeCell ref="B72:K72"/>
    <mergeCell ref="B73:E73"/>
    <mergeCell ref="H73:K73"/>
    <mergeCell ref="F74:G74"/>
    <mergeCell ref="H74:H76"/>
    <mergeCell ref="I74:K74"/>
    <mergeCell ref="J75:K75"/>
    <mergeCell ref="J76:K76"/>
    <mergeCell ref="A56:J56"/>
    <mergeCell ref="A58:B58"/>
    <mergeCell ref="C58:D58"/>
    <mergeCell ref="E58:F58"/>
    <mergeCell ref="H60:M60"/>
    <mergeCell ref="A50:B50"/>
    <mergeCell ref="G50:H50"/>
    <mergeCell ref="A52:J52"/>
    <mergeCell ref="D53:E53"/>
    <mergeCell ref="H53:I53"/>
    <mergeCell ref="A49:B49"/>
    <mergeCell ref="G49:H49"/>
    <mergeCell ref="A28:A31"/>
    <mergeCell ref="C33:D33"/>
    <mergeCell ref="F33:G33"/>
    <mergeCell ref="A36:J36"/>
    <mergeCell ref="B38:F38"/>
    <mergeCell ref="H38:J38"/>
    <mergeCell ref="H39:J42"/>
    <mergeCell ref="A46:J46"/>
    <mergeCell ref="A47:B48"/>
    <mergeCell ref="C47:E47"/>
    <mergeCell ref="G48:H48"/>
    <mergeCell ref="A27:B27"/>
    <mergeCell ref="G27:H27"/>
    <mergeCell ref="A14:B14"/>
    <mergeCell ref="A15:B15"/>
    <mergeCell ref="A16:B16"/>
    <mergeCell ref="C16:D16"/>
    <mergeCell ref="A18:J18"/>
    <mergeCell ref="F19:G19"/>
    <mergeCell ref="J19:J20"/>
    <mergeCell ref="A20:B20"/>
    <mergeCell ref="E20:F20"/>
    <mergeCell ref="A22:J22"/>
    <mergeCell ref="C24:D24"/>
    <mergeCell ref="F24:G24"/>
    <mergeCell ref="C26:F26"/>
    <mergeCell ref="G26:H26"/>
    <mergeCell ref="A13:B13"/>
    <mergeCell ref="F13:I13"/>
    <mergeCell ref="A1:B1"/>
    <mergeCell ref="C1:M1"/>
    <mergeCell ref="I3:J4"/>
    <mergeCell ref="A6:D6"/>
    <mergeCell ref="F6:I6"/>
    <mergeCell ref="F9:G9"/>
    <mergeCell ref="A10:B10"/>
    <mergeCell ref="F10:G10"/>
    <mergeCell ref="A11:B11"/>
    <mergeCell ref="F11:G11"/>
    <mergeCell ref="A12:B12"/>
  </mergeCells>
  <printOptions horizontalCentered="1"/>
  <pageMargins left="0.70866141732283472" right="0.70866141732283472" top="0.74803149606299213" bottom="0.74803149606299213" header="0.31496062992125984" footer="0.31496062992125984"/>
  <pageSetup scale="13" orientation="portrait" r:id="rId1"/>
  <headerFooter>
    <oddHeader xml:space="preserve">&amp;C
&amp;16   
</oddHeader>
    <oddFooter xml:space="preserve">&amp;RRT03-F13 Vr.14 (2021-05-21)
</oddFooter>
  </headerFooter>
  <rowBreaks count="1" manualBreakCount="1">
    <brk id="34" max="12" man="1"/>
  </rowBreaks>
  <drawing r:id="rId2"/>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0400-000000000000}">
          <x14:formula1>
            <xm:f>'DATOS %'!$B$7:$B$40</xm:f>
          </x14:formula1>
          <xm:sqref>I3:J4</xm:sqref>
        </x14:dataValidation>
        <x14:dataValidation type="list" allowBlank="1" showInputMessage="1" showErrorMessage="1" xr:uid="{00000000-0002-0000-0400-000001000000}">
          <x14:formula1>
            <xm:f>'DATOS %'!$V$161:$V$165</xm:f>
          </x14:formula1>
          <xm:sqref>H25</xm:sqref>
        </x14:dataValidation>
        <x14:dataValidation type="list" allowBlank="1" showInputMessage="1" showErrorMessage="1" xr:uid="{00000000-0002-0000-0400-000002000000}">
          <x14:formula1>
            <xm:f>'DATOS %'!$V$120:$V$126</xm:f>
          </x14:formula1>
          <xm:sqref>J13</xm:sqref>
        </x14:dataValidation>
        <x14:dataValidation type="list" allowBlank="1" showInputMessage="1" showErrorMessage="1" xr:uid="{00000000-0002-0000-0400-000003000000}">
          <x14:formula1>
            <xm:f>'DATOS %'!$N$29:$N$113</xm:f>
          </x14:formula1>
          <xm:sqref>E6</xm:sqref>
        </x14:dataValidation>
        <x14:dataValidation type="list" allowBlank="1" showInputMessage="1" showErrorMessage="1" xr:uid="{00000000-0002-0000-0400-000004000000}">
          <x14:formula1>
            <xm:f>'DATOS %'!$N$121:$N$166</xm:f>
          </x14:formula1>
          <xm:sqref>F48</xm:sqref>
        </x14:dataValidation>
        <x14:dataValidation type="list" allowBlank="1" showInputMessage="1" showErrorMessage="1" xr:uid="{00000000-0002-0000-0400-000005000000}">
          <x14:formula1>
            <xm:f>'DATOS %'!$J$174:$J$179</xm:f>
          </x14:formula1>
          <xm:sqref>J19:J20</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FF00"/>
  </sheetPr>
  <dimension ref="A1:U115"/>
  <sheetViews>
    <sheetView showGridLines="0" view="pageBreakPreview" topLeftCell="A16" zoomScale="80" zoomScaleNormal="60" zoomScaleSheetLayoutView="80" workbookViewId="0">
      <selection activeCell="C65" sqref="C65"/>
    </sheetView>
  </sheetViews>
  <sheetFormatPr baseColWidth="10" defaultColWidth="11.42578125" defaultRowHeight="31.5" customHeight="1" x14ac:dyDescent="0.2"/>
  <cols>
    <col min="1" max="1" width="14.7109375" style="37" customWidth="1"/>
    <col min="2" max="2" width="12" style="37" customWidth="1"/>
    <col min="3" max="3" width="15.7109375" style="37" customWidth="1"/>
    <col min="4" max="4" width="17" style="37" customWidth="1"/>
    <col min="5" max="5" width="15.5703125" style="37" customWidth="1"/>
    <col min="6" max="6" width="18.5703125" style="37" customWidth="1"/>
    <col min="7" max="7" width="15.7109375" style="37" customWidth="1"/>
    <col min="8" max="8" width="24.42578125" style="37" bestFit="1" customWidth="1"/>
    <col min="9" max="9" width="13.85546875" style="37" bestFit="1" customWidth="1"/>
    <col min="10" max="10" width="13.7109375" style="37" customWidth="1"/>
    <col min="11" max="19" width="11.42578125" style="8"/>
    <col min="20" max="20" width="15.85546875" style="8" bestFit="1" customWidth="1"/>
    <col min="21" max="21" width="14.42578125" style="8" bestFit="1" customWidth="1"/>
    <col min="22" max="16384" width="11.42578125" style="8"/>
  </cols>
  <sheetData>
    <row r="1" spans="1:16" ht="60" customHeight="1" thickBot="1" x14ac:dyDescent="0.25">
      <c r="A1" s="1257"/>
      <c r="B1" s="1258"/>
      <c r="C1" s="1259" t="s">
        <v>57</v>
      </c>
      <c r="D1" s="1260"/>
      <c r="E1" s="1260"/>
      <c r="F1" s="1260"/>
      <c r="G1" s="1260"/>
      <c r="H1" s="1260"/>
      <c r="I1" s="1260"/>
      <c r="J1" s="1260"/>
      <c r="K1" s="1260"/>
      <c r="L1" s="1260"/>
      <c r="M1" s="1261"/>
      <c r="N1" s="7"/>
      <c r="O1" s="7"/>
      <c r="P1" s="7"/>
    </row>
    <row r="2" spans="1:16" s="11" customFormat="1" ht="9.75" customHeight="1" thickBot="1" x14ac:dyDescent="0.25">
      <c r="A2" s="9"/>
      <c r="B2" s="9"/>
      <c r="C2" s="10"/>
      <c r="D2" s="10"/>
      <c r="E2" s="10"/>
      <c r="F2" s="10"/>
      <c r="G2" s="10"/>
      <c r="H2" s="10"/>
      <c r="K2" s="12"/>
      <c r="M2" s="7"/>
    </row>
    <row r="3" spans="1:16" s="12" customFormat="1" ht="35.25" customHeight="1" thickBot="1" x14ac:dyDescent="0.25">
      <c r="A3" s="13" t="s">
        <v>17</v>
      </c>
      <c r="B3" s="14" t="s">
        <v>55</v>
      </c>
      <c r="C3" s="15" t="s">
        <v>209</v>
      </c>
      <c r="D3" s="15" t="s">
        <v>56</v>
      </c>
      <c r="E3" s="15" t="s">
        <v>8</v>
      </c>
      <c r="F3" s="16" t="s">
        <v>18</v>
      </c>
      <c r="G3" s="16" t="s">
        <v>297</v>
      </c>
      <c r="H3" s="17" t="s">
        <v>24</v>
      </c>
      <c r="I3" s="1262"/>
      <c r="J3" s="1263"/>
      <c r="K3" s="11"/>
      <c r="M3" s="7"/>
    </row>
    <row r="4" spans="1:16" s="11" customFormat="1" ht="32.25" customHeight="1" thickBot="1" x14ac:dyDescent="0.25">
      <c r="A4" s="18" t="e">
        <f>VLOOKUP($I$3,'DATOS %'!B7:J29,2,FALSE)</f>
        <v>#N/A</v>
      </c>
      <c r="B4" s="212" t="e">
        <f>VLOOKUP($I$3,'DATOS %'!$B$7:$J$29,3,FALSE)</f>
        <v>#N/A</v>
      </c>
      <c r="C4" s="19" t="e">
        <f>VLOOKUP($I$3,'DATOS %'!$B$7:$J$29,8,FALSE)</f>
        <v>#N/A</v>
      </c>
      <c r="D4" s="19" t="e">
        <f>VLOOKUP($I$3,'DATOS %'!$B$7:$J$29,6,FALSE)</f>
        <v>#N/A</v>
      </c>
      <c r="E4" s="212" t="e">
        <f>VLOOKUP($I$3,'DATOS %'!$B$7:$J$29,7,FALSE)</f>
        <v>#N/A</v>
      </c>
      <c r="F4" s="18" t="e">
        <f>VLOOKUP($I$3,'DATOS %'!$B$7:$J$29,4,FALSE)</f>
        <v>#N/A</v>
      </c>
      <c r="G4" s="18" t="e">
        <f>VLOOKUP($I$3,'DATOS %'!$B$7:$J$29,5,FALSE)</f>
        <v>#N/A</v>
      </c>
      <c r="H4" s="19" t="e">
        <f>VLOOKUP($I$3,'DATOS %'!$B$7:$J$29,9,FALSE)</f>
        <v>#N/A</v>
      </c>
      <c r="I4" s="1264"/>
      <c r="J4" s="1265"/>
      <c r="K4" s="8"/>
      <c r="L4" s="20"/>
      <c r="M4" s="20"/>
    </row>
    <row r="5" spans="1:16" s="22" customFormat="1" ht="6.75" customHeight="1" thickBot="1" x14ac:dyDescent="0.25">
      <c r="A5" s="21"/>
      <c r="B5" s="21"/>
      <c r="C5" s="21"/>
      <c r="F5" s="21"/>
      <c r="G5" s="21"/>
      <c r="H5" s="21"/>
      <c r="K5" s="8"/>
    </row>
    <row r="6" spans="1:16" ht="31.5" customHeight="1" thickBot="1" x14ac:dyDescent="0.25">
      <c r="A6" s="1266" t="s">
        <v>19</v>
      </c>
      <c r="B6" s="1267"/>
      <c r="C6" s="1267"/>
      <c r="D6" s="1268"/>
      <c r="E6" s="4"/>
      <c r="F6" s="1266" t="s">
        <v>20</v>
      </c>
      <c r="G6" s="1267"/>
      <c r="H6" s="1267"/>
      <c r="I6" s="1268"/>
      <c r="J6" s="402">
        <f>I3</f>
        <v>0</v>
      </c>
    </row>
    <row r="7" spans="1:16" ht="31.5" customHeight="1" x14ac:dyDescent="0.2">
      <c r="A7" s="23" t="s">
        <v>21</v>
      </c>
      <c r="B7" s="24" t="e">
        <f>VLOOKUP($E$6,'DATOS %'!N11:AA113,2,FALSE)</f>
        <v>#N/A</v>
      </c>
      <c r="C7" s="25" t="s">
        <v>10</v>
      </c>
      <c r="D7" s="26" t="e">
        <f>VLOOKUP($E$6,'DATOS %'!N11:AA113,3,FALSE)</f>
        <v>#N/A</v>
      </c>
      <c r="E7" s="27"/>
      <c r="F7" s="23" t="s">
        <v>21</v>
      </c>
      <c r="G7" s="24" t="e">
        <f>VLOOKUP($J$6,'DATOS %'!B47:I79,2,FALSE)</f>
        <v>#N/A</v>
      </c>
      <c r="H7" s="28" t="s">
        <v>10</v>
      </c>
      <c r="I7" s="26" t="e">
        <f>VLOOKUP($J$6,'DATOS %'!B47:I79,3,FALSE)</f>
        <v>#N/A</v>
      </c>
      <c r="J7" s="29"/>
    </row>
    <row r="8" spans="1:16" ht="31.5" customHeight="1" x14ac:dyDescent="0.2">
      <c r="A8" s="30" t="s">
        <v>22</v>
      </c>
      <c r="B8" s="31" t="e">
        <f>VLOOKUP($E$6,'DATOS %'!N11:AA113,4,FALSE)</f>
        <v>#N/A</v>
      </c>
      <c r="C8" s="32" t="s">
        <v>23</v>
      </c>
      <c r="D8" s="33" t="e">
        <f>VLOOKUP($E$6,'DATOS %'!N11:AA113,5,FALSE)</f>
        <v>#N/A</v>
      </c>
      <c r="E8" s="27"/>
      <c r="F8" s="30" t="s">
        <v>22</v>
      </c>
      <c r="G8" s="31" t="e">
        <f>VLOOKUP($J$6,'DATOS %'!B47:I79,4,FALSE)</f>
        <v>#N/A</v>
      </c>
      <c r="H8" s="32" t="s">
        <v>23</v>
      </c>
      <c r="I8" s="297" t="e">
        <f>VLOOKUP($J$6,'DATOS %'!B47:I79,5,FALSE)</f>
        <v>#N/A</v>
      </c>
      <c r="J8" s="29"/>
    </row>
    <row r="9" spans="1:16" ht="31.5" customHeight="1" x14ac:dyDescent="0.2">
      <c r="A9" s="34" t="s">
        <v>24</v>
      </c>
      <c r="B9" s="31" t="e">
        <f>VLOOKUP($E$6,'DATOS %'!N11:AA113,6,FALSE)</f>
        <v>#N/A</v>
      </c>
      <c r="C9" s="35" t="s">
        <v>15</v>
      </c>
      <c r="D9" s="36" t="e">
        <f>VLOOKUP($E$6,'DATOS %'!N11:AA113,7,FALSE)</f>
        <v>#N/A</v>
      </c>
      <c r="F9" s="1252" t="s">
        <v>62</v>
      </c>
      <c r="G9" s="1253"/>
      <c r="H9" s="926" t="e">
        <f>(VLOOKUP($J$6,'DATOS %'!B47:I79,6,FALSE))/1000</f>
        <v>#N/A</v>
      </c>
      <c r="I9" s="33" t="s">
        <v>1</v>
      </c>
      <c r="J9" s="29"/>
      <c r="K9" s="208"/>
    </row>
    <row r="10" spans="1:16" s="38" customFormat="1" ht="31.5" customHeight="1" x14ac:dyDescent="0.25">
      <c r="A10" s="1252" t="s">
        <v>63</v>
      </c>
      <c r="B10" s="1253"/>
      <c r="C10" s="926" t="e">
        <f>(VLOOKUP($E$6,'DATOS %'!N11:AA113,8,FALSE))/1000</f>
        <v>#N/A</v>
      </c>
      <c r="D10" s="33" t="s">
        <v>1</v>
      </c>
      <c r="F10" s="1252" t="s">
        <v>64</v>
      </c>
      <c r="G10" s="1253"/>
      <c r="H10" s="213" t="e">
        <f>VLOOKUP($J$6,'DATOS %'!B47:I79,7,FALSE)</f>
        <v>#N/A</v>
      </c>
      <c r="I10" s="33" t="s">
        <v>76</v>
      </c>
      <c r="J10" s="39"/>
    </row>
    <row r="11" spans="1:16" s="38" customFormat="1" ht="31.5" customHeight="1" thickBot="1" x14ac:dyDescent="0.3">
      <c r="A11" s="1252" t="s">
        <v>65</v>
      </c>
      <c r="B11" s="1253"/>
      <c r="C11" s="31" t="e">
        <f>VLOOKUP($E$6,'DATOS %'!N11:AA113,9,FALSE)</f>
        <v>#N/A</v>
      </c>
      <c r="D11" s="33" t="s">
        <v>3</v>
      </c>
      <c r="E11" s="40"/>
      <c r="F11" s="1271" t="s">
        <v>66</v>
      </c>
      <c r="G11" s="1272"/>
      <c r="H11" s="41" t="e">
        <f>VLOOKUP($J$6,'DATOS %'!B47:I79,8,FALSE)</f>
        <v>#N/A</v>
      </c>
      <c r="I11" s="45" t="s">
        <v>76</v>
      </c>
      <c r="J11" s="39"/>
    </row>
    <row r="12" spans="1:16" s="38" customFormat="1" ht="31.5" customHeight="1" thickBot="1" x14ac:dyDescent="0.3">
      <c r="A12" s="1252" t="s">
        <v>67</v>
      </c>
      <c r="B12" s="1253"/>
      <c r="C12" s="31" t="e">
        <f>VLOOKUP($E$6,'DATOS %'!N11:AA113,10,FALSE)</f>
        <v>#N/A</v>
      </c>
      <c r="D12" s="33" t="s">
        <v>3</v>
      </c>
      <c r="E12" s="39"/>
      <c r="F12" s="39"/>
      <c r="G12" s="39"/>
      <c r="H12" s="39"/>
    </row>
    <row r="13" spans="1:16" s="38" customFormat="1" ht="31.5" customHeight="1" thickBot="1" x14ac:dyDescent="0.3">
      <c r="A13" s="1252" t="s">
        <v>68</v>
      </c>
      <c r="B13" s="1253"/>
      <c r="C13" s="213" t="e">
        <f>VLOOKUP($E$6,'DATOS %'!N11:AA113,11,FALSE)</f>
        <v>#N/A</v>
      </c>
      <c r="D13" s="33" t="s">
        <v>76</v>
      </c>
      <c r="E13" s="39"/>
      <c r="F13" s="1254" t="s">
        <v>559</v>
      </c>
      <c r="G13" s="1255"/>
      <c r="H13" s="1255"/>
      <c r="I13" s="1256"/>
      <c r="J13" s="5"/>
    </row>
    <row r="14" spans="1:16" s="38" customFormat="1" ht="31.5" customHeight="1" x14ac:dyDescent="0.2">
      <c r="A14" s="1252" t="s">
        <v>305</v>
      </c>
      <c r="B14" s="1253"/>
      <c r="C14" s="31" t="e">
        <f>VLOOKUP($E$6,'DATOS %'!N11:AA113,12,FALSE)</f>
        <v>#N/A</v>
      </c>
      <c r="D14" s="33" t="s">
        <v>76</v>
      </c>
      <c r="E14" s="39"/>
      <c r="F14" s="23" t="s">
        <v>10</v>
      </c>
      <c r="G14" s="24" t="e">
        <f>VLOOKUP($J$13,'DATOS %'!$V$119:$Y$126,2,FALSE)</f>
        <v>#N/A</v>
      </c>
      <c r="H14" s="28" t="s">
        <v>22</v>
      </c>
      <c r="I14" s="24" t="e">
        <f>VLOOKUP($J$13,'DATOS %'!$V$119:$Z$126,3,FALSE)</f>
        <v>#N/A</v>
      </c>
      <c r="J14" s="42"/>
      <c r="K14" s="8"/>
    </row>
    <row r="15" spans="1:16" ht="31.5" customHeight="1" thickBot="1" x14ac:dyDescent="0.25">
      <c r="A15" s="1277" t="s">
        <v>69</v>
      </c>
      <c r="B15" s="1278"/>
      <c r="C15" s="31" t="e">
        <f>VLOOKUP($E$6,'DATOS %'!N11:AA113,13,FALSE)</f>
        <v>#N/A</v>
      </c>
      <c r="D15" s="33" t="s">
        <v>76</v>
      </c>
      <c r="E15" s="29"/>
      <c r="F15" s="43" t="s">
        <v>61</v>
      </c>
      <c r="G15" s="41" t="e">
        <f>VLOOKUP($J$13,'DATOS %'!$V$119:$Y$126,4,FALSE)</f>
        <v>#N/A</v>
      </c>
      <c r="H15" s="41" t="s">
        <v>1</v>
      </c>
      <c r="I15" s="243" t="s">
        <v>210</v>
      </c>
      <c r="J15" s="45" t="e">
        <f>VLOOKUP($J$13,'DATOS %'!$V$119:$Z$126,5,FALSE)</f>
        <v>#N/A</v>
      </c>
      <c r="K15" s="22"/>
    </row>
    <row r="16" spans="1:16" ht="30.95" customHeight="1" thickBot="1" x14ac:dyDescent="0.25">
      <c r="A16" s="1279" t="s">
        <v>210</v>
      </c>
      <c r="B16" s="1280"/>
      <c r="C16" s="1281" t="e">
        <f>VLOOKUP($E$6,'DATOS %'!N11:AA113,14,FALSE)</f>
        <v>#N/A</v>
      </c>
      <c r="D16" s="1282"/>
      <c r="E16" s="29"/>
      <c r="F16" s="8"/>
      <c r="G16" s="8"/>
      <c r="H16" s="8"/>
      <c r="I16" s="8"/>
      <c r="J16" s="8"/>
    </row>
    <row r="17" spans="1:11" s="22" customFormat="1" ht="30.95" customHeight="1" thickBot="1" x14ac:dyDescent="0.25">
      <c r="A17" s="29"/>
      <c r="B17" s="29"/>
      <c r="C17" s="29"/>
      <c r="D17" s="29"/>
      <c r="E17" s="29"/>
      <c r="F17" s="29"/>
      <c r="G17" s="29"/>
      <c r="H17" s="29"/>
      <c r="I17" s="29"/>
      <c r="J17" s="29"/>
      <c r="K17" s="8"/>
    </row>
    <row r="18" spans="1:11" ht="31.5" customHeight="1" thickBot="1" x14ac:dyDescent="0.25">
      <c r="A18" s="1331" t="s">
        <v>26</v>
      </c>
      <c r="B18" s="1332"/>
      <c r="C18" s="1332"/>
      <c r="D18" s="1332"/>
      <c r="E18" s="1332"/>
      <c r="F18" s="1332"/>
      <c r="G18" s="1332"/>
      <c r="H18" s="1332"/>
      <c r="I18" s="1332"/>
      <c r="J18" s="1333"/>
    </row>
    <row r="19" spans="1:11" ht="46.5" customHeight="1" thickBot="1" x14ac:dyDescent="0.25">
      <c r="A19" s="407" t="s">
        <v>10</v>
      </c>
      <c r="B19" s="101" t="e">
        <f>VLOOKUP(J19,'DATOS %'!J174:W180,2,FALSE)</f>
        <v>#N/A</v>
      </c>
      <c r="C19" s="95" t="s">
        <v>7</v>
      </c>
      <c r="D19" s="408" t="e">
        <f>VLOOKUP(J19,'DATOS %'!J174:W180,3,FALSE)</f>
        <v>#N/A</v>
      </c>
      <c r="E19" s="409" t="s">
        <v>24</v>
      </c>
      <c r="F19" s="1286" t="e">
        <f>VLOOKUP(J19,'DATOS %'!J174:W180,5,FALSE)</f>
        <v>#N/A</v>
      </c>
      <c r="G19" s="1287"/>
      <c r="H19" s="95" t="s">
        <v>25</v>
      </c>
      <c r="I19" s="212" t="e">
        <f>VLOOKUP(J19,'DATOS %'!J174:W180,4,FALSE)</f>
        <v>#N/A</v>
      </c>
      <c r="J19" s="1374"/>
    </row>
    <row r="20" spans="1:11" ht="31.5" customHeight="1" thickBot="1" x14ac:dyDescent="0.25">
      <c r="A20" s="1290" t="s">
        <v>316</v>
      </c>
      <c r="B20" s="1291"/>
      <c r="C20" s="94" t="s">
        <v>27</v>
      </c>
      <c r="D20" s="101" t="e">
        <f>VLOOKUP(J19,'DATOS %'!J174:W180,6,FALSE)</f>
        <v>#N/A</v>
      </c>
      <c r="E20" s="1292" t="s">
        <v>307</v>
      </c>
      <c r="F20" s="1293"/>
      <c r="G20" s="101" t="e">
        <f>VLOOKUP(J19,'DATOS %'!J174:W180,7,FALSE)</f>
        <v>#N/A</v>
      </c>
      <c r="H20" s="95" t="s">
        <v>9</v>
      </c>
      <c r="I20" s="214" t="e">
        <f>VLOOKUP(J19,'DATOS %'!J174:W180,8,FALSE)</f>
        <v>#N/A</v>
      </c>
      <c r="J20" s="1289"/>
    </row>
    <row r="21" spans="1:11" s="46" customFormat="1" ht="15" customHeight="1" thickBot="1" x14ac:dyDescent="0.25">
      <c r="A21" s="47"/>
      <c r="B21" s="47"/>
      <c r="C21" s="47"/>
      <c r="D21" s="47"/>
      <c r="E21" s="47"/>
      <c r="F21" s="47"/>
      <c r="G21" s="47"/>
      <c r="H21" s="47"/>
      <c r="I21" s="47"/>
      <c r="J21" s="47"/>
      <c r="K21" s="8"/>
    </row>
    <row r="22" spans="1:11" s="48" customFormat="1" ht="31.5" customHeight="1" thickBot="1" x14ac:dyDescent="0.25">
      <c r="A22" s="1294" t="s">
        <v>28</v>
      </c>
      <c r="B22" s="1295"/>
      <c r="C22" s="1295"/>
      <c r="D22" s="1295"/>
      <c r="E22" s="1295"/>
      <c r="F22" s="1295"/>
      <c r="G22" s="1295"/>
      <c r="H22" s="1295"/>
      <c r="I22" s="1295"/>
      <c r="J22" s="1296"/>
      <c r="K22" s="47"/>
    </row>
    <row r="23" spans="1:11" s="47" customFormat="1" ht="2.25" customHeight="1" thickBot="1" x14ac:dyDescent="0.25">
      <c r="A23" s="49"/>
      <c r="B23" s="50"/>
      <c r="C23" s="50"/>
      <c r="D23" s="50"/>
      <c r="E23" s="50"/>
      <c r="F23" s="50"/>
      <c r="G23" s="50"/>
      <c r="H23" s="50"/>
      <c r="I23" s="50"/>
      <c r="J23" s="51"/>
      <c r="K23" s="48"/>
    </row>
    <row r="24" spans="1:11" s="48" customFormat="1" ht="31.5" customHeight="1" thickBot="1" x14ac:dyDescent="0.25">
      <c r="A24" s="52" t="s">
        <v>29</v>
      </c>
      <c r="B24" s="916"/>
      <c r="C24" s="1297" t="s">
        <v>27</v>
      </c>
      <c r="D24" s="1298"/>
      <c r="E24" s="1"/>
      <c r="F24" s="1299" t="s">
        <v>307</v>
      </c>
      <c r="G24" s="1300"/>
      <c r="H24" s="2"/>
      <c r="I24" s="224" t="s">
        <v>9</v>
      </c>
      <c r="J24" s="215"/>
      <c r="K24" s="46"/>
    </row>
    <row r="25" spans="1:11" s="46" customFormat="1" ht="15" customHeight="1" thickBot="1" x14ac:dyDescent="0.25">
      <c r="A25" s="47"/>
      <c r="B25" s="47"/>
      <c r="C25" s="47"/>
      <c r="D25" s="47"/>
      <c r="E25" s="47"/>
      <c r="F25" s="47"/>
      <c r="G25" s="47"/>
      <c r="H25" s="6"/>
      <c r="I25" s="47"/>
      <c r="K25" s="48"/>
    </row>
    <row r="26" spans="1:11" s="48" customFormat="1" ht="29.25" customHeight="1" thickBot="1" x14ac:dyDescent="0.25">
      <c r="A26" s="115" t="s">
        <v>129</v>
      </c>
      <c r="B26" s="105">
        <v>4</v>
      </c>
      <c r="C26" s="1301" t="s">
        <v>30</v>
      </c>
      <c r="D26" s="1302"/>
      <c r="E26" s="1302"/>
      <c r="F26" s="1303"/>
      <c r="G26" s="1304" t="s">
        <v>211</v>
      </c>
      <c r="H26" s="1305"/>
    </row>
    <row r="27" spans="1:11" s="48" customFormat="1" ht="31.5" customHeight="1" thickBot="1" x14ac:dyDescent="0.25">
      <c r="A27" s="1273" t="s">
        <v>31</v>
      </c>
      <c r="B27" s="1274"/>
      <c r="C27" s="525">
        <v>1</v>
      </c>
      <c r="D27" s="525">
        <v>2</v>
      </c>
      <c r="E27" s="525">
        <v>3</v>
      </c>
      <c r="F27" s="129">
        <v>4</v>
      </c>
      <c r="G27" s="1275" t="e">
        <f>VLOOKUP($H$25,'DATOS %'!$V$161:$AA$165,2,FALSE)</f>
        <v>#N/A</v>
      </c>
      <c r="H27" s="1276"/>
    </row>
    <row r="28" spans="1:11" s="48" customFormat="1" ht="31.5" customHeight="1" x14ac:dyDescent="0.2">
      <c r="A28" s="1310" t="s">
        <v>32</v>
      </c>
      <c r="B28" s="141" t="s">
        <v>0</v>
      </c>
      <c r="C28" s="142"/>
      <c r="D28" s="142"/>
      <c r="E28" s="142"/>
      <c r="F28" s="143"/>
      <c r="G28" s="47"/>
      <c r="H28" s="47"/>
      <c r="I28" s="47"/>
      <c r="J28" s="47"/>
    </row>
    <row r="29" spans="1:11" s="48" customFormat="1" ht="31.5" customHeight="1" x14ac:dyDescent="0.2">
      <c r="A29" s="1311"/>
      <c r="B29" s="104" t="s">
        <v>2</v>
      </c>
      <c r="C29" s="127"/>
      <c r="D29" s="127"/>
      <c r="E29" s="127"/>
      <c r="F29" s="128"/>
      <c r="G29" s="47"/>
      <c r="H29" s="47"/>
      <c r="I29" s="47"/>
      <c r="J29" s="47"/>
    </row>
    <row r="30" spans="1:11" s="48" customFormat="1" ht="31.5" customHeight="1" x14ac:dyDescent="0.2">
      <c r="A30" s="1311"/>
      <c r="B30" s="104" t="s">
        <v>2</v>
      </c>
      <c r="C30" s="127"/>
      <c r="D30" s="127"/>
      <c r="E30" s="127"/>
      <c r="F30" s="128"/>
      <c r="G30" s="47"/>
      <c r="H30" s="47"/>
      <c r="I30" s="47"/>
      <c r="J30" s="47"/>
    </row>
    <row r="31" spans="1:11" s="48" customFormat="1" ht="31.5" customHeight="1" thickBot="1" x14ac:dyDescent="0.25">
      <c r="A31" s="1312"/>
      <c r="B31" s="53" t="s">
        <v>0</v>
      </c>
      <c r="C31" s="144"/>
      <c r="D31" s="144"/>
      <c r="E31" s="144"/>
      <c r="F31" s="145"/>
      <c r="G31" s="47"/>
      <c r="H31" s="47"/>
      <c r="I31" s="47"/>
      <c r="J31" s="47"/>
      <c r="K31" s="46"/>
    </row>
    <row r="32" spans="1:11" s="46" customFormat="1" ht="15" customHeight="1" thickBot="1" x14ac:dyDescent="0.25">
      <c r="A32" s="47"/>
      <c r="B32" s="47"/>
      <c r="C32" s="47"/>
      <c r="D32" s="47"/>
      <c r="E32" s="47"/>
      <c r="F32" s="47"/>
      <c r="G32" s="47"/>
      <c r="H32" s="47"/>
      <c r="I32" s="47"/>
      <c r="J32" s="47"/>
      <c r="K32" s="48"/>
    </row>
    <row r="33" spans="1:11" s="48" customFormat="1" ht="31.5" customHeight="1" thickBot="1" x14ac:dyDescent="0.25">
      <c r="A33" s="54" t="s">
        <v>33</v>
      </c>
      <c r="B33" s="916"/>
      <c r="C33" s="1297" t="s">
        <v>27</v>
      </c>
      <c r="D33" s="1298"/>
      <c r="E33" s="1"/>
      <c r="F33" s="1299" t="s">
        <v>307</v>
      </c>
      <c r="G33" s="1300"/>
      <c r="H33" s="2"/>
      <c r="I33" s="225" t="s">
        <v>9</v>
      </c>
      <c r="J33" s="3"/>
      <c r="K33" s="46"/>
    </row>
    <row r="34" spans="1:11" s="46" customFormat="1" ht="12" customHeight="1" x14ac:dyDescent="0.2">
      <c r="A34" s="55"/>
      <c r="B34" s="55"/>
      <c r="C34" s="55"/>
      <c r="D34" s="55"/>
      <c r="E34" s="55"/>
      <c r="F34" s="55"/>
      <c r="G34" s="55"/>
      <c r="H34" s="55"/>
      <c r="I34" s="55"/>
      <c r="J34" s="55"/>
      <c r="K34" s="48"/>
    </row>
    <row r="35" spans="1:11" s="48" customFormat="1" ht="15" customHeight="1" thickBot="1" x14ac:dyDescent="0.25">
      <c r="A35" s="56"/>
      <c r="B35" s="56"/>
      <c r="C35" s="56"/>
      <c r="D35" s="56"/>
      <c r="E35" s="56"/>
      <c r="F35" s="56"/>
      <c r="G35" s="56"/>
      <c r="H35" s="56"/>
      <c r="I35" s="56"/>
      <c r="J35" s="56"/>
    </row>
    <row r="36" spans="1:11" s="48" customFormat="1" ht="32.25" customHeight="1" thickBot="1" x14ac:dyDescent="0.25">
      <c r="A36" s="1294" t="s">
        <v>34</v>
      </c>
      <c r="B36" s="1295"/>
      <c r="C36" s="1295"/>
      <c r="D36" s="1295"/>
      <c r="E36" s="1295"/>
      <c r="F36" s="1295"/>
      <c r="G36" s="1295"/>
      <c r="H36" s="1295"/>
      <c r="I36" s="1295"/>
      <c r="J36" s="1296"/>
    </row>
    <row r="37" spans="1:11" s="48" customFormat="1" ht="3.75" customHeight="1" thickBot="1" x14ac:dyDescent="0.25">
      <c r="A37" s="55"/>
      <c r="B37" s="47"/>
      <c r="C37" s="47"/>
      <c r="D37" s="47"/>
      <c r="E37" s="47"/>
      <c r="F37" s="47"/>
      <c r="G37" s="47"/>
      <c r="H37" s="47"/>
      <c r="I37" s="47"/>
      <c r="J37" s="55"/>
    </row>
    <row r="38" spans="1:11" s="48" customFormat="1" ht="31.5" customHeight="1" thickBot="1" x14ac:dyDescent="0.25">
      <c r="A38" s="47"/>
      <c r="B38" s="1316" t="s">
        <v>35</v>
      </c>
      <c r="C38" s="1317"/>
      <c r="D38" s="1317"/>
      <c r="E38" s="1317"/>
      <c r="F38" s="1318"/>
      <c r="G38" s="47"/>
      <c r="H38" s="1319" t="s">
        <v>236</v>
      </c>
      <c r="I38" s="1320"/>
      <c r="J38" s="1321"/>
    </row>
    <row r="39" spans="1:11" s="48" customFormat="1" ht="31.5" customHeight="1" thickBot="1" x14ac:dyDescent="0.25">
      <c r="A39" s="47"/>
      <c r="B39" s="57" t="s">
        <v>31</v>
      </c>
      <c r="C39" s="203">
        <v>1</v>
      </c>
      <c r="D39" s="141">
        <v>2</v>
      </c>
      <c r="E39" s="141">
        <v>3</v>
      </c>
      <c r="F39" s="204">
        <v>4</v>
      </c>
      <c r="G39" s="47"/>
      <c r="H39" s="1322"/>
      <c r="I39" s="1323"/>
      <c r="J39" s="1324"/>
    </row>
    <row r="40" spans="1:11" s="48" customFormat="1" ht="31.5" customHeight="1" x14ac:dyDescent="0.2">
      <c r="A40" s="58"/>
      <c r="B40" s="59"/>
      <c r="C40" s="121" t="e">
        <f>+AVERAGE(C28,C31)</f>
        <v>#DIV/0!</v>
      </c>
      <c r="D40" s="122" t="e">
        <f>+AVERAGE(D28,D31)</f>
        <v>#DIV/0!</v>
      </c>
      <c r="E40" s="122" t="e">
        <f>+AVERAGE(E28,E31)</f>
        <v>#DIV/0!</v>
      </c>
      <c r="F40" s="205" t="e">
        <f>+AVERAGE(F28,F31)</f>
        <v>#DIV/0!</v>
      </c>
      <c r="G40" s="47"/>
      <c r="H40" s="1325"/>
      <c r="I40" s="1326"/>
      <c r="J40" s="1327"/>
    </row>
    <row r="41" spans="1:11" s="48" customFormat="1" ht="31.5" customHeight="1" x14ac:dyDescent="0.2">
      <c r="A41" s="58"/>
      <c r="B41" s="60"/>
      <c r="C41" s="123" t="e">
        <f>+AVERAGE(C29:C30)</f>
        <v>#DIV/0!</v>
      </c>
      <c r="D41" s="61" t="e">
        <f>+AVERAGE(D29:D30)</f>
        <v>#DIV/0!</v>
      </c>
      <c r="E41" s="61" t="e">
        <f>+AVERAGE(E29:E30)</f>
        <v>#DIV/0!</v>
      </c>
      <c r="F41" s="206" t="e">
        <f>+AVERAGE(F29:F30)</f>
        <v>#DIV/0!</v>
      </c>
      <c r="G41" s="47"/>
      <c r="H41" s="1325"/>
      <c r="I41" s="1326"/>
      <c r="J41" s="1327"/>
    </row>
    <row r="42" spans="1:11" s="48" customFormat="1" ht="31.5" customHeight="1" thickBot="1" x14ac:dyDescent="0.25">
      <c r="A42" s="58"/>
      <c r="B42" s="62"/>
      <c r="C42" s="124" t="e">
        <f>+C41-C40</f>
        <v>#DIV/0!</v>
      </c>
      <c r="D42" s="125" t="e">
        <f>+D41-D40</f>
        <v>#DIV/0!</v>
      </c>
      <c r="E42" s="125" t="e">
        <f>+E41-E40</f>
        <v>#DIV/0!</v>
      </c>
      <c r="F42" s="207" t="e">
        <f>+F41-F40</f>
        <v>#DIV/0!</v>
      </c>
      <c r="G42" s="47"/>
      <c r="H42" s="1328"/>
      <c r="I42" s="1329"/>
      <c r="J42" s="1330"/>
    </row>
    <row r="43" spans="1:11" s="48" customFormat="1" ht="31.5" customHeight="1" thickBot="1" x14ac:dyDescent="0.25">
      <c r="A43" s="47"/>
      <c r="B43" s="63" t="s">
        <v>36</v>
      </c>
      <c r="C43" s="286" t="e">
        <f>+AVERAGE(C42:F42)</f>
        <v>#DIV/0!</v>
      </c>
      <c r="D43" s="47"/>
      <c r="E43" s="47"/>
      <c r="F43" s="47"/>
      <c r="G43" s="47"/>
      <c r="H43" s="47"/>
      <c r="I43" s="47"/>
      <c r="J43" s="47"/>
    </row>
    <row r="44" spans="1:11" s="48" customFormat="1" ht="31.5" customHeight="1" thickBot="1" x14ac:dyDescent="0.25">
      <c r="A44" s="47"/>
      <c r="B44" s="64" t="s">
        <v>77</v>
      </c>
      <c r="C44" s="287" t="e">
        <f>+STDEV(C42:F42)</f>
        <v>#DIV/0!</v>
      </c>
      <c r="D44" s="47"/>
      <c r="E44" s="47"/>
      <c r="F44" s="47"/>
      <c r="G44" s="47"/>
      <c r="H44" s="47"/>
      <c r="I44" s="47"/>
      <c r="J44" s="47"/>
      <c r="K44" s="46"/>
    </row>
    <row r="45" spans="1:11" s="46" customFormat="1" ht="15" customHeight="1" thickBot="1" x14ac:dyDescent="0.25">
      <c r="A45" s="47"/>
      <c r="B45" s="47"/>
      <c r="C45" s="47"/>
      <c r="D45" s="47"/>
      <c r="E45" s="47"/>
      <c r="F45" s="47"/>
      <c r="G45" s="65"/>
      <c r="H45" s="47"/>
      <c r="I45" s="47"/>
      <c r="J45" s="47"/>
      <c r="K45" s="48"/>
    </row>
    <row r="46" spans="1:11" s="48" customFormat="1" ht="31.5" customHeight="1" thickBot="1" x14ac:dyDescent="0.25">
      <c r="A46" s="1331" t="s">
        <v>37</v>
      </c>
      <c r="B46" s="1332"/>
      <c r="C46" s="1284"/>
      <c r="D46" s="1284"/>
      <c r="E46" s="1284"/>
      <c r="F46" s="1332"/>
      <c r="G46" s="1332"/>
      <c r="H46" s="1332"/>
      <c r="I46" s="1332"/>
      <c r="J46" s="1333"/>
    </row>
    <row r="47" spans="1:11" s="48" customFormat="1" ht="31.5" customHeight="1" thickBot="1" x14ac:dyDescent="0.25">
      <c r="A47" s="1375" t="s">
        <v>321</v>
      </c>
      <c r="B47" s="1376"/>
      <c r="C47" s="1338" t="s">
        <v>38</v>
      </c>
      <c r="D47" s="1339"/>
      <c r="E47" s="1340"/>
      <c r="F47" s="47"/>
      <c r="G47" s="47"/>
      <c r="H47" s="47"/>
      <c r="I47" s="47"/>
      <c r="J47" s="47"/>
    </row>
    <row r="48" spans="1:11" s="48" customFormat="1" ht="36.75" customHeight="1" thickBot="1" x14ac:dyDescent="0.25">
      <c r="A48" s="1377"/>
      <c r="B48" s="1378"/>
      <c r="C48" s="82" t="s">
        <v>27</v>
      </c>
      <c r="D48" s="93" t="s">
        <v>307</v>
      </c>
      <c r="E48" s="83" t="s">
        <v>9</v>
      </c>
      <c r="G48" s="1341" t="s">
        <v>70</v>
      </c>
      <c r="H48" s="1342"/>
      <c r="I48" s="102" t="e">
        <f>+(0.34848*E50-0.009*D50*EXP(0.061*C50))/(273.15+C50)</f>
        <v>#DIV/0!</v>
      </c>
      <c r="J48" s="103" t="s">
        <v>73</v>
      </c>
    </row>
    <row r="49" spans="1:21" s="48" customFormat="1" ht="33" customHeight="1" thickBot="1" x14ac:dyDescent="0.25">
      <c r="A49" s="1306" t="s">
        <v>39</v>
      </c>
      <c r="B49" s="1307"/>
      <c r="C49" s="90" t="e">
        <f>+AVERAGE(E33,E24)</f>
        <v>#DIV/0!</v>
      </c>
      <c r="D49" s="91" t="e">
        <f>+AVERAGE(H33,H24)</f>
        <v>#DIV/0!</v>
      </c>
      <c r="E49" s="92" t="e">
        <f>+AVERAGE(J33,J24)</f>
        <v>#DIV/0!</v>
      </c>
      <c r="G49" s="1308" t="s">
        <v>71</v>
      </c>
      <c r="H49" s="1309"/>
      <c r="I49" s="422" t="e">
        <f>I48*((0.0001)^2+(0.001*I20/2)^2+(-0.0034*D20/2)^2+(-0.01*G20/2)^2)^0.5</f>
        <v>#DIV/0!</v>
      </c>
      <c r="J49" s="66" t="s">
        <v>73</v>
      </c>
    </row>
    <row r="50" spans="1:21" s="48" customFormat="1" ht="36.75" customHeight="1" thickBot="1" x14ac:dyDescent="0.25">
      <c r="A50" s="1343" t="s">
        <v>322</v>
      </c>
      <c r="B50" s="1344"/>
      <c r="C50" s="84" t="e">
        <f>C49+(VLOOKUP(J19,'DATOS %'!J174:W180,9,FALSE))*C49+(VLOOKUP(J19,'DATOS %'!J174:W180,10,FALSE))</f>
        <v>#DIV/0!</v>
      </c>
      <c r="D50" s="85" t="e">
        <f>D49+(VLOOKUP(J19,'DATOS %'!J174:W180,11,FALSE))*D49+(VLOOKUP(J19,'DATOS %'!J174:W180,12,FALSE))</f>
        <v>#DIV/0!</v>
      </c>
      <c r="E50" s="86" t="e">
        <f>E49+(VLOOKUP(J19,'DATOS %'!J174:W180,13,FALSE))*E49+(VLOOKUP(J19,'DATOS %'!J174:W180,14,FALSE))</f>
        <v>#DIV/0!</v>
      </c>
      <c r="G50" s="1341" t="s">
        <v>72</v>
      </c>
      <c r="H50" s="1342"/>
      <c r="I50" s="67">
        <v>1.2</v>
      </c>
      <c r="J50" s="66" t="s">
        <v>73</v>
      </c>
    </row>
    <row r="51" spans="1:21" s="46" customFormat="1" ht="15" customHeight="1" thickBot="1" x14ac:dyDescent="0.25">
      <c r="A51" s="47"/>
      <c r="B51" s="47"/>
      <c r="C51" s="47"/>
      <c r="D51" s="47"/>
      <c r="E51" s="47"/>
      <c r="F51" s="47"/>
      <c r="G51" s="47"/>
      <c r="H51" s="47"/>
      <c r="I51" s="47"/>
      <c r="J51" s="47"/>
      <c r="K51" s="48"/>
    </row>
    <row r="52" spans="1:21" s="48" customFormat="1" ht="31.5" customHeight="1" thickBot="1" x14ac:dyDescent="0.25">
      <c r="A52" s="1331" t="s">
        <v>40</v>
      </c>
      <c r="B52" s="1332"/>
      <c r="C52" s="1332"/>
      <c r="D52" s="1332"/>
      <c r="E52" s="1332"/>
      <c r="F52" s="1332"/>
      <c r="G52" s="1332"/>
      <c r="H52" s="1332"/>
      <c r="I52" s="1332"/>
      <c r="J52" s="1333"/>
    </row>
    <row r="53" spans="1:21" s="48" customFormat="1" ht="31.5" customHeight="1" x14ac:dyDescent="0.35">
      <c r="A53" s="47"/>
      <c r="B53" s="68" t="s">
        <v>41</v>
      </c>
      <c r="C53" s="69"/>
      <c r="D53" s="1345" t="s">
        <v>74</v>
      </c>
      <c r="E53" s="1345"/>
      <c r="F53" s="70" t="s">
        <v>42</v>
      </c>
      <c r="G53" s="71" t="s">
        <v>43</v>
      </c>
      <c r="H53" s="1346" t="s">
        <v>44</v>
      </c>
      <c r="I53" s="1347"/>
      <c r="J53" s="47"/>
    </row>
    <row r="54" spans="1:21" s="48" customFormat="1" ht="31.5" customHeight="1" thickBot="1" x14ac:dyDescent="0.25">
      <c r="A54" s="47"/>
      <c r="B54" s="72" t="e">
        <f>+C43</f>
        <v>#DIV/0!</v>
      </c>
      <c r="C54" s="73" t="s">
        <v>3</v>
      </c>
      <c r="D54" s="74" t="e">
        <f>+C10+C11/1000</f>
        <v>#N/A</v>
      </c>
      <c r="E54" s="73" t="s">
        <v>3</v>
      </c>
      <c r="F54" s="939" t="e">
        <f>+(I48-I50)*(1/H10-1/C13)</f>
        <v>#DIV/0!</v>
      </c>
      <c r="G54" s="75"/>
      <c r="H54" s="938" t="e">
        <f>+(B54+D54*F54)*1000</f>
        <v>#DIV/0!</v>
      </c>
      <c r="I54" s="66" t="s">
        <v>3</v>
      </c>
      <c r="J54" s="47"/>
      <c r="K54" s="46"/>
    </row>
    <row r="55" spans="1:21" s="46" customFormat="1" ht="15" customHeight="1" x14ac:dyDescent="0.2">
      <c r="A55" s="47"/>
      <c r="B55" s="47"/>
      <c r="C55" s="47"/>
      <c r="D55" s="47"/>
      <c r="E55" s="47"/>
      <c r="F55" s="47"/>
      <c r="G55" s="47"/>
      <c r="H55" s="47"/>
      <c r="I55" s="47"/>
      <c r="J55" s="47"/>
      <c r="K55" s="48"/>
    </row>
    <row r="56" spans="1:21" s="48" customFormat="1" ht="31.5" customHeight="1" x14ac:dyDescent="0.2">
      <c r="A56" s="1348" t="s">
        <v>45</v>
      </c>
      <c r="B56" s="1349"/>
      <c r="C56" s="1349"/>
      <c r="D56" s="1349"/>
      <c r="E56" s="1349"/>
      <c r="F56" s="1349"/>
      <c r="G56" s="1349"/>
      <c r="H56" s="1349"/>
      <c r="I56" s="1349"/>
      <c r="J56" s="1349"/>
      <c r="K56" s="46"/>
    </row>
    <row r="57" spans="1:21" s="46" customFormat="1" ht="15" customHeight="1" thickBot="1" x14ac:dyDescent="0.25">
      <c r="A57" s="47"/>
      <c r="B57" s="47"/>
      <c r="C57" s="47"/>
      <c r="D57" s="47"/>
      <c r="E57" s="47"/>
      <c r="K57" s="48"/>
    </row>
    <row r="58" spans="1:21" s="48" customFormat="1" ht="31.5" customHeight="1" thickBot="1" x14ac:dyDescent="0.25">
      <c r="A58" s="1350" t="s">
        <v>38</v>
      </c>
      <c r="B58" s="1351"/>
      <c r="C58" s="1352" t="s">
        <v>46</v>
      </c>
      <c r="D58" s="1353"/>
      <c r="E58" s="1354" t="s">
        <v>238</v>
      </c>
      <c r="F58" s="1379"/>
      <c r="G58" s="1061" t="s">
        <v>553</v>
      </c>
      <c r="J58" s="114"/>
      <c r="L58" s="46"/>
      <c r="Q58" s="47"/>
      <c r="R58" s="47"/>
      <c r="S58" s="47"/>
      <c r="T58" s="47"/>
      <c r="U58" s="47"/>
    </row>
    <row r="59" spans="1:21" s="48" customFormat="1" ht="57.95" customHeight="1" thickBot="1" x14ac:dyDescent="0.25">
      <c r="A59" s="1024" t="s">
        <v>47</v>
      </c>
      <c r="B59" s="1025"/>
      <c r="C59" s="1026" t="e">
        <f>+C44/B26^0.5*1000</f>
        <v>#DIV/0!</v>
      </c>
      <c r="D59" s="1017" t="s">
        <v>3</v>
      </c>
      <c r="E59" s="1027" t="s">
        <v>240</v>
      </c>
      <c r="F59" s="139">
        <f>$B$26-1</f>
        <v>3</v>
      </c>
      <c r="G59" s="1111" t="e">
        <f>(C59/$G$70)^2</f>
        <v>#DIV/0!</v>
      </c>
      <c r="H59" s="47"/>
      <c r="K59" s="156">
        <v>0.3</v>
      </c>
      <c r="L59" s="157">
        <v>1.65</v>
      </c>
      <c r="M59" s="113"/>
    </row>
    <row r="60" spans="1:21" s="48" customFormat="1" ht="57.95" customHeight="1" thickBot="1" x14ac:dyDescent="0.25">
      <c r="A60" s="1019" t="s">
        <v>343</v>
      </c>
      <c r="B60" s="1020" t="s">
        <v>48</v>
      </c>
      <c r="C60" s="1021" t="e">
        <f>+C12/2</f>
        <v>#N/A</v>
      </c>
      <c r="D60" s="1022" t="s">
        <v>3</v>
      </c>
      <c r="E60" s="1023" t="s">
        <v>239</v>
      </c>
      <c r="F60" s="146" t="s">
        <v>265</v>
      </c>
      <c r="G60" s="1112"/>
      <c r="H60" s="1380" t="s">
        <v>241</v>
      </c>
      <c r="I60" s="1356"/>
      <c r="J60" s="1356"/>
      <c r="K60" s="1356"/>
      <c r="L60" s="1356"/>
      <c r="M60" s="1357"/>
    </row>
    <row r="61" spans="1:21" s="48" customFormat="1" ht="57.95" customHeight="1" thickBot="1" x14ac:dyDescent="0.25">
      <c r="A61" s="1028" t="s">
        <v>344</v>
      </c>
      <c r="B61" s="1029"/>
      <c r="C61" s="1030" t="e">
        <f>+C12/3^0.5</f>
        <v>#N/A</v>
      </c>
      <c r="D61" s="1031" t="s">
        <v>3</v>
      </c>
      <c r="E61" s="1032" t="s">
        <v>239</v>
      </c>
      <c r="F61" s="147" t="s">
        <v>265</v>
      </c>
      <c r="G61" s="1112"/>
      <c r="H61" s="132" t="s">
        <v>243</v>
      </c>
      <c r="I61" s="1016" t="e">
        <f>MAX(C59:C62,C66:C67,C68)</f>
        <v>#DIV/0!</v>
      </c>
      <c r="J61" s="151" t="e">
        <f>IF((I62)&lt;=(K59),"1,65","2")</f>
        <v>#DIV/0!</v>
      </c>
      <c r="K61" s="152" t="s">
        <v>242</v>
      </c>
      <c r="L61" s="153" t="s">
        <v>237</v>
      </c>
      <c r="M61" s="360" t="s">
        <v>328</v>
      </c>
    </row>
    <row r="62" spans="1:21" s="48" customFormat="1" ht="57.95" customHeight="1" thickBot="1" x14ac:dyDescent="0.3">
      <c r="A62" s="1024" t="s">
        <v>49</v>
      </c>
      <c r="B62" s="1035"/>
      <c r="C62" s="1036" t="e">
        <f>+SQRT(SUMSQ(C60:C61))</f>
        <v>#N/A</v>
      </c>
      <c r="D62" s="1017" t="s">
        <v>3</v>
      </c>
      <c r="E62" s="1037" t="s">
        <v>240</v>
      </c>
      <c r="F62" s="139">
        <v>200</v>
      </c>
      <c r="G62" s="1112" t="e">
        <f t="shared" ref="G62:G68" si="0">(C62/$G$70)^2</f>
        <v>#N/A</v>
      </c>
      <c r="H62" s="133" t="s">
        <v>244</v>
      </c>
      <c r="I62" s="150" t="e">
        <f>SQRT((C59)^2+(C66)^2+(C67)^2+(C68)^2)/I61</f>
        <v>#DIV/0!</v>
      </c>
      <c r="J62" s="126"/>
      <c r="K62" s="154" t="s">
        <v>242</v>
      </c>
      <c r="L62" s="155" t="s">
        <v>252</v>
      </c>
      <c r="M62" s="361" t="s">
        <v>329</v>
      </c>
    </row>
    <row r="63" spans="1:21" s="48" customFormat="1" ht="57.95" customHeight="1" x14ac:dyDescent="0.2">
      <c r="A63" s="1019" t="s">
        <v>345</v>
      </c>
      <c r="B63" s="1020"/>
      <c r="C63" s="1033" t="e">
        <f>+I49</f>
        <v>#DIV/0!</v>
      </c>
      <c r="D63" s="1021" t="s">
        <v>73</v>
      </c>
      <c r="E63" s="1034" t="s">
        <v>239</v>
      </c>
      <c r="F63" s="146" t="s">
        <v>265</v>
      </c>
      <c r="G63" s="1112"/>
      <c r="L63" s="46"/>
      <c r="T63" s="46"/>
      <c r="U63" s="46"/>
    </row>
    <row r="64" spans="1:21" s="48" customFormat="1" ht="57.95" customHeight="1" x14ac:dyDescent="0.2">
      <c r="A64" s="426" t="s">
        <v>50</v>
      </c>
      <c r="B64" s="1018"/>
      <c r="C64" s="425" t="e">
        <f>+H11/2</f>
        <v>#N/A</v>
      </c>
      <c r="D64" s="424" t="s">
        <v>73</v>
      </c>
      <c r="E64" s="423" t="s">
        <v>239</v>
      </c>
      <c r="F64" s="148" t="s">
        <v>265</v>
      </c>
      <c r="G64" s="1112"/>
      <c r="H64" s="130"/>
      <c r="J64" s="130"/>
      <c r="K64" s="130"/>
      <c r="L64" s="130"/>
      <c r="M64" s="130"/>
      <c r="Q64" s="47"/>
      <c r="R64" s="47"/>
      <c r="S64" s="47"/>
      <c r="T64" s="47"/>
      <c r="U64" s="47"/>
    </row>
    <row r="65" spans="1:21" s="48" customFormat="1" ht="57.95" customHeight="1" thickBot="1" x14ac:dyDescent="0.25">
      <c r="A65" s="1028" t="s">
        <v>346</v>
      </c>
      <c r="B65" s="1038"/>
      <c r="C65" s="1039" t="e">
        <f>+C14/2</f>
        <v>#N/A</v>
      </c>
      <c r="D65" s="1031" t="s">
        <v>73</v>
      </c>
      <c r="E65" s="1040" t="s">
        <v>239</v>
      </c>
      <c r="F65" s="147" t="s">
        <v>265</v>
      </c>
      <c r="G65" s="1112"/>
      <c r="H65" s="130"/>
      <c r="I65" s="130"/>
      <c r="J65" s="130"/>
      <c r="K65" s="130"/>
      <c r="L65" s="130"/>
      <c r="M65" s="130"/>
      <c r="Q65" s="46"/>
      <c r="R65" s="46"/>
      <c r="S65" s="46"/>
      <c r="T65" s="46"/>
      <c r="U65" s="46"/>
    </row>
    <row r="66" spans="1:21" s="48" customFormat="1" ht="57.95" customHeight="1" thickBot="1" x14ac:dyDescent="0.3">
      <c r="A66" s="1024" t="s">
        <v>347</v>
      </c>
      <c r="B66" s="1035"/>
      <c r="C66" s="1036" t="e">
        <f>+SQRT(ABS(((C10/1000+C11/1000000)*(C13-H10)/(C13*H10)*C63)^2+((C10/1000+C11/1000000)*(I48-I50))^2*C64^2/H10^4+(C10/1000+C11/1000000)^2*(I48-I50)*((I48-I50)-2*(C15-I50))*C65^2/C13^4))*1000000</f>
        <v>#N/A</v>
      </c>
      <c r="D66" s="1051" t="s">
        <v>3</v>
      </c>
      <c r="E66" s="1037" t="s">
        <v>240</v>
      </c>
      <c r="F66" s="139">
        <v>200</v>
      </c>
      <c r="G66" s="1112" t="e">
        <f t="shared" si="0"/>
        <v>#N/A</v>
      </c>
      <c r="H66" s="130"/>
      <c r="I66" s="1093" t="s">
        <v>554</v>
      </c>
      <c r="J66" s="1095" t="s">
        <v>556</v>
      </c>
      <c r="K66" s="1094" t="s">
        <v>555</v>
      </c>
      <c r="L66" s="130"/>
      <c r="M66" s="130"/>
      <c r="Q66" s="47"/>
      <c r="R66" s="47"/>
      <c r="S66" s="47"/>
      <c r="T66" s="47"/>
      <c r="U66" s="47"/>
    </row>
    <row r="67" spans="1:21" s="48" customFormat="1" ht="57.95" customHeight="1" thickBot="1" x14ac:dyDescent="0.3">
      <c r="A67" s="1047" t="s">
        <v>52</v>
      </c>
      <c r="B67" s="1048"/>
      <c r="C67" s="1049" t="e">
        <f>+(G15/2/3^0.5)*2^0.5*1000</f>
        <v>#N/A</v>
      </c>
      <c r="D67" s="1044" t="s">
        <v>3</v>
      </c>
      <c r="E67" s="1045" t="s">
        <v>239</v>
      </c>
      <c r="F67" s="1050">
        <v>200</v>
      </c>
      <c r="G67" s="1112" t="e">
        <f t="shared" si="0"/>
        <v>#N/A</v>
      </c>
      <c r="H67" s="130"/>
      <c r="I67" s="1096" t="e">
        <f>G70^4/((C59^4/F59)+(C62^4/F62)+(C66^4/F66)+(C67^4/F67)+(C68^4/F68))</f>
        <v>#DIV/0!</v>
      </c>
      <c r="J67" s="1097" t="e">
        <f>TINV(0.05,I67)</f>
        <v>#DIV/0!</v>
      </c>
      <c r="K67" s="1098" t="e">
        <f>1-TDIST(J67,I67,2)</f>
        <v>#DIV/0!</v>
      </c>
      <c r="L67" s="130"/>
      <c r="M67" s="130"/>
    </row>
    <row r="68" spans="1:21" s="46" customFormat="1" ht="65.25" customHeight="1" thickBot="1" x14ac:dyDescent="0.3">
      <c r="A68" s="1041" t="s">
        <v>552</v>
      </c>
      <c r="B68" s="1042"/>
      <c r="C68" s="1043">
        <f>0.01/SQRT(45)</f>
        <v>1.4907119849998597E-3</v>
      </c>
      <c r="D68" s="1044" t="s">
        <v>3</v>
      </c>
      <c r="E68" s="1045" t="s">
        <v>240</v>
      </c>
      <c r="F68" s="1046">
        <v>50</v>
      </c>
      <c r="G68" s="1113" t="e">
        <f t="shared" si="0"/>
        <v>#DIV/0!</v>
      </c>
      <c r="H68" s="130"/>
      <c r="I68" s="130"/>
      <c r="J68" s="130"/>
      <c r="K68" s="130"/>
      <c r="L68" s="130"/>
      <c r="M68" s="130"/>
      <c r="S68" s="48"/>
      <c r="T68" s="48"/>
      <c r="U68" s="48"/>
    </row>
    <row r="69" spans="1:21" s="46" customFormat="1" ht="65.25" customHeight="1" thickBot="1" x14ac:dyDescent="0.25">
      <c r="A69" s="130"/>
      <c r="B69" s="130"/>
      <c r="C69" s="130"/>
      <c r="D69" s="130"/>
      <c r="E69" s="130"/>
      <c r="F69" s="130"/>
      <c r="G69" s="1114" t="e">
        <f>SUM(G59,G62,G66,G67,G68)</f>
        <v>#DIV/0!</v>
      </c>
      <c r="H69" s="130"/>
      <c r="I69" s="130"/>
      <c r="J69" s="130"/>
      <c r="K69" s="130"/>
      <c r="L69" s="130"/>
      <c r="M69" s="130"/>
      <c r="S69" s="48"/>
      <c r="T69" s="48"/>
      <c r="U69" s="48"/>
    </row>
    <row r="70" spans="1:21" s="106" customFormat="1" ht="51.75" customHeight="1" thickBot="1" x14ac:dyDescent="0.3">
      <c r="D70" s="1306" t="s">
        <v>51</v>
      </c>
      <c r="E70" s="1307"/>
      <c r="F70" s="134"/>
      <c r="G70" s="140" t="e">
        <f>+SQRT(SUMSQ(C59,C62,C66,C67,C68))</f>
        <v>#DIV/0!</v>
      </c>
      <c r="H70" s="136" t="s">
        <v>3</v>
      </c>
      <c r="K70" s="130"/>
      <c r="L70" s="130"/>
      <c r="M70" s="130"/>
      <c r="S70" s="48"/>
      <c r="T70" s="48"/>
      <c r="U70" s="48"/>
    </row>
    <row r="71" spans="1:21" s="106" customFormat="1" ht="35.1" customHeight="1" thickBot="1" x14ac:dyDescent="0.25">
      <c r="D71" s="1306" t="s">
        <v>53</v>
      </c>
      <c r="E71" s="1307"/>
      <c r="F71" s="135"/>
      <c r="G71" s="140" t="e">
        <f>+G70*2</f>
        <v>#DIV/0!</v>
      </c>
      <c r="H71" s="137" t="s">
        <v>3</v>
      </c>
      <c r="K71" s="110"/>
      <c r="L71" s="107"/>
      <c r="O71" s="48"/>
      <c r="P71" s="48"/>
      <c r="Q71" s="48"/>
      <c r="R71" s="48"/>
      <c r="S71" s="48"/>
      <c r="T71" s="48"/>
      <c r="U71" s="48"/>
    </row>
    <row r="72" spans="1:21" s="106" customFormat="1" ht="33.75" customHeight="1" thickBot="1" x14ac:dyDescent="4.45">
      <c r="B72" s="1313" t="s">
        <v>54</v>
      </c>
      <c r="C72" s="1314"/>
      <c r="D72" s="1314"/>
      <c r="E72" s="1314"/>
      <c r="F72" s="1314"/>
      <c r="G72" s="1314"/>
      <c r="H72" s="1314"/>
      <c r="I72" s="1314"/>
      <c r="J72" s="1314"/>
      <c r="K72" s="1315"/>
      <c r="L72" s="117"/>
      <c r="O72" s="48"/>
      <c r="P72" s="48"/>
      <c r="Q72" s="48"/>
      <c r="R72" s="48"/>
      <c r="S72" s="48"/>
      <c r="T72" s="48"/>
      <c r="U72" s="48"/>
    </row>
    <row r="73" spans="1:21" s="106" customFormat="1" ht="35.1" customHeight="1" thickBot="1" x14ac:dyDescent="0.25">
      <c r="B73" s="1368" t="s">
        <v>255</v>
      </c>
      <c r="C73" s="1369"/>
      <c r="D73" s="1369"/>
      <c r="E73" s="1370"/>
      <c r="F73" s="79"/>
      <c r="G73" s="80"/>
      <c r="H73" s="1371"/>
      <c r="I73" s="1372"/>
      <c r="J73" s="1372"/>
      <c r="K73" s="1373"/>
      <c r="O73" s="48"/>
      <c r="P73" s="48"/>
      <c r="Q73" s="48"/>
      <c r="R73" s="48"/>
      <c r="S73" s="48"/>
      <c r="T73" s="48"/>
      <c r="U73" s="48"/>
    </row>
    <row r="74" spans="1:21" s="106" customFormat="1" ht="40.5" customHeight="1" x14ac:dyDescent="0.2">
      <c r="B74" s="118"/>
      <c r="C74" s="362" t="s">
        <v>348</v>
      </c>
      <c r="D74" s="119" t="s">
        <v>253</v>
      </c>
      <c r="E74" s="120"/>
      <c r="F74" s="1358"/>
      <c r="G74" s="1358"/>
      <c r="H74" s="1359" t="s">
        <v>266</v>
      </c>
      <c r="I74" s="1381" t="s">
        <v>254</v>
      </c>
      <c r="J74" s="1381"/>
      <c r="K74" s="1382"/>
      <c r="O74" s="48"/>
      <c r="P74" s="48"/>
      <c r="Q74" s="48"/>
      <c r="R74" s="48"/>
      <c r="S74" s="48"/>
      <c r="T74" s="48"/>
      <c r="U74" s="48"/>
    </row>
    <row r="75" spans="1:21" s="106" customFormat="1" ht="35.1" customHeight="1" x14ac:dyDescent="0.2">
      <c r="B75" s="927" t="e">
        <f>C10</f>
        <v>#N/A</v>
      </c>
      <c r="C75" s="77" t="e">
        <f>C11</f>
        <v>#N/A</v>
      </c>
      <c r="D75" s="78" t="e">
        <f>H54</f>
        <v>#DIV/0!</v>
      </c>
      <c r="E75" s="940" t="e">
        <f>B75+(C75/1000)+(D75/1000)</f>
        <v>#N/A</v>
      </c>
      <c r="F75" s="264" t="e">
        <f>E75*1000-B75*1000</f>
        <v>#N/A</v>
      </c>
      <c r="G75" s="61"/>
      <c r="H75" s="1360"/>
      <c r="I75" s="285" t="e">
        <f>G71</f>
        <v>#DIV/0!</v>
      </c>
      <c r="J75" s="1364"/>
      <c r="K75" s="1365"/>
      <c r="O75" s="48"/>
      <c r="P75" s="48"/>
      <c r="Q75" s="48"/>
      <c r="R75" s="48"/>
      <c r="S75" s="48"/>
      <c r="T75" s="48"/>
      <c r="U75" s="48"/>
    </row>
    <row r="76" spans="1:21" s="106" customFormat="1" ht="35.1" customHeight="1" thickBot="1" x14ac:dyDescent="0.25">
      <c r="B76" s="928" t="e">
        <f>B75</f>
        <v>#N/A</v>
      </c>
      <c r="C76" s="88" t="e">
        <f>C75</f>
        <v>#N/A</v>
      </c>
      <c r="D76" s="88" t="e">
        <f>D75</f>
        <v>#DIV/0!</v>
      </c>
      <c r="E76" s="262" t="e">
        <f>B76+(C76/1000)+(D76/1000)</f>
        <v>#N/A</v>
      </c>
      <c r="F76" s="283" t="e">
        <f>F75/1000</f>
        <v>#N/A</v>
      </c>
      <c r="G76" s="89"/>
      <c r="H76" s="1361"/>
      <c r="I76" s="290" t="e">
        <f>I75/1000</f>
        <v>#DIV/0!</v>
      </c>
      <c r="J76" s="1366"/>
      <c r="K76" s="1367"/>
      <c r="O76" s="48"/>
      <c r="P76" s="48"/>
      <c r="Q76" s="48"/>
      <c r="R76" s="48"/>
      <c r="S76" s="48"/>
      <c r="T76" s="48"/>
      <c r="U76" s="48"/>
    </row>
    <row r="77" spans="1:21" s="106" customFormat="1" ht="35.1" customHeight="1" x14ac:dyDescent="0.2">
      <c r="G77" s="47"/>
      <c r="H77" s="47"/>
      <c r="I77" s="47"/>
      <c r="J77" s="47"/>
      <c r="O77" s="48"/>
      <c r="P77" s="48"/>
      <c r="Q77" s="48"/>
      <c r="R77" s="48"/>
      <c r="S77" s="48"/>
      <c r="T77" s="48"/>
      <c r="U77" s="48"/>
    </row>
    <row r="78" spans="1:21" s="106" customFormat="1" ht="35.1" customHeight="1" x14ac:dyDescent="0.2">
      <c r="G78" s="47"/>
      <c r="H78" s="47"/>
      <c r="I78" s="47"/>
      <c r="J78" s="47"/>
      <c r="O78" s="48"/>
      <c r="P78" s="48"/>
      <c r="Q78" s="48"/>
      <c r="R78" s="48"/>
      <c r="S78" s="48"/>
      <c r="T78" s="48"/>
      <c r="U78" s="48"/>
    </row>
    <row r="79" spans="1:21" s="106" customFormat="1" ht="35.1" customHeight="1" x14ac:dyDescent="0.2">
      <c r="G79" s="47"/>
      <c r="H79" s="47"/>
      <c r="I79" s="47"/>
      <c r="J79" s="47"/>
    </row>
    <row r="80" spans="1:21" s="107" customFormat="1" ht="9.9499999999999993" customHeight="1" x14ac:dyDescent="0.2">
      <c r="A80" s="109"/>
      <c r="B80" s="106"/>
      <c r="C80" s="106"/>
      <c r="D80" s="106"/>
      <c r="E80" s="106"/>
      <c r="F80" s="106"/>
      <c r="G80" s="47"/>
      <c r="H80" s="47"/>
    </row>
    <row r="81" spans="2:11" s="111" customFormat="1" ht="35.1" customHeight="1" x14ac:dyDescent="0.2">
      <c r="B81" s="106"/>
      <c r="C81" s="106"/>
      <c r="D81" s="106"/>
      <c r="E81" s="106"/>
      <c r="F81" s="106"/>
      <c r="G81" s="47"/>
      <c r="H81" s="47"/>
    </row>
    <row r="82" spans="2:11" s="106" customFormat="1" ht="61.5" customHeight="1" x14ac:dyDescent="0.2">
      <c r="H82" s="111"/>
      <c r="I82" s="111"/>
      <c r="J82" s="111"/>
      <c r="K82" s="108"/>
    </row>
    <row r="83" spans="2:11" s="106" customFormat="1" ht="35.1" customHeight="1" x14ac:dyDescent="0.2">
      <c r="G83" s="111"/>
      <c r="H83" s="111"/>
      <c r="I83" s="111"/>
      <c r="J83" s="111"/>
      <c r="K83" s="108"/>
    </row>
    <row r="84" spans="2:11" s="106" customFormat="1" ht="35.1" customHeight="1" x14ac:dyDescent="0.2">
      <c r="G84" s="111"/>
      <c r="H84" s="111"/>
      <c r="I84" s="111"/>
      <c r="J84" s="111"/>
      <c r="K84" s="108"/>
    </row>
    <row r="85" spans="2:11" s="106" customFormat="1" ht="35.1" customHeight="1" x14ac:dyDescent="0.2">
      <c r="F85" s="107"/>
      <c r="K85" s="108"/>
    </row>
    <row r="86" spans="2:11" s="106" customFormat="1" ht="50.1" customHeight="1" x14ac:dyDescent="0.2"/>
    <row r="87" spans="2:11" s="106" customFormat="1" ht="57.75" customHeight="1" x14ac:dyDescent="0.2">
      <c r="C87" s="112"/>
      <c r="D87" s="112"/>
      <c r="E87" s="112"/>
    </row>
    <row r="88" spans="2:11" s="106" customFormat="1" ht="35.1" customHeight="1" x14ac:dyDescent="0.2"/>
    <row r="89" spans="2:11" s="106" customFormat="1" ht="35.1" customHeight="1" x14ac:dyDescent="0.2">
      <c r="F89" s="108"/>
      <c r="G89" s="108"/>
      <c r="H89" s="108"/>
      <c r="I89" s="108"/>
      <c r="J89" s="108"/>
    </row>
    <row r="90" spans="2:11" s="106" customFormat="1" ht="35.1" customHeight="1" x14ac:dyDescent="0.2"/>
    <row r="91" spans="2:11" s="106" customFormat="1" ht="50.1" customHeight="1" x14ac:dyDescent="0.2">
      <c r="J91" s="47"/>
    </row>
    <row r="92" spans="2:11" s="106" customFormat="1" ht="55.5" customHeight="1" x14ac:dyDescent="0.2">
      <c r="J92" s="111"/>
    </row>
    <row r="93" spans="2:11" s="106" customFormat="1" ht="50.1" customHeight="1" x14ac:dyDescent="0.2">
      <c r="J93" s="111"/>
    </row>
    <row r="94" spans="2:11" s="107" customFormat="1" ht="31.5" customHeight="1" x14ac:dyDescent="0.2">
      <c r="J94" s="111"/>
    </row>
    <row r="95" spans="2:11" s="106" customFormat="1" ht="35.1" customHeight="1" x14ac:dyDescent="0.2">
      <c r="G95" s="111"/>
      <c r="H95" s="111"/>
      <c r="I95" s="111"/>
      <c r="J95" s="111"/>
    </row>
    <row r="96" spans="2:11" s="106" customFormat="1" ht="35.1" customHeight="1" x14ac:dyDescent="0.2">
      <c r="G96" s="111"/>
      <c r="H96" s="111"/>
      <c r="I96" s="111"/>
      <c r="J96" s="111"/>
    </row>
    <row r="97" spans="1:12" s="106" customFormat="1" ht="9.9499999999999993" customHeight="1" x14ac:dyDescent="0.2">
      <c r="G97" s="108"/>
      <c r="H97" s="108"/>
      <c r="I97" s="108"/>
      <c r="J97" s="108"/>
    </row>
    <row r="98" spans="1:12" s="106" customFormat="1" ht="35.1" customHeight="1" x14ac:dyDescent="0.2">
      <c r="J98" s="108"/>
      <c r="K98" s="108"/>
      <c r="L98" s="108"/>
    </row>
    <row r="99" spans="1:12" s="46" customFormat="1" ht="15" customHeight="1" x14ac:dyDescent="0.2">
      <c r="A99" s="47"/>
      <c r="G99" s="47"/>
      <c r="H99" s="47"/>
      <c r="I99" s="47"/>
      <c r="J99" s="47"/>
      <c r="K99" s="48"/>
    </row>
    <row r="100" spans="1:12" s="48" customFormat="1" ht="31.5" customHeight="1" x14ac:dyDescent="0.2">
      <c r="A100" s="47"/>
      <c r="B100" s="47"/>
      <c r="C100" s="47"/>
      <c r="D100" s="47"/>
      <c r="E100" s="47"/>
      <c r="F100" s="47"/>
      <c r="G100" s="47"/>
      <c r="H100" s="47"/>
      <c r="I100" s="47"/>
      <c r="J100" s="47"/>
    </row>
    <row r="101" spans="1:12" s="48" customFormat="1" ht="31.5" customHeight="1" x14ac:dyDescent="0.2"/>
    <row r="102" spans="1:12" s="48" customFormat="1" ht="31.5" customHeight="1" x14ac:dyDescent="0.2"/>
    <row r="103" spans="1:12" s="48" customFormat="1" ht="52.5" customHeight="1" x14ac:dyDescent="0.2"/>
    <row r="104" spans="1:12" s="48" customFormat="1" ht="31.5" customHeight="1" x14ac:dyDescent="0.2">
      <c r="K104" s="8"/>
    </row>
    <row r="105" spans="1:12" s="48" customFormat="1" ht="31.5" customHeight="1" x14ac:dyDescent="0.2">
      <c r="K105" s="8"/>
    </row>
    <row r="106" spans="1:12" ht="31.5" customHeight="1" x14ac:dyDescent="0.2">
      <c r="G106" s="76"/>
    </row>
    <row r="107" spans="1:12" ht="51" customHeight="1" x14ac:dyDescent="0.2"/>
    <row r="109" spans="1:12" ht="31.5" customHeight="1" x14ac:dyDescent="0.2">
      <c r="B109" s="29"/>
      <c r="C109" s="29"/>
      <c r="D109" s="29"/>
      <c r="E109" s="29"/>
      <c r="F109" s="29"/>
      <c r="G109" s="29"/>
      <c r="H109" s="29"/>
      <c r="I109" s="29"/>
      <c r="J109" s="29"/>
    </row>
    <row r="110" spans="1:12" ht="31.5" customHeight="1" x14ac:dyDescent="0.2">
      <c r="B110" s="29"/>
      <c r="C110" s="29"/>
      <c r="D110" s="29"/>
      <c r="E110" s="29"/>
      <c r="F110" s="29"/>
      <c r="G110" s="29"/>
      <c r="H110" s="29"/>
      <c r="I110" s="29"/>
      <c r="J110" s="29"/>
    </row>
    <row r="111" spans="1:12" ht="31.5" customHeight="1" x14ac:dyDescent="0.2">
      <c r="B111" s="29"/>
      <c r="C111" s="29"/>
      <c r="D111" s="29"/>
      <c r="E111" s="29"/>
      <c r="F111" s="29"/>
      <c r="G111" s="29"/>
      <c r="H111" s="29"/>
      <c r="I111" s="29"/>
      <c r="J111" s="29"/>
    </row>
    <row r="112" spans="1:12" ht="31.5" customHeight="1" x14ac:dyDescent="0.2">
      <c r="B112" s="29"/>
      <c r="C112" s="29"/>
      <c r="D112" s="29"/>
      <c r="E112" s="29"/>
      <c r="F112" s="29"/>
      <c r="G112" s="29"/>
      <c r="H112" s="29"/>
      <c r="I112" s="29"/>
      <c r="J112" s="29"/>
    </row>
    <row r="113" spans="2:10" ht="31.5" customHeight="1" x14ac:dyDescent="0.2">
      <c r="B113" s="29"/>
      <c r="C113" s="29"/>
      <c r="D113" s="29"/>
      <c r="E113" s="29"/>
      <c r="F113" s="29"/>
      <c r="G113" s="29"/>
      <c r="H113" s="29"/>
      <c r="I113" s="29"/>
      <c r="J113" s="29"/>
    </row>
    <row r="114" spans="2:10" ht="31.5" customHeight="1" x14ac:dyDescent="0.2">
      <c r="B114" s="29"/>
      <c r="C114" s="29"/>
      <c r="D114" s="29"/>
      <c r="E114" s="29"/>
      <c r="F114" s="29"/>
      <c r="G114" s="29"/>
      <c r="H114" s="29"/>
      <c r="I114" s="29"/>
      <c r="J114" s="29"/>
    </row>
    <row r="115" spans="2:10" ht="31.5" customHeight="1" x14ac:dyDescent="0.2">
      <c r="B115" s="29"/>
      <c r="C115" s="29"/>
      <c r="D115" s="29"/>
      <c r="E115" s="29"/>
      <c r="F115" s="29"/>
      <c r="G115" s="29"/>
      <c r="H115" s="29"/>
      <c r="I115" s="29"/>
      <c r="J115" s="29"/>
    </row>
  </sheetData>
  <sheetProtection password="CF5C" sheet="1" objects="1" scenarios="1"/>
  <mergeCells count="62">
    <mergeCell ref="D70:E70"/>
    <mergeCell ref="D71:E71"/>
    <mergeCell ref="B72:K72"/>
    <mergeCell ref="B73:E73"/>
    <mergeCell ref="H73:K73"/>
    <mergeCell ref="F74:G74"/>
    <mergeCell ref="H74:H76"/>
    <mergeCell ref="I74:K74"/>
    <mergeCell ref="J75:K75"/>
    <mergeCell ref="J76:K76"/>
    <mergeCell ref="A56:J56"/>
    <mergeCell ref="A58:B58"/>
    <mergeCell ref="C58:D58"/>
    <mergeCell ref="E58:F58"/>
    <mergeCell ref="H60:M60"/>
    <mergeCell ref="A50:B50"/>
    <mergeCell ref="G50:H50"/>
    <mergeCell ref="A52:J52"/>
    <mergeCell ref="D53:E53"/>
    <mergeCell ref="H53:I53"/>
    <mergeCell ref="A49:B49"/>
    <mergeCell ref="G49:H49"/>
    <mergeCell ref="A28:A31"/>
    <mergeCell ref="C33:D33"/>
    <mergeCell ref="F33:G33"/>
    <mergeCell ref="A36:J36"/>
    <mergeCell ref="B38:F38"/>
    <mergeCell ref="H38:J38"/>
    <mergeCell ref="H39:J42"/>
    <mergeCell ref="A46:J46"/>
    <mergeCell ref="A47:B48"/>
    <mergeCell ref="C47:E47"/>
    <mergeCell ref="G48:H48"/>
    <mergeCell ref="A27:B27"/>
    <mergeCell ref="G27:H27"/>
    <mergeCell ref="A14:B14"/>
    <mergeCell ref="A15:B15"/>
    <mergeCell ref="A16:B16"/>
    <mergeCell ref="C16:D16"/>
    <mergeCell ref="A18:J18"/>
    <mergeCell ref="F19:G19"/>
    <mergeCell ref="J19:J20"/>
    <mergeCell ref="A20:B20"/>
    <mergeCell ref="E20:F20"/>
    <mergeCell ref="A22:J22"/>
    <mergeCell ref="C24:D24"/>
    <mergeCell ref="F24:G24"/>
    <mergeCell ref="C26:F26"/>
    <mergeCell ref="G26:H26"/>
    <mergeCell ref="A13:B13"/>
    <mergeCell ref="F13:I13"/>
    <mergeCell ref="A1:B1"/>
    <mergeCell ref="C1:M1"/>
    <mergeCell ref="I3:J4"/>
    <mergeCell ref="A6:D6"/>
    <mergeCell ref="F6:I6"/>
    <mergeCell ref="F9:G9"/>
    <mergeCell ref="A10:B10"/>
    <mergeCell ref="F10:G10"/>
    <mergeCell ref="A11:B11"/>
    <mergeCell ref="F11:G11"/>
    <mergeCell ref="A12:B12"/>
  </mergeCells>
  <printOptions horizontalCentered="1"/>
  <pageMargins left="0.70866141732283472" right="0.70866141732283472" top="0.74803149606299213" bottom="0.74803149606299213" header="0.31496062992125984" footer="0.31496062992125984"/>
  <pageSetup scale="13" orientation="portrait" r:id="rId1"/>
  <headerFooter>
    <oddHeader xml:space="preserve">&amp;C
&amp;16   
</oddHeader>
    <oddFooter xml:space="preserve">&amp;RRT03-F13 Vr.14 (2021-05-21)
</oddFooter>
  </headerFooter>
  <rowBreaks count="1" manualBreakCount="1">
    <brk id="34" max="12" man="1"/>
  </rowBreaks>
  <drawing r:id="rId2"/>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0500-000000000000}">
          <x14:formula1>
            <xm:f>'DATOS %'!$B$7:$B$40</xm:f>
          </x14:formula1>
          <xm:sqref>I3:J4</xm:sqref>
        </x14:dataValidation>
        <x14:dataValidation type="list" allowBlank="1" showInputMessage="1" showErrorMessage="1" xr:uid="{00000000-0002-0000-0500-000001000000}">
          <x14:formula1>
            <xm:f>'DATOS %'!$J$174:$J$179</xm:f>
          </x14:formula1>
          <xm:sqref>J19:J20</xm:sqref>
        </x14:dataValidation>
        <x14:dataValidation type="list" allowBlank="1" showInputMessage="1" showErrorMessage="1" xr:uid="{00000000-0002-0000-0500-000002000000}">
          <x14:formula1>
            <xm:f>'DATOS %'!$N$121:$N$166</xm:f>
          </x14:formula1>
          <xm:sqref>F48</xm:sqref>
        </x14:dataValidation>
        <x14:dataValidation type="list" allowBlank="1" showInputMessage="1" showErrorMessage="1" xr:uid="{00000000-0002-0000-0500-000003000000}">
          <x14:formula1>
            <xm:f>'DATOS %'!$N$29:$N$113</xm:f>
          </x14:formula1>
          <xm:sqref>E6</xm:sqref>
        </x14:dataValidation>
        <x14:dataValidation type="list" allowBlank="1" showInputMessage="1" showErrorMessage="1" xr:uid="{00000000-0002-0000-0500-000004000000}">
          <x14:formula1>
            <xm:f>'DATOS %'!$V$120:$V$126</xm:f>
          </x14:formula1>
          <xm:sqref>J13</xm:sqref>
        </x14:dataValidation>
        <x14:dataValidation type="list" allowBlank="1" showInputMessage="1" showErrorMessage="1" xr:uid="{00000000-0002-0000-0500-000005000000}">
          <x14:formula1>
            <xm:f>'DATOS %'!$V$161:$V$165</xm:f>
          </x14:formula1>
          <xm:sqref>H25</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FF00"/>
  </sheetPr>
  <dimension ref="A1:U115"/>
  <sheetViews>
    <sheetView showGridLines="0" view="pageBreakPreview" topLeftCell="A16" zoomScale="80" zoomScaleNormal="60" zoomScaleSheetLayoutView="80" workbookViewId="0">
      <selection activeCell="C65" sqref="C65"/>
    </sheetView>
  </sheetViews>
  <sheetFormatPr baseColWidth="10" defaultColWidth="11.42578125" defaultRowHeight="31.5" customHeight="1" x14ac:dyDescent="0.2"/>
  <cols>
    <col min="1" max="1" width="14.7109375" style="37" customWidth="1"/>
    <col min="2" max="2" width="12" style="37" customWidth="1"/>
    <col min="3" max="3" width="15.7109375" style="37" customWidth="1"/>
    <col min="4" max="4" width="17" style="37" customWidth="1"/>
    <col min="5" max="5" width="15.5703125" style="37" customWidth="1"/>
    <col min="6" max="6" width="18.5703125" style="37" customWidth="1"/>
    <col min="7" max="7" width="15.7109375" style="37" customWidth="1"/>
    <col min="8" max="8" width="24.42578125" style="37" bestFit="1" customWidth="1"/>
    <col min="9" max="9" width="13.85546875" style="37" bestFit="1" customWidth="1"/>
    <col min="10" max="10" width="13.7109375" style="37" customWidth="1"/>
    <col min="11" max="19" width="11.42578125" style="8"/>
    <col min="20" max="20" width="15.85546875" style="8" bestFit="1" customWidth="1"/>
    <col min="21" max="21" width="14.42578125" style="8" bestFit="1" customWidth="1"/>
    <col min="22" max="16384" width="11.42578125" style="8"/>
  </cols>
  <sheetData>
    <row r="1" spans="1:16" ht="60" customHeight="1" thickBot="1" x14ac:dyDescent="0.25">
      <c r="A1" s="1257"/>
      <c r="B1" s="1258"/>
      <c r="C1" s="1259" t="s">
        <v>57</v>
      </c>
      <c r="D1" s="1260"/>
      <c r="E1" s="1260"/>
      <c r="F1" s="1260"/>
      <c r="G1" s="1260"/>
      <c r="H1" s="1260"/>
      <c r="I1" s="1260"/>
      <c r="J1" s="1260"/>
      <c r="K1" s="1260"/>
      <c r="L1" s="1260"/>
      <c r="M1" s="1261"/>
      <c r="N1" s="7"/>
      <c r="O1" s="7"/>
      <c r="P1" s="7"/>
    </row>
    <row r="2" spans="1:16" s="11" customFormat="1" ht="9.75" customHeight="1" thickBot="1" x14ac:dyDescent="0.25">
      <c r="A2" s="9"/>
      <c r="B2" s="9"/>
      <c r="C2" s="10"/>
      <c r="D2" s="10"/>
      <c r="E2" s="10"/>
      <c r="F2" s="10"/>
      <c r="G2" s="10"/>
      <c r="H2" s="10"/>
      <c r="K2" s="12"/>
      <c r="M2" s="7"/>
    </row>
    <row r="3" spans="1:16" s="12" customFormat="1" ht="35.25" customHeight="1" thickBot="1" x14ac:dyDescent="0.25">
      <c r="A3" s="13" t="s">
        <v>17</v>
      </c>
      <c r="B3" s="14" t="s">
        <v>55</v>
      </c>
      <c r="C3" s="15" t="s">
        <v>209</v>
      </c>
      <c r="D3" s="15" t="s">
        <v>56</v>
      </c>
      <c r="E3" s="15" t="s">
        <v>8</v>
      </c>
      <c r="F3" s="16" t="s">
        <v>18</v>
      </c>
      <c r="G3" s="16" t="s">
        <v>297</v>
      </c>
      <c r="H3" s="17" t="s">
        <v>24</v>
      </c>
      <c r="I3" s="1262"/>
      <c r="J3" s="1263"/>
      <c r="K3" s="11"/>
      <c r="M3" s="7"/>
    </row>
    <row r="4" spans="1:16" s="11" customFormat="1" ht="32.25" customHeight="1" thickBot="1" x14ac:dyDescent="0.25">
      <c r="A4" s="18" t="e">
        <f>VLOOKUP($I$3,'DATOS %'!B7:J29,2,FALSE)</f>
        <v>#N/A</v>
      </c>
      <c r="B4" s="212" t="e">
        <f>VLOOKUP($I$3,'DATOS %'!$B$7:$J$29,3,FALSE)</f>
        <v>#N/A</v>
      </c>
      <c r="C4" s="19" t="e">
        <f>VLOOKUP($I$3,'DATOS %'!$B$7:$J$29,8,FALSE)</f>
        <v>#N/A</v>
      </c>
      <c r="D4" s="19" t="e">
        <f>VLOOKUP($I$3,'DATOS %'!$B$7:$J$29,6,FALSE)</f>
        <v>#N/A</v>
      </c>
      <c r="E4" s="212" t="e">
        <f>VLOOKUP($I$3,'DATOS %'!$B$7:$J$29,7,FALSE)</f>
        <v>#N/A</v>
      </c>
      <c r="F4" s="18" t="e">
        <f>VLOOKUP($I$3,'DATOS %'!$B$7:$J$29,4,FALSE)</f>
        <v>#N/A</v>
      </c>
      <c r="G4" s="18" t="e">
        <f>VLOOKUP($I$3,'DATOS %'!$B$7:$J$29,5,FALSE)</f>
        <v>#N/A</v>
      </c>
      <c r="H4" s="19" t="e">
        <f>VLOOKUP($I$3,'DATOS %'!$B$7:$J$29,9,FALSE)</f>
        <v>#N/A</v>
      </c>
      <c r="I4" s="1264"/>
      <c r="J4" s="1265"/>
      <c r="K4" s="8"/>
      <c r="L4" s="20"/>
      <c r="M4" s="20"/>
    </row>
    <row r="5" spans="1:16" s="22" customFormat="1" ht="6.75" customHeight="1" thickBot="1" x14ac:dyDescent="0.25">
      <c r="A5" s="21"/>
      <c r="B5" s="21"/>
      <c r="C5" s="21"/>
      <c r="F5" s="21"/>
      <c r="G5" s="21"/>
      <c r="H5" s="21"/>
      <c r="K5" s="8"/>
    </row>
    <row r="6" spans="1:16" ht="31.5" customHeight="1" thickBot="1" x14ac:dyDescent="0.25">
      <c r="A6" s="1266" t="s">
        <v>19</v>
      </c>
      <c r="B6" s="1267"/>
      <c r="C6" s="1267"/>
      <c r="D6" s="1268"/>
      <c r="E6" s="4"/>
      <c r="F6" s="1266" t="s">
        <v>20</v>
      </c>
      <c r="G6" s="1267"/>
      <c r="H6" s="1267"/>
      <c r="I6" s="1268"/>
      <c r="J6" s="402">
        <f>I3</f>
        <v>0</v>
      </c>
    </row>
    <row r="7" spans="1:16" ht="31.5" customHeight="1" x14ac:dyDescent="0.2">
      <c r="A7" s="23" t="s">
        <v>21</v>
      </c>
      <c r="B7" s="24" t="e">
        <f>VLOOKUP($E$6,'DATOS %'!N11:AA113,2,FALSE)</f>
        <v>#N/A</v>
      </c>
      <c r="C7" s="25" t="s">
        <v>10</v>
      </c>
      <c r="D7" s="26" t="e">
        <f>VLOOKUP($E$6,'DATOS %'!N11:AA113,3,FALSE)</f>
        <v>#N/A</v>
      </c>
      <c r="E7" s="27"/>
      <c r="F7" s="23" t="s">
        <v>21</v>
      </c>
      <c r="G7" s="24" t="e">
        <f>VLOOKUP($J$6,'DATOS %'!B47:I79,2,FALSE)</f>
        <v>#N/A</v>
      </c>
      <c r="H7" s="28" t="s">
        <v>10</v>
      </c>
      <c r="I7" s="26" t="e">
        <f>VLOOKUP($J$6,'DATOS %'!B47:I79,3,FALSE)</f>
        <v>#N/A</v>
      </c>
      <c r="J7" s="29"/>
    </row>
    <row r="8" spans="1:16" ht="31.5" customHeight="1" x14ac:dyDescent="0.2">
      <c r="A8" s="30" t="s">
        <v>22</v>
      </c>
      <c r="B8" s="31" t="e">
        <f>VLOOKUP($E$6,'DATOS %'!N11:AA113,4,FALSE)</f>
        <v>#N/A</v>
      </c>
      <c r="C8" s="32" t="s">
        <v>23</v>
      </c>
      <c r="D8" s="33" t="e">
        <f>VLOOKUP($E$6,'DATOS %'!N11:AA113,5,FALSE)</f>
        <v>#N/A</v>
      </c>
      <c r="E8" s="1153"/>
      <c r="F8" s="30" t="s">
        <v>22</v>
      </c>
      <c r="G8" s="31" t="e">
        <f>VLOOKUP($J$6,'DATOS %'!B47:I79,4,FALSE)</f>
        <v>#N/A</v>
      </c>
      <c r="H8" s="32" t="s">
        <v>23</v>
      </c>
      <c r="I8" s="297" t="e">
        <f>VLOOKUP($J$6,'DATOS %'!B47:I79,5,FALSE)</f>
        <v>#N/A</v>
      </c>
      <c r="J8" s="29"/>
    </row>
    <row r="9" spans="1:16" ht="31.5" customHeight="1" x14ac:dyDescent="0.2">
      <c r="A9" s="34" t="s">
        <v>24</v>
      </c>
      <c r="B9" s="31" t="e">
        <f>VLOOKUP($E$6,'DATOS %'!N11:AA113,6,FALSE)</f>
        <v>#N/A</v>
      </c>
      <c r="C9" s="35" t="s">
        <v>15</v>
      </c>
      <c r="D9" s="36" t="e">
        <f>VLOOKUP($E$6,'DATOS %'!N11:AA113,7,FALSE)</f>
        <v>#N/A</v>
      </c>
      <c r="F9" s="1252" t="s">
        <v>62</v>
      </c>
      <c r="G9" s="1253"/>
      <c r="H9" s="926" t="e">
        <f>(VLOOKUP($J$6,'DATOS %'!B47:I79,6,FALSE))/1000</f>
        <v>#N/A</v>
      </c>
      <c r="I9" s="33" t="s">
        <v>1</v>
      </c>
      <c r="J9" s="29"/>
      <c r="K9" s="208"/>
    </row>
    <row r="10" spans="1:16" s="38" customFormat="1" ht="31.5" customHeight="1" x14ac:dyDescent="0.25">
      <c r="A10" s="1252" t="s">
        <v>63</v>
      </c>
      <c r="B10" s="1253"/>
      <c r="C10" s="926" t="e">
        <f>(VLOOKUP($E$6,'DATOS %'!N11:AA113,8,FALSE))/1000</f>
        <v>#N/A</v>
      </c>
      <c r="D10" s="33" t="s">
        <v>1</v>
      </c>
      <c r="F10" s="1252" t="s">
        <v>64</v>
      </c>
      <c r="G10" s="1253"/>
      <c r="H10" s="213" t="e">
        <f>VLOOKUP($J$6,'DATOS %'!B47:I79,7,FALSE)</f>
        <v>#N/A</v>
      </c>
      <c r="I10" s="33" t="s">
        <v>76</v>
      </c>
      <c r="J10" s="39"/>
    </row>
    <row r="11" spans="1:16" s="38" customFormat="1" ht="31.5" customHeight="1" thickBot="1" x14ac:dyDescent="0.3">
      <c r="A11" s="1252" t="s">
        <v>65</v>
      </c>
      <c r="B11" s="1253"/>
      <c r="C11" s="31" t="e">
        <f>VLOOKUP($E$6,'DATOS %'!N11:AA113,9,FALSE)</f>
        <v>#N/A</v>
      </c>
      <c r="D11" s="33" t="s">
        <v>3</v>
      </c>
      <c r="E11" s="40"/>
      <c r="F11" s="1271" t="s">
        <v>66</v>
      </c>
      <c r="G11" s="1272"/>
      <c r="H11" s="41" t="e">
        <f>VLOOKUP($J$6,'DATOS %'!B47:I79,8,FALSE)</f>
        <v>#N/A</v>
      </c>
      <c r="I11" s="45" t="s">
        <v>76</v>
      </c>
      <c r="J11" s="39"/>
    </row>
    <row r="12" spans="1:16" s="38" customFormat="1" ht="31.5" customHeight="1" thickBot="1" x14ac:dyDescent="0.3">
      <c r="A12" s="1252" t="s">
        <v>67</v>
      </c>
      <c r="B12" s="1253"/>
      <c r="C12" s="31" t="e">
        <f>VLOOKUP($E$6,'DATOS %'!N11:AA113,10,FALSE)</f>
        <v>#N/A</v>
      </c>
      <c r="D12" s="33" t="s">
        <v>3</v>
      </c>
      <c r="E12" s="39"/>
      <c r="F12" s="39"/>
      <c r="G12" s="39"/>
      <c r="H12" s="39"/>
    </row>
    <row r="13" spans="1:16" s="38" customFormat="1" ht="31.5" customHeight="1" thickBot="1" x14ac:dyDescent="0.3">
      <c r="A13" s="1252" t="s">
        <v>68</v>
      </c>
      <c r="B13" s="1253"/>
      <c r="C13" s="213" t="e">
        <f>VLOOKUP($E$6,'DATOS %'!N11:AA113,11,FALSE)</f>
        <v>#N/A</v>
      </c>
      <c r="D13" s="33" t="s">
        <v>76</v>
      </c>
      <c r="E13" s="39"/>
      <c r="F13" s="1254" t="s">
        <v>559</v>
      </c>
      <c r="G13" s="1255"/>
      <c r="H13" s="1255"/>
      <c r="I13" s="1256"/>
      <c r="J13" s="5"/>
    </row>
    <row r="14" spans="1:16" s="38" customFormat="1" ht="31.5" customHeight="1" x14ac:dyDescent="0.2">
      <c r="A14" s="1252" t="s">
        <v>305</v>
      </c>
      <c r="B14" s="1253"/>
      <c r="C14" s="31" t="e">
        <f>VLOOKUP($E$6,'DATOS %'!N11:AA113,12,FALSE)</f>
        <v>#N/A</v>
      </c>
      <c r="D14" s="33" t="s">
        <v>76</v>
      </c>
      <c r="E14" s="39"/>
      <c r="F14" s="23" t="s">
        <v>10</v>
      </c>
      <c r="G14" s="24" t="e">
        <f>VLOOKUP($J$13,'DATOS %'!$V$119:$Y$126,2,FALSE)</f>
        <v>#N/A</v>
      </c>
      <c r="H14" s="28" t="s">
        <v>22</v>
      </c>
      <c r="I14" s="24" t="e">
        <f>VLOOKUP($J$13,'DATOS %'!$V$119:$Z$126,3,FALSE)</f>
        <v>#N/A</v>
      </c>
      <c r="J14" s="42"/>
      <c r="K14" s="8"/>
    </row>
    <row r="15" spans="1:16" ht="31.5" customHeight="1" thickBot="1" x14ac:dyDescent="0.25">
      <c r="A15" s="1277" t="s">
        <v>69</v>
      </c>
      <c r="B15" s="1278"/>
      <c r="C15" s="31" t="e">
        <f>VLOOKUP($E$6,'DATOS %'!N11:AA113,13,FALSE)</f>
        <v>#N/A</v>
      </c>
      <c r="D15" s="33" t="s">
        <v>76</v>
      </c>
      <c r="E15" s="29"/>
      <c r="F15" s="43" t="s">
        <v>61</v>
      </c>
      <c r="G15" s="41" t="e">
        <f>VLOOKUP($J$13,'DATOS %'!$V$119:$Y$126,4,FALSE)</f>
        <v>#N/A</v>
      </c>
      <c r="H15" s="41" t="s">
        <v>1</v>
      </c>
      <c r="I15" s="243" t="s">
        <v>210</v>
      </c>
      <c r="J15" s="45" t="e">
        <f>VLOOKUP($J$13,'DATOS %'!$V$119:$Z$126,5,FALSE)</f>
        <v>#N/A</v>
      </c>
      <c r="K15" s="22"/>
    </row>
    <row r="16" spans="1:16" ht="30.95" customHeight="1" thickBot="1" x14ac:dyDescent="0.25">
      <c r="A16" s="1279" t="s">
        <v>210</v>
      </c>
      <c r="B16" s="1280"/>
      <c r="C16" s="1281" t="e">
        <f>VLOOKUP($E$6,'DATOS %'!N11:AA113,14,FALSE)</f>
        <v>#N/A</v>
      </c>
      <c r="D16" s="1282"/>
      <c r="E16" s="29"/>
      <c r="F16" s="8"/>
      <c r="G16" s="8"/>
      <c r="H16" s="8"/>
      <c r="I16" s="8"/>
      <c r="J16" s="8"/>
    </row>
    <row r="17" spans="1:11" s="22" customFormat="1" ht="30.95" customHeight="1" thickBot="1" x14ac:dyDescent="0.25">
      <c r="A17" s="29"/>
      <c r="B17" s="29"/>
      <c r="C17" s="29"/>
      <c r="D17" s="29"/>
      <c r="E17" s="29"/>
      <c r="F17" s="29"/>
      <c r="G17" s="29"/>
      <c r="H17" s="29"/>
      <c r="I17" s="29"/>
      <c r="J17" s="29"/>
      <c r="K17" s="8"/>
    </row>
    <row r="18" spans="1:11" ht="31.5" customHeight="1" thickBot="1" x14ac:dyDescent="0.25">
      <c r="A18" s="1331" t="s">
        <v>26</v>
      </c>
      <c r="B18" s="1332"/>
      <c r="C18" s="1332"/>
      <c r="D18" s="1332"/>
      <c r="E18" s="1332"/>
      <c r="F18" s="1332"/>
      <c r="G18" s="1332"/>
      <c r="H18" s="1332"/>
      <c r="I18" s="1332"/>
      <c r="J18" s="1333"/>
    </row>
    <row r="19" spans="1:11" ht="46.5" customHeight="1" thickBot="1" x14ac:dyDescent="0.25">
      <c r="A19" s="407" t="s">
        <v>10</v>
      </c>
      <c r="B19" s="101" t="e">
        <f>VLOOKUP(J19,'DATOS %'!J174:W180,2,FALSE)</f>
        <v>#N/A</v>
      </c>
      <c r="C19" s="95" t="s">
        <v>7</v>
      </c>
      <c r="D19" s="408" t="e">
        <f>VLOOKUP(J19,'DATOS %'!J174:W180,3,FALSE)</f>
        <v>#N/A</v>
      </c>
      <c r="E19" s="409" t="s">
        <v>24</v>
      </c>
      <c r="F19" s="1286" t="e">
        <f>VLOOKUP(J19,'DATOS %'!J174:W180,5,FALSE)</f>
        <v>#N/A</v>
      </c>
      <c r="G19" s="1287"/>
      <c r="H19" s="95" t="s">
        <v>25</v>
      </c>
      <c r="I19" s="212" t="e">
        <f>VLOOKUP(J19,'DATOS %'!J174:W180,4,FALSE)</f>
        <v>#N/A</v>
      </c>
      <c r="J19" s="1374"/>
    </row>
    <row r="20" spans="1:11" ht="31.5" customHeight="1" thickBot="1" x14ac:dyDescent="0.25">
      <c r="A20" s="1290" t="s">
        <v>316</v>
      </c>
      <c r="B20" s="1291"/>
      <c r="C20" s="94" t="s">
        <v>27</v>
      </c>
      <c r="D20" s="101" t="e">
        <f>VLOOKUP(J19,'DATOS %'!J174:W180,6,FALSE)</f>
        <v>#N/A</v>
      </c>
      <c r="E20" s="1292" t="s">
        <v>307</v>
      </c>
      <c r="F20" s="1293"/>
      <c r="G20" s="101" t="e">
        <f>VLOOKUP(J19,'DATOS %'!J174:W180,7,FALSE)</f>
        <v>#N/A</v>
      </c>
      <c r="H20" s="95" t="s">
        <v>9</v>
      </c>
      <c r="I20" s="214" t="e">
        <f>VLOOKUP(J19,'DATOS %'!J174:W180,8,FALSE)</f>
        <v>#N/A</v>
      </c>
      <c r="J20" s="1289"/>
    </row>
    <row r="21" spans="1:11" s="46" customFormat="1" ht="15" customHeight="1" thickBot="1" x14ac:dyDescent="0.25">
      <c r="A21" s="47"/>
      <c r="B21" s="47"/>
      <c r="C21" s="47"/>
      <c r="D21" s="47"/>
      <c r="E21" s="47"/>
      <c r="F21" s="47"/>
      <c r="G21" s="47"/>
      <c r="H21" s="47"/>
      <c r="I21" s="47"/>
      <c r="J21" s="47"/>
      <c r="K21" s="8"/>
    </row>
    <row r="22" spans="1:11" s="48" customFormat="1" ht="31.5" customHeight="1" thickBot="1" x14ac:dyDescent="0.25">
      <c r="A22" s="1294" t="s">
        <v>28</v>
      </c>
      <c r="B22" s="1295"/>
      <c r="C22" s="1295"/>
      <c r="D22" s="1295"/>
      <c r="E22" s="1295"/>
      <c r="F22" s="1295"/>
      <c r="G22" s="1295"/>
      <c r="H22" s="1295"/>
      <c r="I22" s="1295"/>
      <c r="J22" s="1296"/>
      <c r="K22" s="47"/>
    </row>
    <row r="23" spans="1:11" s="47" customFormat="1" ht="2.25" customHeight="1" thickBot="1" x14ac:dyDescent="0.25">
      <c r="A23" s="49"/>
      <c r="B23" s="50"/>
      <c r="C23" s="50"/>
      <c r="D23" s="50"/>
      <c r="E23" s="50"/>
      <c r="F23" s="50"/>
      <c r="G23" s="50"/>
      <c r="H23" s="50"/>
      <c r="I23" s="50"/>
      <c r="J23" s="51"/>
      <c r="K23" s="48"/>
    </row>
    <row r="24" spans="1:11" s="48" customFormat="1" ht="31.5" customHeight="1" thickBot="1" x14ac:dyDescent="0.25">
      <c r="A24" s="52" t="s">
        <v>29</v>
      </c>
      <c r="B24" s="916"/>
      <c r="C24" s="1297" t="s">
        <v>27</v>
      </c>
      <c r="D24" s="1298"/>
      <c r="E24" s="1"/>
      <c r="F24" s="1299" t="s">
        <v>307</v>
      </c>
      <c r="G24" s="1300"/>
      <c r="H24" s="2"/>
      <c r="I24" s="224" t="s">
        <v>9</v>
      </c>
      <c r="J24" s="215"/>
      <c r="K24" s="46"/>
    </row>
    <row r="25" spans="1:11" s="46" customFormat="1" ht="15" customHeight="1" thickBot="1" x14ac:dyDescent="0.25">
      <c r="A25" s="47"/>
      <c r="B25" s="47"/>
      <c r="C25" s="47"/>
      <c r="D25" s="47"/>
      <c r="E25" s="47"/>
      <c r="F25" s="47"/>
      <c r="G25" s="47"/>
      <c r="H25" s="6"/>
      <c r="I25" s="47"/>
      <c r="K25" s="48"/>
    </row>
    <row r="26" spans="1:11" s="48" customFormat="1" ht="29.25" customHeight="1" thickBot="1" x14ac:dyDescent="0.25">
      <c r="A26" s="115" t="s">
        <v>129</v>
      </c>
      <c r="B26" s="105">
        <v>4</v>
      </c>
      <c r="C26" s="1301" t="s">
        <v>30</v>
      </c>
      <c r="D26" s="1302"/>
      <c r="E26" s="1302"/>
      <c r="F26" s="1303"/>
      <c r="G26" s="1304" t="s">
        <v>211</v>
      </c>
      <c r="H26" s="1305"/>
    </row>
    <row r="27" spans="1:11" s="48" customFormat="1" ht="31.5" customHeight="1" thickBot="1" x14ac:dyDescent="0.25">
      <c r="A27" s="1273" t="s">
        <v>31</v>
      </c>
      <c r="B27" s="1274"/>
      <c r="C27" s="525">
        <v>1</v>
      </c>
      <c r="D27" s="525">
        <v>2</v>
      </c>
      <c r="E27" s="525">
        <v>3</v>
      </c>
      <c r="F27" s="129">
        <v>4</v>
      </c>
      <c r="G27" s="1275" t="e">
        <f>VLOOKUP($H$25,'DATOS %'!$V$161:$AA$165,2,FALSE)</f>
        <v>#N/A</v>
      </c>
      <c r="H27" s="1276"/>
    </row>
    <row r="28" spans="1:11" s="48" customFormat="1" ht="31.5" customHeight="1" x14ac:dyDescent="0.2">
      <c r="A28" s="1310" t="s">
        <v>32</v>
      </c>
      <c r="B28" s="141" t="s">
        <v>0</v>
      </c>
      <c r="C28" s="142"/>
      <c r="D28" s="142"/>
      <c r="E28" s="142"/>
      <c r="F28" s="143"/>
      <c r="G28" s="47"/>
      <c r="H28" s="47"/>
      <c r="I28" s="47"/>
      <c r="J28" s="47"/>
    </row>
    <row r="29" spans="1:11" s="48" customFormat="1" ht="31.5" customHeight="1" x14ac:dyDescent="0.2">
      <c r="A29" s="1311"/>
      <c r="B29" s="104" t="s">
        <v>2</v>
      </c>
      <c r="C29" s="127"/>
      <c r="D29" s="127"/>
      <c r="E29" s="127"/>
      <c r="F29" s="128"/>
      <c r="G29" s="47"/>
      <c r="H29" s="47"/>
      <c r="I29" s="47"/>
      <c r="J29" s="47"/>
    </row>
    <row r="30" spans="1:11" s="48" customFormat="1" ht="31.5" customHeight="1" x14ac:dyDescent="0.2">
      <c r="A30" s="1311"/>
      <c r="B30" s="104" t="s">
        <v>2</v>
      </c>
      <c r="C30" s="127"/>
      <c r="D30" s="127"/>
      <c r="E30" s="127"/>
      <c r="F30" s="128"/>
      <c r="G30" s="47"/>
      <c r="H30" s="47"/>
      <c r="I30" s="47"/>
      <c r="J30" s="47"/>
    </row>
    <row r="31" spans="1:11" s="48" customFormat="1" ht="31.5" customHeight="1" thickBot="1" x14ac:dyDescent="0.25">
      <c r="A31" s="1312"/>
      <c r="B31" s="53" t="s">
        <v>0</v>
      </c>
      <c r="C31" s="144"/>
      <c r="D31" s="144"/>
      <c r="E31" s="144"/>
      <c r="F31" s="145"/>
      <c r="G31" s="47"/>
      <c r="H31" s="47"/>
      <c r="I31" s="47"/>
      <c r="J31" s="47"/>
      <c r="K31" s="46"/>
    </row>
    <row r="32" spans="1:11" s="46" customFormat="1" ht="15" customHeight="1" thickBot="1" x14ac:dyDescent="0.25">
      <c r="A32" s="47"/>
      <c r="B32" s="47"/>
      <c r="C32" s="47"/>
      <c r="D32" s="47"/>
      <c r="E32" s="47"/>
      <c r="F32" s="47"/>
      <c r="G32" s="47"/>
      <c r="H32" s="47"/>
      <c r="I32" s="47"/>
      <c r="J32" s="47"/>
      <c r="K32" s="48"/>
    </row>
    <row r="33" spans="1:11" s="48" customFormat="1" ht="31.5" customHeight="1" thickBot="1" x14ac:dyDescent="0.25">
      <c r="A33" s="54" t="s">
        <v>33</v>
      </c>
      <c r="B33" s="916"/>
      <c r="C33" s="1297" t="s">
        <v>27</v>
      </c>
      <c r="D33" s="1298"/>
      <c r="E33" s="1"/>
      <c r="F33" s="1299" t="s">
        <v>307</v>
      </c>
      <c r="G33" s="1300"/>
      <c r="H33" s="2"/>
      <c r="I33" s="225" t="s">
        <v>9</v>
      </c>
      <c r="J33" s="3"/>
      <c r="K33" s="46"/>
    </row>
    <row r="34" spans="1:11" s="46" customFormat="1" ht="12" customHeight="1" x14ac:dyDescent="0.2">
      <c r="A34" s="55"/>
      <c r="B34" s="55"/>
      <c r="C34" s="55"/>
      <c r="D34" s="55"/>
      <c r="E34" s="55"/>
      <c r="F34" s="55"/>
      <c r="G34" s="55"/>
      <c r="H34" s="55"/>
      <c r="I34" s="55"/>
      <c r="J34" s="55"/>
      <c r="K34" s="48"/>
    </row>
    <row r="35" spans="1:11" s="48" customFormat="1" ht="15" customHeight="1" thickBot="1" x14ac:dyDescent="0.25">
      <c r="A35" s="56"/>
      <c r="B35" s="56"/>
      <c r="C35" s="56"/>
      <c r="D35" s="56"/>
      <c r="E35" s="56"/>
      <c r="F35" s="56"/>
      <c r="G35" s="56"/>
      <c r="H35" s="56"/>
      <c r="I35" s="56"/>
      <c r="J35" s="56"/>
    </row>
    <row r="36" spans="1:11" s="48" customFormat="1" ht="32.25" customHeight="1" thickBot="1" x14ac:dyDescent="0.25">
      <c r="A36" s="1294" t="s">
        <v>34</v>
      </c>
      <c r="B36" s="1295"/>
      <c r="C36" s="1295"/>
      <c r="D36" s="1295"/>
      <c r="E36" s="1295"/>
      <c r="F36" s="1295"/>
      <c r="G36" s="1295"/>
      <c r="H36" s="1295"/>
      <c r="I36" s="1295"/>
      <c r="J36" s="1296"/>
    </row>
    <row r="37" spans="1:11" s="48" customFormat="1" ht="3.75" customHeight="1" thickBot="1" x14ac:dyDescent="0.25">
      <c r="A37" s="55"/>
      <c r="B37" s="47"/>
      <c r="C37" s="47"/>
      <c r="D37" s="47"/>
      <c r="E37" s="47"/>
      <c r="F37" s="47"/>
      <c r="G37" s="47"/>
      <c r="H37" s="47"/>
      <c r="I37" s="47"/>
      <c r="J37" s="55"/>
    </row>
    <row r="38" spans="1:11" s="48" customFormat="1" ht="31.5" customHeight="1" thickBot="1" x14ac:dyDescent="0.25">
      <c r="A38" s="47"/>
      <c r="B38" s="1316" t="s">
        <v>35</v>
      </c>
      <c r="C38" s="1317"/>
      <c r="D38" s="1317"/>
      <c r="E38" s="1317"/>
      <c r="F38" s="1318"/>
      <c r="G38" s="47"/>
      <c r="H38" s="1319" t="s">
        <v>236</v>
      </c>
      <c r="I38" s="1320"/>
      <c r="J38" s="1321"/>
    </row>
    <row r="39" spans="1:11" s="48" customFormat="1" ht="31.5" customHeight="1" thickBot="1" x14ac:dyDescent="0.25">
      <c r="A39" s="47"/>
      <c r="B39" s="57" t="s">
        <v>31</v>
      </c>
      <c r="C39" s="203">
        <v>1</v>
      </c>
      <c r="D39" s="141">
        <v>2</v>
      </c>
      <c r="E39" s="141">
        <v>3</v>
      </c>
      <c r="F39" s="204">
        <v>4</v>
      </c>
      <c r="G39" s="47"/>
      <c r="H39" s="1322"/>
      <c r="I39" s="1323"/>
      <c r="J39" s="1324"/>
    </row>
    <row r="40" spans="1:11" s="48" customFormat="1" ht="31.5" customHeight="1" x14ac:dyDescent="0.2">
      <c r="A40" s="58"/>
      <c r="B40" s="59"/>
      <c r="C40" s="121" t="e">
        <f>+AVERAGE(C28,C31)</f>
        <v>#DIV/0!</v>
      </c>
      <c r="D40" s="122" t="e">
        <f>+AVERAGE(D28,D31)</f>
        <v>#DIV/0!</v>
      </c>
      <c r="E40" s="122" t="e">
        <f>+AVERAGE(E28,E31)</f>
        <v>#DIV/0!</v>
      </c>
      <c r="F40" s="205" t="e">
        <f>+AVERAGE(F28,F31)</f>
        <v>#DIV/0!</v>
      </c>
      <c r="G40" s="47"/>
      <c r="H40" s="1325"/>
      <c r="I40" s="1326"/>
      <c r="J40" s="1327"/>
    </row>
    <row r="41" spans="1:11" s="48" customFormat="1" ht="31.5" customHeight="1" x14ac:dyDescent="0.2">
      <c r="A41" s="58"/>
      <c r="B41" s="60"/>
      <c r="C41" s="123" t="e">
        <f>+AVERAGE(C29:C30)</f>
        <v>#DIV/0!</v>
      </c>
      <c r="D41" s="61" t="e">
        <f>+AVERAGE(D29:D30)</f>
        <v>#DIV/0!</v>
      </c>
      <c r="E41" s="61" t="e">
        <f>+AVERAGE(E29:E30)</f>
        <v>#DIV/0!</v>
      </c>
      <c r="F41" s="206" t="e">
        <f>+AVERAGE(F29:F30)</f>
        <v>#DIV/0!</v>
      </c>
      <c r="G41" s="47"/>
      <c r="H41" s="1325"/>
      <c r="I41" s="1326"/>
      <c r="J41" s="1327"/>
    </row>
    <row r="42" spans="1:11" s="48" customFormat="1" ht="31.5" customHeight="1" thickBot="1" x14ac:dyDescent="0.25">
      <c r="A42" s="58"/>
      <c r="B42" s="62"/>
      <c r="C42" s="124" t="e">
        <f>+C41-C40</f>
        <v>#DIV/0!</v>
      </c>
      <c r="D42" s="125" t="e">
        <f>+D41-D40</f>
        <v>#DIV/0!</v>
      </c>
      <c r="E42" s="125" t="e">
        <f>+E41-E40</f>
        <v>#DIV/0!</v>
      </c>
      <c r="F42" s="207" t="e">
        <f>+F41-F40</f>
        <v>#DIV/0!</v>
      </c>
      <c r="G42" s="47"/>
      <c r="H42" s="1328"/>
      <c r="I42" s="1329"/>
      <c r="J42" s="1330"/>
    </row>
    <row r="43" spans="1:11" s="48" customFormat="1" ht="31.5" customHeight="1" thickBot="1" x14ac:dyDescent="0.25">
      <c r="A43" s="47"/>
      <c r="B43" s="63" t="s">
        <v>36</v>
      </c>
      <c r="C43" s="286" t="e">
        <f>+AVERAGE(C42:F42)</f>
        <v>#DIV/0!</v>
      </c>
      <c r="D43" s="47"/>
      <c r="E43" s="47"/>
      <c r="F43" s="47"/>
      <c r="G43" s="47"/>
      <c r="H43" s="47"/>
      <c r="I43" s="47"/>
      <c r="J43" s="47"/>
    </row>
    <row r="44" spans="1:11" s="48" customFormat="1" ht="31.5" customHeight="1" thickBot="1" x14ac:dyDescent="0.25">
      <c r="A44" s="47"/>
      <c r="B44" s="64" t="s">
        <v>77</v>
      </c>
      <c r="C44" s="287" t="e">
        <f>+STDEV(C42:F42)</f>
        <v>#DIV/0!</v>
      </c>
      <c r="D44" s="47"/>
      <c r="E44" s="47"/>
      <c r="F44" s="47"/>
      <c r="G44" s="47"/>
      <c r="H44" s="47"/>
      <c r="I44" s="47"/>
      <c r="J44" s="47"/>
      <c r="K44" s="46"/>
    </row>
    <row r="45" spans="1:11" s="46" customFormat="1" ht="15" customHeight="1" thickBot="1" x14ac:dyDescent="0.25">
      <c r="A45" s="47"/>
      <c r="B45" s="47"/>
      <c r="C45" s="47"/>
      <c r="D45" s="47"/>
      <c r="E45" s="47"/>
      <c r="F45" s="47"/>
      <c r="G45" s="65"/>
      <c r="H45" s="47"/>
      <c r="I45" s="47"/>
      <c r="J45" s="47"/>
      <c r="K45" s="48"/>
    </row>
    <row r="46" spans="1:11" s="48" customFormat="1" ht="31.5" customHeight="1" thickBot="1" x14ac:dyDescent="0.25">
      <c r="A46" s="1331" t="s">
        <v>37</v>
      </c>
      <c r="B46" s="1332"/>
      <c r="C46" s="1284"/>
      <c r="D46" s="1284"/>
      <c r="E46" s="1284"/>
      <c r="F46" s="1332"/>
      <c r="G46" s="1332"/>
      <c r="H46" s="1332"/>
      <c r="I46" s="1332"/>
      <c r="J46" s="1333"/>
    </row>
    <row r="47" spans="1:11" s="48" customFormat="1" ht="31.5" customHeight="1" thickBot="1" x14ac:dyDescent="0.25">
      <c r="A47" s="1375" t="s">
        <v>321</v>
      </c>
      <c r="B47" s="1376"/>
      <c r="C47" s="1338" t="s">
        <v>38</v>
      </c>
      <c r="D47" s="1339"/>
      <c r="E47" s="1340"/>
      <c r="F47" s="47"/>
      <c r="G47" s="47"/>
      <c r="H47" s="47"/>
      <c r="I47" s="47"/>
      <c r="J47" s="47"/>
    </row>
    <row r="48" spans="1:11" s="48" customFormat="1" ht="36.75" customHeight="1" thickBot="1" x14ac:dyDescent="0.25">
      <c r="A48" s="1377"/>
      <c r="B48" s="1378"/>
      <c r="C48" s="82" t="s">
        <v>27</v>
      </c>
      <c r="D48" s="93" t="s">
        <v>307</v>
      </c>
      <c r="E48" s="83" t="s">
        <v>9</v>
      </c>
      <c r="G48" s="1341" t="s">
        <v>70</v>
      </c>
      <c r="H48" s="1342"/>
      <c r="I48" s="102" t="e">
        <f>+(0.34848*E50-0.009*D50*EXP(0.061*C50))/(273.15+C50)</f>
        <v>#DIV/0!</v>
      </c>
      <c r="J48" s="103" t="s">
        <v>73</v>
      </c>
    </row>
    <row r="49" spans="1:21" s="48" customFormat="1" ht="33" customHeight="1" thickBot="1" x14ac:dyDescent="0.25">
      <c r="A49" s="1306" t="s">
        <v>39</v>
      </c>
      <c r="B49" s="1307"/>
      <c r="C49" s="90" t="e">
        <f>+AVERAGE(E33,E24)</f>
        <v>#DIV/0!</v>
      </c>
      <c r="D49" s="91" t="e">
        <f>+AVERAGE(H33,H24)</f>
        <v>#DIV/0!</v>
      </c>
      <c r="E49" s="92" t="e">
        <f>+AVERAGE(J33,J24)</f>
        <v>#DIV/0!</v>
      </c>
      <c r="G49" s="1308" t="s">
        <v>71</v>
      </c>
      <c r="H49" s="1309"/>
      <c r="I49" s="422" t="e">
        <f>I48*((0.0001)^2+(0.001*I20/2)^2+(-0.0034*D20/2)^2+(-0.01*G20/2)^2)^0.5</f>
        <v>#DIV/0!</v>
      </c>
      <c r="J49" s="66" t="s">
        <v>73</v>
      </c>
    </row>
    <row r="50" spans="1:21" s="48" customFormat="1" ht="36.75" customHeight="1" thickBot="1" x14ac:dyDescent="0.25">
      <c r="A50" s="1343" t="s">
        <v>322</v>
      </c>
      <c r="B50" s="1344"/>
      <c r="C50" s="84" t="e">
        <f>C49+(VLOOKUP(J19,'DATOS %'!J174:W180,9,FALSE))*C49+(VLOOKUP(J19,'DATOS %'!J174:W180,10,FALSE))</f>
        <v>#DIV/0!</v>
      </c>
      <c r="D50" s="85" t="e">
        <f>D49+(VLOOKUP(J19,'DATOS %'!J174:W180,11,FALSE))*D49+(VLOOKUP(J19,'DATOS %'!J174:W180,12,FALSE))</f>
        <v>#DIV/0!</v>
      </c>
      <c r="E50" s="86" t="e">
        <f>E49+(VLOOKUP(J19,'DATOS %'!J174:W180,13,FALSE))*E49+(VLOOKUP(J19,'DATOS %'!J174:W180,14,FALSE))</f>
        <v>#DIV/0!</v>
      </c>
      <c r="G50" s="1341" t="s">
        <v>72</v>
      </c>
      <c r="H50" s="1342"/>
      <c r="I50" s="67">
        <v>1.2</v>
      </c>
      <c r="J50" s="66" t="s">
        <v>73</v>
      </c>
    </row>
    <row r="51" spans="1:21" s="46" customFormat="1" ht="15" customHeight="1" thickBot="1" x14ac:dyDescent="0.25">
      <c r="A51" s="47"/>
      <c r="B51" s="47"/>
      <c r="C51" s="47"/>
      <c r="D51" s="47"/>
      <c r="E51" s="47"/>
      <c r="F51" s="47"/>
      <c r="G51" s="47"/>
      <c r="H51" s="47"/>
      <c r="I51" s="47"/>
      <c r="J51" s="47"/>
      <c r="K51" s="48"/>
    </row>
    <row r="52" spans="1:21" s="48" customFormat="1" ht="31.5" customHeight="1" thickBot="1" x14ac:dyDescent="0.25">
      <c r="A52" s="1331" t="s">
        <v>40</v>
      </c>
      <c r="B52" s="1332"/>
      <c r="C52" s="1332"/>
      <c r="D52" s="1332"/>
      <c r="E52" s="1332"/>
      <c r="F52" s="1332"/>
      <c r="G52" s="1332"/>
      <c r="H52" s="1332"/>
      <c r="I52" s="1332"/>
      <c r="J52" s="1333"/>
    </row>
    <row r="53" spans="1:21" s="48" customFormat="1" ht="31.5" customHeight="1" x14ac:dyDescent="0.35">
      <c r="A53" s="47"/>
      <c r="B53" s="68" t="s">
        <v>41</v>
      </c>
      <c r="C53" s="69"/>
      <c r="D53" s="1345" t="s">
        <v>74</v>
      </c>
      <c r="E53" s="1345"/>
      <c r="F53" s="70" t="s">
        <v>42</v>
      </c>
      <c r="G53" s="71" t="s">
        <v>43</v>
      </c>
      <c r="H53" s="1346" t="s">
        <v>44</v>
      </c>
      <c r="I53" s="1347"/>
      <c r="J53" s="47"/>
    </row>
    <row r="54" spans="1:21" s="48" customFormat="1" ht="31.5" customHeight="1" thickBot="1" x14ac:dyDescent="0.25">
      <c r="A54" s="47"/>
      <c r="B54" s="72" t="e">
        <f>+C43</f>
        <v>#DIV/0!</v>
      </c>
      <c r="C54" s="73" t="s">
        <v>3</v>
      </c>
      <c r="D54" s="74" t="e">
        <f>+C10+C11/1000</f>
        <v>#N/A</v>
      </c>
      <c r="E54" s="73" t="s">
        <v>3</v>
      </c>
      <c r="F54" s="939" t="e">
        <f>+(I48-I50)*(1/H10-1/C13)</f>
        <v>#DIV/0!</v>
      </c>
      <c r="G54" s="75"/>
      <c r="H54" s="938" t="e">
        <f>+(B54+D54*F54)*1000</f>
        <v>#DIV/0!</v>
      </c>
      <c r="I54" s="66" t="s">
        <v>3</v>
      </c>
      <c r="J54" s="47"/>
      <c r="K54" s="46"/>
    </row>
    <row r="55" spans="1:21" s="46" customFormat="1" ht="15" customHeight="1" x14ac:dyDescent="0.2">
      <c r="A55" s="47"/>
      <c r="B55" s="47"/>
      <c r="C55" s="47"/>
      <c r="D55" s="47"/>
      <c r="E55" s="47"/>
      <c r="F55" s="47"/>
      <c r="G55" s="47"/>
      <c r="H55" s="47"/>
      <c r="I55" s="47"/>
      <c r="J55" s="47"/>
      <c r="K55" s="48"/>
    </row>
    <row r="56" spans="1:21" s="48" customFormat="1" ht="31.5" customHeight="1" x14ac:dyDescent="0.2">
      <c r="A56" s="1348" t="s">
        <v>45</v>
      </c>
      <c r="B56" s="1349"/>
      <c r="C56" s="1349"/>
      <c r="D56" s="1349"/>
      <c r="E56" s="1349"/>
      <c r="F56" s="1349"/>
      <c r="G56" s="1349"/>
      <c r="H56" s="1349"/>
      <c r="I56" s="1349"/>
      <c r="J56" s="1349"/>
      <c r="K56" s="46"/>
    </row>
    <row r="57" spans="1:21" s="46" customFormat="1" ht="15" customHeight="1" thickBot="1" x14ac:dyDescent="0.25">
      <c r="A57" s="47"/>
      <c r="B57" s="47"/>
      <c r="C57" s="47"/>
      <c r="D57" s="47"/>
      <c r="E57" s="47"/>
      <c r="K57" s="48"/>
    </row>
    <row r="58" spans="1:21" s="48" customFormat="1" ht="31.5" customHeight="1" thickBot="1" x14ac:dyDescent="0.25">
      <c r="A58" s="1350" t="s">
        <v>38</v>
      </c>
      <c r="B58" s="1351"/>
      <c r="C58" s="1352" t="s">
        <v>46</v>
      </c>
      <c r="D58" s="1353"/>
      <c r="E58" s="1354" t="s">
        <v>238</v>
      </c>
      <c r="F58" s="1379"/>
      <c r="G58" s="1061" t="s">
        <v>553</v>
      </c>
      <c r="J58" s="114"/>
      <c r="L58" s="46"/>
      <c r="Q58" s="47"/>
      <c r="R58" s="47"/>
      <c r="S58" s="47"/>
      <c r="T58" s="47"/>
      <c r="U58" s="47"/>
    </row>
    <row r="59" spans="1:21" s="48" customFormat="1" ht="57.95" customHeight="1" thickBot="1" x14ac:dyDescent="0.25">
      <c r="A59" s="1024" t="s">
        <v>47</v>
      </c>
      <c r="B59" s="1025"/>
      <c r="C59" s="1026" t="e">
        <f>+C44/B26^0.5*1000</f>
        <v>#DIV/0!</v>
      </c>
      <c r="D59" s="1017" t="s">
        <v>3</v>
      </c>
      <c r="E59" s="1027" t="s">
        <v>240</v>
      </c>
      <c r="F59" s="139">
        <f>$B$26-1</f>
        <v>3</v>
      </c>
      <c r="G59" s="1111" t="e">
        <f>(C59/$G$70)^2</f>
        <v>#DIV/0!</v>
      </c>
      <c r="H59" s="47"/>
      <c r="K59" s="156">
        <v>0.3</v>
      </c>
      <c r="L59" s="157">
        <v>1.65</v>
      </c>
      <c r="M59" s="113"/>
    </row>
    <row r="60" spans="1:21" s="48" customFormat="1" ht="57.95" customHeight="1" thickBot="1" x14ac:dyDescent="0.25">
      <c r="A60" s="1019" t="s">
        <v>343</v>
      </c>
      <c r="B60" s="1020" t="s">
        <v>48</v>
      </c>
      <c r="C60" s="1021" t="e">
        <f>+C12/2</f>
        <v>#N/A</v>
      </c>
      <c r="D60" s="1022" t="s">
        <v>3</v>
      </c>
      <c r="E60" s="1023" t="s">
        <v>239</v>
      </c>
      <c r="F60" s="146" t="s">
        <v>265</v>
      </c>
      <c r="G60" s="1112"/>
      <c r="H60" s="1380" t="s">
        <v>241</v>
      </c>
      <c r="I60" s="1356"/>
      <c r="J60" s="1356"/>
      <c r="K60" s="1356"/>
      <c r="L60" s="1356"/>
      <c r="M60" s="1357"/>
    </row>
    <row r="61" spans="1:21" s="48" customFormat="1" ht="57.95" customHeight="1" thickBot="1" x14ac:dyDescent="0.25">
      <c r="A61" s="1028" t="s">
        <v>344</v>
      </c>
      <c r="B61" s="1029"/>
      <c r="C61" s="1030" t="e">
        <f>+C12/3^0.5</f>
        <v>#N/A</v>
      </c>
      <c r="D61" s="1031" t="s">
        <v>3</v>
      </c>
      <c r="E61" s="1032" t="s">
        <v>239</v>
      </c>
      <c r="F61" s="147" t="s">
        <v>265</v>
      </c>
      <c r="G61" s="1112"/>
      <c r="H61" s="132" t="s">
        <v>243</v>
      </c>
      <c r="I61" s="1016" t="e">
        <f>MAX(C59:C62,C66:C67,C68)</f>
        <v>#DIV/0!</v>
      </c>
      <c r="J61" s="151" t="e">
        <f>IF((I62)&lt;=(K59),"1,65","2")</f>
        <v>#DIV/0!</v>
      </c>
      <c r="K61" s="152" t="s">
        <v>242</v>
      </c>
      <c r="L61" s="153" t="s">
        <v>237</v>
      </c>
      <c r="M61" s="360" t="s">
        <v>328</v>
      </c>
    </row>
    <row r="62" spans="1:21" s="48" customFormat="1" ht="57.95" customHeight="1" thickBot="1" x14ac:dyDescent="0.3">
      <c r="A62" s="1024" t="s">
        <v>49</v>
      </c>
      <c r="B62" s="1035"/>
      <c r="C62" s="1036" t="e">
        <f>+SQRT(SUMSQ(C60:C61))</f>
        <v>#N/A</v>
      </c>
      <c r="D62" s="1017" t="s">
        <v>3</v>
      </c>
      <c r="E62" s="1037" t="s">
        <v>240</v>
      </c>
      <c r="F62" s="139">
        <v>200</v>
      </c>
      <c r="G62" s="1112" t="e">
        <f t="shared" ref="G62:G68" si="0">(C62/$G$70)^2</f>
        <v>#N/A</v>
      </c>
      <c r="H62" s="133" t="s">
        <v>244</v>
      </c>
      <c r="I62" s="150" t="e">
        <f>SQRT((C59)^2+(C66)^2+(C67)^2+(C68)^2)/I61</f>
        <v>#DIV/0!</v>
      </c>
      <c r="J62" s="126"/>
      <c r="K62" s="154" t="s">
        <v>242</v>
      </c>
      <c r="L62" s="155" t="s">
        <v>252</v>
      </c>
      <c r="M62" s="361" t="s">
        <v>329</v>
      </c>
    </row>
    <row r="63" spans="1:21" s="48" customFormat="1" ht="57.95" customHeight="1" x14ac:dyDescent="0.2">
      <c r="A63" s="1019" t="s">
        <v>345</v>
      </c>
      <c r="B63" s="1020"/>
      <c r="C63" s="1033" t="e">
        <f>+I49</f>
        <v>#DIV/0!</v>
      </c>
      <c r="D63" s="1021" t="s">
        <v>73</v>
      </c>
      <c r="E63" s="1034" t="s">
        <v>239</v>
      </c>
      <c r="F63" s="146" t="s">
        <v>265</v>
      </c>
      <c r="G63" s="1112"/>
      <c r="L63" s="46"/>
      <c r="T63" s="46"/>
      <c r="U63" s="46"/>
    </row>
    <row r="64" spans="1:21" s="48" customFormat="1" ht="57.95" customHeight="1" x14ac:dyDescent="0.2">
      <c r="A64" s="426" t="s">
        <v>50</v>
      </c>
      <c r="B64" s="1018"/>
      <c r="C64" s="425" t="e">
        <f>+H11/2</f>
        <v>#N/A</v>
      </c>
      <c r="D64" s="424" t="s">
        <v>73</v>
      </c>
      <c r="E64" s="423" t="s">
        <v>239</v>
      </c>
      <c r="F64" s="148" t="s">
        <v>265</v>
      </c>
      <c r="G64" s="1112"/>
      <c r="H64" s="130"/>
      <c r="J64" s="130"/>
      <c r="K64" s="130"/>
      <c r="L64" s="130"/>
      <c r="M64" s="130"/>
      <c r="Q64" s="47"/>
      <c r="R64" s="47"/>
      <c r="S64" s="47"/>
      <c r="T64" s="47"/>
      <c r="U64" s="47"/>
    </row>
    <row r="65" spans="1:21" s="48" customFormat="1" ht="57.95" customHeight="1" thickBot="1" x14ac:dyDescent="0.25">
      <c r="A65" s="1028" t="s">
        <v>346</v>
      </c>
      <c r="B65" s="1038"/>
      <c r="C65" s="1039" t="e">
        <f>+C14/2</f>
        <v>#N/A</v>
      </c>
      <c r="D65" s="1031" t="s">
        <v>73</v>
      </c>
      <c r="E65" s="1040" t="s">
        <v>239</v>
      </c>
      <c r="F65" s="147" t="s">
        <v>265</v>
      </c>
      <c r="G65" s="1112"/>
      <c r="H65" s="130"/>
      <c r="I65" s="130"/>
      <c r="J65" s="130"/>
      <c r="K65" s="130"/>
      <c r="L65" s="130"/>
      <c r="M65" s="130"/>
      <c r="Q65" s="46"/>
      <c r="R65" s="46"/>
      <c r="S65" s="46"/>
      <c r="T65" s="46"/>
      <c r="U65" s="46"/>
    </row>
    <row r="66" spans="1:21" s="48" customFormat="1" ht="57.95" customHeight="1" thickBot="1" x14ac:dyDescent="0.3">
      <c r="A66" s="1024" t="s">
        <v>347</v>
      </c>
      <c r="B66" s="1035"/>
      <c r="C66" s="1036" t="e">
        <f>+SQRT(ABS(((C10/1000+C11/1000000)*(C13-H10)/(C13*H10)*C63)^2+((C10/1000+C11/1000000)*(I48-I50))^2*C64^2/H10^4+(C10/1000+C11/1000000)^2*(I48-I50)*((I48-I50)-2*(C15-I50))*C65^2/C13^4))*1000000</f>
        <v>#N/A</v>
      </c>
      <c r="D66" s="1051" t="s">
        <v>3</v>
      </c>
      <c r="E66" s="1037" t="s">
        <v>240</v>
      </c>
      <c r="F66" s="139">
        <v>200</v>
      </c>
      <c r="G66" s="1112" t="e">
        <f t="shared" si="0"/>
        <v>#N/A</v>
      </c>
      <c r="H66" s="130"/>
      <c r="I66" s="1093" t="s">
        <v>554</v>
      </c>
      <c r="J66" s="1095" t="s">
        <v>556</v>
      </c>
      <c r="K66" s="1094" t="s">
        <v>555</v>
      </c>
      <c r="L66" s="130"/>
      <c r="M66" s="130"/>
      <c r="Q66" s="47"/>
      <c r="R66" s="47"/>
      <c r="S66" s="47"/>
      <c r="T66" s="47"/>
      <c r="U66" s="47"/>
    </row>
    <row r="67" spans="1:21" s="48" customFormat="1" ht="57.95" customHeight="1" thickBot="1" x14ac:dyDescent="0.3">
      <c r="A67" s="1047" t="s">
        <v>52</v>
      </c>
      <c r="B67" s="1048"/>
      <c r="C67" s="1049" t="e">
        <f>+(G15/2/3^0.5)*2^0.5*1000</f>
        <v>#N/A</v>
      </c>
      <c r="D67" s="1044" t="s">
        <v>3</v>
      </c>
      <c r="E67" s="1045" t="s">
        <v>239</v>
      </c>
      <c r="F67" s="1050">
        <v>200</v>
      </c>
      <c r="G67" s="1112" t="e">
        <f t="shared" si="0"/>
        <v>#N/A</v>
      </c>
      <c r="H67" s="130"/>
      <c r="I67" s="1096" t="e">
        <f>G70^4/((C59^4/F59)+(C62^4/F62)+(C66^4/F66)+(C67^4/F67)+(C68^4/F68))</f>
        <v>#DIV/0!</v>
      </c>
      <c r="J67" s="1097" t="e">
        <f>TINV(0.05,I67)</f>
        <v>#DIV/0!</v>
      </c>
      <c r="K67" s="1098" t="e">
        <f>1-TDIST(J67,I67,2)</f>
        <v>#DIV/0!</v>
      </c>
      <c r="L67" s="130"/>
      <c r="M67" s="130"/>
    </row>
    <row r="68" spans="1:21" s="46" customFormat="1" ht="65.25" customHeight="1" thickBot="1" x14ac:dyDescent="0.3">
      <c r="A68" s="1041" t="s">
        <v>552</v>
      </c>
      <c r="B68" s="1042"/>
      <c r="C68" s="1043">
        <f>0.01/SQRT(45)</f>
        <v>1.4907119849998597E-3</v>
      </c>
      <c r="D68" s="1044" t="s">
        <v>3</v>
      </c>
      <c r="E68" s="1045" t="s">
        <v>240</v>
      </c>
      <c r="F68" s="1046">
        <v>50</v>
      </c>
      <c r="G68" s="1113" t="e">
        <f t="shared" si="0"/>
        <v>#DIV/0!</v>
      </c>
      <c r="H68" s="130"/>
      <c r="I68" s="130"/>
      <c r="J68" s="130"/>
      <c r="K68" s="130"/>
      <c r="L68" s="130"/>
      <c r="M68" s="130"/>
      <c r="S68" s="48"/>
      <c r="T68" s="48"/>
      <c r="U68" s="48"/>
    </row>
    <row r="69" spans="1:21" s="46" customFormat="1" ht="65.25" customHeight="1" thickBot="1" x14ac:dyDescent="0.25">
      <c r="A69" s="130"/>
      <c r="B69" s="130"/>
      <c r="C69" s="130"/>
      <c r="D69" s="130"/>
      <c r="E69" s="130"/>
      <c r="F69" s="130"/>
      <c r="G69" s="1114" t="e">
        <f>SUM(G59,G62,G66,G67,G68)</f>
        <v>#DIV/0!</v>
      </c>
      <c r="H69" s="130"/>
      <c r="I69" s="130"/>
      <c r="J69" s="130"/>
      <c r="K69" s="130"/>
      <c r="L69" s="130"/>
      <c r="M69" s="130"/>
      <c r="S69" s="48"/>
      <c r="T69" s="48"/>
      <c r="U69" s="48"/>
    </row>
    <row r="70" spans="1:21" s="106" customFormat="1" ht="51.75" customHeight="1" thickBot="1" x14ac:dyDescent="0.3">
      <c r="D70" s="1306" t="s">
        <v>51</v>
      </c>
      <c r="E70" s="1307"/>
      <c r="F70" s="134"/>
      <c r="G70" s="140" t="e">
        <f>+SQRT(SUMSQ(C59,C62,C66,C67,C68))</f>
        <v>#DIV/0!</v>
      </c>
      <c r="H70" s="136" t="s">
        <v>3</v>
      </c>
      <c r="K70" s="130"/>
      <c r="L70" s="130"/>
      <c r="M70" s="130"/>
      <c r="S70" s="48"/>
      <c r="T70" s="48"/>
      <c r="U70" s="48"/>
    </row>
    <row r="71" spans="1:21" s="106" customFormat="1" ht="35.1" customHeight="1" thickBot="1" x14ac:dyDescent="0.25">
      <c r="D71" s="1306" t="s">
        <v>53</v>
      </c>
      <c r="E71" s="1307"/>
      <c r="F71" s="135"/>
      <c r="G71" s="140" t="e">
        <f>+G70*2</f>
        <v>#DIV/0!</v>
      </c>
      <c r="H71" s="137" t="s">
        <v>3</v>
      </c>
      <c r="K71" s="110"/>
      <c r="L71" s="107"/>
      <c r="O71" s="48"/>
      <c r="P71" s="48"/>
      <c r="Q71" s="48"/>
      <c r="R71" s="48"/>
      <c r="S71" s="48"/>
      <c r="T71" s="48"/>
      <c r="U71" s="48"/>
    </row>
    <row r="72" spans="1:21" s="106" customFormat="1" ht="33.75" customHeight="1" thickBot="1" x14ac:dyDescent="4.45">
      <c r="B72" s="1313" t="s">
        <v>54</v>
      </c>
      <c r="C72" s="1314"/>
      <c r="D72" s="1314"/>
      <c r="E72" s="1314"/>
      <c r="F72" s="1314"/>
      <c r="G72" s="1314"/>
      <c r="H72" s="1314"/>
      <c r="I72" s="1314"/>
      <c r="J72" s="1314"/>
      <c r="K72" s="1315"/>
      <c r="L72" s="117"/>
      <c r="O72" s="48"/>
      <c r="P72" s="48"/>
      <c r="Q72" s="48"/>
      <c r="R72" s="48"/>
      <c r="S72" s="48"/>
      <c r="T72" s="48"/>
      <c r="U72" s="48"/>
    </row>
    <row r="73" spans="1:21" s="106" customFormat="1" ht="35.1" customHeight="1" thickBot="1" x14ac:dyDescent="0.25">
      <c r="B73" s="1368" t="s">
        <v>255</v>
      </c>
      <c r="C73" s="1369"/>
      <c r="D73" s="1369"/>
      <c r="E73" s="1370"/>
      <c r="F73" s="79"/>
      <c r="G73" s="80"/>
      <c r="H73" s="1371"/>
      <c r="I73" s="1372"/>
      <c r="J73" s="1372"/>
      <c r="K73" s="1373"/>
      <c r="O73" s="48"/>
      <c r="P73" s="48"/>
      <c r="Q73" s="48"/>
      <c r="R73" s="48"/>
      <c r="S73" s="48"/>
      <c r="T73" s="48"/>
      <c r="U73" s="48"/>
    </row>
    <row r="74" spans="1:21" s="106" customFormat="1" ht="40.5" customHeight="1" x14ac:dyDescent="0.2">
      <c r="B74" s="118"/>
      <c r="C74" s="362" t="s">
        <v>348</v>
      </c>
      <c r="D74" s="119" t="s">
        <v>253</v>
      </c>
      <c r="E74" s="120"/>
      <c r="F74" s="1358"/>
      <c r="G74" s="1358"/>
      <c r="H74" s="1359" t="s">
        <v>266</v>
      </c>
      <c r="I74" s="1381" t="s">
        <v>254</v>
      </c>
      <c r="J74" s="1381"/>
      <c r="K74" s="1382"/>
      <c r="O74" s="48"/>
      <c r="P74" s="48"/>
      <c r="Q74" s="48"/>
      <c r="R74" s="48"/>
      <c r="S74" s="48"/>
      <c r="T74" s="48"/>
      <c r="U74" s="48"/>
    </row>
    <row r="75" spans="1:21" s="106" customFormat="1" ht="35.1" customHeight="1" x14ac:dyDescent="0.2">
      <c r="B75" s="927" t="e">
        <f>C10</f>
        <v>#N/A</v>
      </c>
      <c r="C75" s="77" t="e">
        <f>C11</f>
        <v>#N/A</v>
      </c>
      <c r="D75" s="78" t="e">
        <f>H54</f>
        <v>#DIV/0!</v>
      </c>
      <c r="E75" s="940" t="e">
        <f>B75+(C75/1000)+(D75/1000)</f>
        <v>#N/A</v>
      </c>
      <c r="F75" s="264" t="e">
        <f>E75*1000-B75*1000</f>
        <v>#N/A</v>
      </c>
      <c r="G75" s="61"/>
      <c r="H75" s="1360"/>
      <c r="I75" s="285" t="e">
        <f>G71</f>
        <v>#DIV/0!</v>
      </c>
      <c r="J75" s="1364"/>
      <c r="K75" s="1365"/>
      <c r="O75" s="48"/>
      <c r="P75" s="48"/>
      <c r="Q75" s="48"/>
      <c r="R75" s="48"/>
      <c r="S75" s="48"/>
      <c r="T75" s="48"/>
      <c r="U75" s="48"/>
    </row>
    <row r="76" spans="1:21" s="106" customFormat="1" ht="35.1" customHeight="1" thickBot="1" x14ac:dyDescent="0.25">
      <c r="B76" s="928" t="e">
        <f>B75</f>
        <v>#N/A</v>
      </c>
      <c r="C76" s="88" t="e">
        <f>C75</f>
        <v>#N/A</v>
      </c>
      <c r="D76" s="88" t="e">
        <f>D75</f>
        <v>#DIV/0!</v>
      </c>
      <c r="E76" s="262" t="e">
        <f>B76+(C76/1000)+(D76/1000)</f>
        <v>#N/A</v>
      </c>
      <c r="F76" s="283" t="e">
        <f>F75/1000</f>
        <v>#N/A</v>
      </c>
      <c r="G76" s="89"/>
      <c r="H76" s="1361"/>
      <c r="I76" s="284" t="e">
        <f>I75/1000</f>
        <v>#DIV/0!</v>
      </c>
      <c r="J76" s="1366"/>
      <c r="K76" s="1367"/>
      <c r="O76" s="48"/>
      <c r="P76" s="48"/>
      <c r="Q76" s="48"/>
      <c r="R76" s="48"/>
      <c r="S76" s="48"/>
      <c r="T76" s="48"/>
      <c r="U76" s="48"/>
    </row>
    <row r="77" spans="1:21" s="106" customFormat="1" ht="35.1" customHeight="1" x14ac:dyDescent="0.2">
      <c r="G77" s="47"/>
      <c r="H77" s="47"/>
      <c r="I77" s="47"/>
      <c r="J77" s="47"/>
      <c r="O77" s="48"/>
      <c r="P77" s="48"/>
      <c r="Q77" s="48"/>
      <c r="R77" s="48"/>
      <c r="S77" s="48"/>
      <c r="T77" s="48"/>
      <c r="U77" s="48"/>
    </row>
    <row r="78" spans="1:21" s="106" customFormat="1" ht="35.1" customHeight="1" x14ac:dyDescent="0.2">
      <c r="G78" s="47"/>
      <c r="H78" s="47"/>
      <c r="I78" s="47"/>
      <c r="J78" s="47"/>
      <c r="O78" s="48"/>
      <c r="P78" s="48"/>
      <c r="Q78" s="48"/>
      <c r="R78" s="48"/>
      <c r="S78" s="48"/>
      <c r="T78" s="48"/>
      <c r="U78" s="48"/>
    </row>
    <row r="79" spans="1:21" s="106" customFormat="1" ht="35.1" customHeight="1" x14ac:dyDescent="0.2">
      <c r="G79" s="47"/>
      <c r="H79" s="47"/>
      <c r="I79" s="47"/>
      <c r="J79" s="47"/>
    </row>
    <row r="80" spans="1:21" s="107" customFormat="1" ht="9.9499999999999993" customHeight="1" x14ac:dyDescent="0.2">
      <c r="A80" s="109"/>
      <c r="B80" s="106"/>
      <c r="C80" s="106"/>
      <c r="D80" s="106"/>
      <c r="E80" s="106"/>
      <c r="F80" s="106"/>
      <c r="G80" s="47"/>
      <c r="H80" s="47"/>
    </row>
    <row r="81" spans="2:11" s="111" customFormat="1" ht="35.1" customHeight="1" x14ac:dyDescent="0.2">
      <c r="B81" s="106"/>
      <c r="C81" s="106"/>
      <c r="D81" s="106"/>
      <c r="E81" s="106"/>
      <c r="F81" s="106"/>
      <c r="G81" s="47"/>
      <c r="H81" s="47"/>
    </row>
    <row r="82" spans="2:11" s="106" customFormat="1" ht="61.5" customHeight="1" x14ac:dyDescent="0.2">
      <c r="H82" s="111"/>
      <c r="I82" s="111"/>
      <c r="J82" s="111"/>
      <c r="K82" s="108"/>
    </row>
    <row r="83" spans="2:11" s="106" customFormat="1" ht="35.1" customHeight="1" x14ac:dyDescent="0.2">
      <c r="G83" s="111"/>
      <c r="H83" s="111"/>
      <c r="I83" s="111"/>
      <c r="J83" s="111"/>
      <c r="K83" s="108"/>
    </row>
    <row r="84" spans="2:11" s="106" customFormat="1" ht="35.1" customHeight="1" x14ac:dyDescent="0.2">
      <c r="G84" s="111"/>
      <c r="H84" s="111"/>
      <c r="I84" s="111"/>
      <c r="J84" s="111"/>
      <c r="K84" s="108"/>
    </row>
    <row r="85" spans="2:11" s="106" customFormat="1" ht="35.1" customHeight="1" x14ac:dyDescent="0.2">
      <c r="F85" s="107"/>
      <c r="K85" s="108"/>
    </row>
    <row r="86" spans="2:11" s="106" customFormat="1" ht="50.1" customHeight="1" x14ac:dyDescent="0.2"/>
    <row r="87" spans="2:11" s="106" customFormat="1" ht="57.75" customHeight="1" x14ac:dyDescent="0.2">
      <c r="C87" s="112"/>
      <c r="D87" s="112"/>
      <c r="E87" s="112"/>
    </row>
    <row r="88" spans="2:11" s="106" customFormat="1" ht="35.1" customHeight="1" x14ac:dyDescent="0.2"/>
    <row r="89" spans="2:11" s="106" customFormat="1" ht="35.1" customHeight="1" x14ac:dyDescent="0.2">
      <c r="F89" s="108"/>
      <c r="G89" s="108"/>
      <c r="H89" s="108"/>
      <c r="I89" s="108"/>
      <c r="J89" s="108"/>
    </row>
    <row r="90" spans="2:11" s="106" customFormat="1" ht="35.1" customHeight="1" x14ac:dyDescent="0.2"/>
    <row r="91" spans="2:11" s="106" customFormat="1" ht="50.1" customHeight="1" x14ac:dyDescent="0.2">
      <c r="J91" s="47"/>
    </row>
    <row r="92" spans="2:11" s="106" customFormat="1" ht="55.5" customHeight="1" x14ac:dyDescent="0.2">
      <c r="J92" s="111"/>
    </row>
    <row r="93" spans="2:11" s="106" customFormat="1" ht="50.1" customHeight="1" x14ac:dyDescent="0.2">
      <c r="J93" s="111"/>
    </row>
    <row r="94" spans="2:11" s="107" customFormat="1" ht="31.5" customHeight="1" x14ac:dyDescent="0.2">
      <c r="J94" s="111"/>
    </row>
    <row r="95" spans="2:11" s="106" customFormat="1" ht="35.1" customHeight="1" x14ac:dyDescent="0.2">
      <c r="G95" s="111"/>
      <c r="H95" s="111"/>
      <c r="I95" s="111"/>
      <c r="J95" s="111"/>
    </row>
    <row r="96" spans="2:11" s="106" customFormat="1" ht="35.1" customHeight="1" x14ac:dyDescent="0.2">
      <c r="G96" s="111"/>
      <c r="H96" s="111"/>
      <c r="I96" s="111"/>
      <c r="J96" s="111"/>
    </row>
    <row r="97" spans="1:12" s="106" customFormat="1" ht="9.9499999999999993" customHeight="1" x14ac:dyDescent="0.2">
      <c r="G97" s="108"/>
      <c r="H97" s="108"/>
      <c r="I97" s="108"/>
      <c r="J97" s="108"/>
    </row>
    <row r="98" spans="1:12" s="106" customFormat="1" ht="35.1" customHeight="1" x14ac:dyDescent="0.2">
      <c r="J98" s="108"/>
      <c r="K98" s="108"/>
      <c r="L98" s="108"/>
    </row>
    <row r="99" spans="1:12" s="46" customFormat="1" ht="15" customHeight="1" x14ac:dyDescent="0.2">
      <c r="A99" s="47"/>
      <c r="G99" s="47"/>
      <c r="H99" s="47"/>
      <c r="I99" s="47"/>
      <c r="J99" s="47"/>
      <c r="K99" s="48"/>
    </row>
    <row r="100" spans="1:12" s="48" customFormat="1" ht="31.5" customHeight="1" x14ac:dyDescent="0.2">
      <c r="A100" s="47"/>
      <c r="B100" s="47"/>
      <c r="C100" s="47"/>
      <c r="D100" s="47"/>
      <c r="E100" s="47"/>
      <c r="F100" s="47"/>
      <c r="G100" s="47"/>
      <c r="H100" s="47"/>
      <c r="I100" s="47"/>
      <c r="J100" s="47"/>
    </row>
    <row r="101" spans="1:12" s="48" customFormat="1" ht="31.5" customHeight="1" x14ac:dyDescent="0.2"/>
    <row r="102" spans="1:12" s="48" customFormat="1" ht="31.5" customHeight="1" x14ac:dyDescent="0.2"/>
    <row r="103" spans="1:12" s="48" customFormat="1" ht="52.5" customHeight="1" x14ac:dyDescent="0.2"/>
    <row r="104" spans="1:12" s="48" customFormat="1" ht="31.5" customHeight="1" x14ac:dyDescent="0.2">
      <c r="K104" s="8"/>
    </row>
    <row r="105" spans="1:12" s="48" customFormat="1" ht="31.5" customHeight="1" x14ac:dyDescent="0.2">
      <c r="K105" s="8"/>
    </row>
    <row r="106" spans="1:12" ht="31.5" customHeight="1" x14ac:dyDescent="0.2">
      <c r="G106" s="76"/>
    </row>
    <row r="107" spans="1:12" ht="51" customHeight="1" x14ac:dyDescent="0.2"/>
    <row r="109" spans="1:12" ht="31.5" customHeight="1" x14ac:dyDescent="0.2">
      <c r="B109" s="29"/>
      <c r="C109" s="29"/>
      <c r="D109" s="29"/>
      <c r="E109" s="29"/>
      <c r="F109" s="29"/>
      <c r="G109" s="29"/>
      <c r="H109" s="29"/>
      <c r="I109" s="29"/>
      <c r="J109" s="29"/>
    </row>
    <row r="110" spans="1:12" ht="31.5" customHeight="1" x14ac:dyDescent="0.2">
      <c r="B110" s="29"/>
      <c r="C110" s="29"/>
      <c r="D110" s="29"/>
      <c r="E110" s="29"/>
      <c r="F110" s="29"/>
      <c r="G110" s="29"/>
      <c r="H110" s="29"/>
      <c r="I110" s="29"/>
      <c r="J110" s="29"/>
    </row>
    <row r="111" spans="1:12" ht="31.5" customHeight="1" x14ac:dyDescent="0.2">
      <c r="B111" s="29"/>
      <c r="C111" s="29"/>
      <c r="D111" s="29"/>
      <c r="E111" s="29"/>
      <c r="F111" s="29"/>
      <c r="G111" s="29"/>
      <c r="H111" s="29"/>
      <c r="I111" s="29"/>
      <c r="J111" s="29"/>
    </row>
    <row r="112" spans="1:12" ht="31.5" customHeight="1" x14ac:dyDescent="0.2">
      <c r="B112" s="29"/>
      <c r="C112" s="29"/>
      <c r="D112" s="29"/>
      <c r="E112" s="29"/>
      <c r="F112" s="29"/>
      <c r="G112" s="29"/>
      <c r="H112" s="29"/>
      <c r="I112" s="29"/>
      <c r="J112" s="29"/>
    </row>
    <row r="113" spans="2:10" ht="31.5" customHeight="1" x14ac:dyDescent="0.2">
      <c r="B113" s="29"/>
      <c r="C113" s="29"/>
      <c r="D113" s="29"/>
      <c r="E113" s="29"/>
      <c r="F113" s="29"/>
      <c r="G113" s="29"/>
      <c r="H113" s="29"/>
      <c r="I113" s="29"/>
      <c r="J113" s="29"/>
    </row>
    <row r="114" spans="2:10" ht="31.5" customHeight="1" x14ac:dyDescent="0.2">
      <c r="B114" s="29"/>
      <c r="C114" s="29"/>
      <c r="D114" s="29"/>
      <c r="E114" s="29"/>
      <c r="F114" s="29"/>
      <c r="G114" s="29"/>
      <c r="H114" s="29"/>
      <c r="I114" s="29"/>
      <c r="J114" s="29"/>
    </row>
    <row r="115" spans="2:10" ht="31.5" customHeight="1" x14ac:dyDescent="0.2">
      <c r="B115" s="29"/>
      <c r="C115" s="29"/>
      <c r="D115" s="29"/>
      <c r="E115" s="29"/>
      <c r="F115" s="29"/>
      <c r="G115" s="29"/>
      <c r="H115" s="29"/>
      <c r="I115" s="29"/>
      <c r="J115" s="29"/>
    </row>
  </sheetData>
  <sheetProtection password="CF5C" sheet="1" objects="1" scenarios="1"/>
  <mergeCells count="62">
    <mergeCell ref="D70:E70"/>
    <mergeCell ref="D71:E71"/>
    <mergeCell ref="B72:K72"/>
    <mergeCell ref="B73:E73"/>
    <mergeCell ref="H73:K73"/>
    <mergeCell ref="F74:G74"/>
    <mergeCell ref="H74:H76"/>
    <mergeCell ref="I74:K74"/>
    <mergeCell ref="J75:K75"/>
    <mergeCell ref="J76:K76"/>
    <mergeCell ref="A56:J56"/>
    <mergeCell ref="A58:B58"/>
    <mergeCell ref="C58:D58"/>
    <mergeCell ref="E58:F58"/>
    <mergeCell ref="H60:M60"/>
    <mergeCell ref="A50:B50"/>
    <mergeCell ref="G50:H50"/>
    <mergeCell ref="A52:J52"/>
    <mergeCell ref="D53:E53"/>
    <mergeCell ref="H53:I53"/>
    <mergeCell ref="A49:B49"/>
    <mergeCell ref="G49:H49"/>
    <mergeCell ref="A28:A31"/>
    <mergeCell ref="C33:D33"/>
    <mergeCell ref="F33:G33"/>
    <mergeCell ref="A36:J36"/>
    <mergeCell ref="B38:F38"/>
    <mergeCell ref="H38:J38"/>
    <mergeCell ref="H39:J42"/>
    <mergeCell ref="A46:J46"/>
    <mergeCell ref="A47:B48"/>
    <mergeCell ref="C47:E47"/>
    <mergeCell ref="G48:H48"/>
    <mergeCell ref="A27:B27"/>
    <mergeCell ref="G27:H27"/>
    <mergeCell ref="A14:B14"/>
    <mergeCell ref="A15:B15"/>
    <mergeCell ref="A16:B16"/>
    <mergeCell ref="C16:D16"/>
    <mergeCell ref="A18:J18"/>
    <mergeCell ref="F19:G19"/>
    <mergeCell ref="J19:J20"/>
    <mergeCell ref="A20:B20"/>
    <mergeCell ref="E20:F20"/>
    <mergeCell ref="A22:J22"/>
    <mergeCell ref="C24:D24"/>
    <mergeCell ref="F24:G24"/>
    <mergeCell ref="C26:F26"/>
    <mergeCell ref="G26:H26"/>
    <mergeCell ref="A13:B13"/>
    <mergeCell ref="F13:I13"/>
    <mergeCell ref="A1:B1"/>
    <mergeCell ref="C1:M1"/>
    <mergeCell ref="I3:J4"/>
    <mergeCell ref="A6:D6"/>
    <mergeCell ref="F6:I6"/>
    <mergeCell ref="F9:G9"/>
    <mergeCell ref="A10:B10"/>
    <mergeCell ref="F10:G10"/>
    <mergeCell ref="A11:B11"/>
    <mergeCell ref="F11:G11"/>
    <mergeCell ref="A12:B12"/>
  </mergeCells>
  <printOptions horizontalCentered="1"/>
  <pageMargins left="0.70866141732283472" right="0.70866141732283472" top="0.74803149606299213" bottom="0.74803149606299213" header="0.31496062992125984" footer="0.31496062992125984"/>
  <pageSetup scale="13" orientation="portrait" r:id="rId1"/>
  <headerFooter>
    <oddHeader xml:space="preserve">&amp;C
&amp;16   
</oddHeader>
    <oddFooter xml:space="preserve">&amp;RRT03-F13 Vr.14 (2021-05-21)
</oddFooter>
  </headerFooter>
  <rowBreaks count="1" manualBreakCount="1">
    <brk id="34" max="12" man="1"/>
  </rowBreaks>
  <drawing r:id="rId2"/>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0600-000000000000}">
          <x14:formula1>
            <xm:f>'DATOS %'!$B$7:$B$40</xm:f>
          </x14:formula1>
          <xm:sqref>I3:J4</xm:sqref>
        </x14:dataValidation>
        <x14:dataValidation type="list" allowBlank="1" showInputMessage="1" showErrorMessage="1" xr:uid="{00000000-0002-0000-0600-000001000000}">
          <x14:formula1>
            <xm:f>'DATOS %'!$V$161:$V$165</xm:f>
          </x14:formula1>
          <xm:sqref>H25</xm:sqref>
        </x14:dataValidation>
        <x14:dataValidation type="list" allowBlank="1" showInputMessage="1" showErrorMessage="1" xr:uid="{00000000-0002-0000-0600-000002000000}">
          <x14:formula1>
            <xm:f>'DATOS %'!$V$120:$V$126</xm:f>
          </x14:formula1>
          <xm:sqref>J13</xm:sqref>
        </x14:dataValidation>
        <x14:dataValidation type="list" allowBlank="1" showInputMessage="1" showErrorMessage="1" xr:uid="{00000000-0002-0000-0600-000003000000}">
          <x14:formula1>
            <xm:f>'DATOS %'!$N$29:$N$113</xm:f>
          </x14:formula1>
          <xm:sqref>E6</xm:sqref>
        </x14:dataValidation>
        <x14:dataValidation type="list" allowBlank="1" showInputMessage="1" showErrorMessage="1" xr:uid="{00000000-0002-0000-0600-000004000000}">
          <x14:formula1>
            <xm:f>'DATOS %'!$N$121:$N$166</xm:f>
          </x14:formula1>
          <xm:sqref>F48</xm:sqref>
        </x14:dataValidation>
        <x14:dataValidation type="list" allowBlank="1" showInputMessage="1" showErrorMessage="1" xr:uid="{00000000-0002-0000-0600-000005000000}">
          <x14:formula1>
            <xm:f>'DATOS %'!$J$174:$J$179</xm:f>
          </x14:formula1>
          <xm:sqref>J19:J20</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FF00"/>
  </sheetPr>
  <dimension ref="A1:U115"/>
  <sheetViews>
    <sheetView showGridLines="0" view="pageBreakPreview" topLeftCell="A19" zoomScale="80" zoomScaleNormal="60" zoomScaleSheetLayoutView="80" workbookViewId="0">
      <selection activeCell="C65" sqref="C65"/>
    </sheetView>
  </sheetViews>
  <sheetFormatPr baseColWidth="10" defaultColWidth="11.42578125" defaultRowHeight="31.5" customHeight="1" x14ac:dyDescent="0.2"/>
  <cols>
    <col min="1" max="1" width="14.7109375" style="37" customWidth="1"/>
    <col min="2" max="2" width="12" style="37" customWidth="1"/>
    <col min="3" max="3" width="15.7109375" style="37" customWidth="1"/>
    <col min="4" max="4" width="17" style="37" customWidth="1"/>
    <col min="5" max="5" width="15.5703125" style="37" customWidth="1"/>
    <col min="6" max="6" width="18.5703125" style="37" customWidth="1"/>
    <col min="7" max="7" width="15.7109375" style="37" customWidth="1"/>
    <col min="8" max="8" width="24.42578125" style="37" bestFit="1" customWidth="1"/>
    <col min="9" max="9" width="13.85546875" style="37" bestFit="1" customWidth="1"/>
    <col min="10" max="10" width="13.7109375" style="37" customWidth="1"/>
    <col min="11" max="19" width="11.42578125" style="8"/>
    <col min="20" max="20" width="15.85546875" style="8" bestFit="1" customWidth="1"/>
    <col min="21" max="21" width="14.42578125" style="8" bestFit="1" customWidth="1"/>
    <col min="22" max="16384" width="11.42578125" style="8"/>
  </cols>
  <sheetData>
    <row r="1" spans="1:16" ht="60" customHeight="1" thickBot="1" x14ac:dyDescent="0.25">
      <c r="A1" s="1257"/>
      <c r="B1" s="1258"/>
      <c r="C1" s="1259" t="s">
        <v>57</v>
      </c>
      <c r="D1" s="1260"/>
      <c r="E1" s="1260"/>
      <c r="F1" s="1260"/>
      <c r="G1" s="1260"/>
      <c r="H1" s="1260"/>
      <c r="I1" s="1260"/>
      <c r="J1" s="1260"/>
      <c r="K1" s="1260"/>
      <c r="L1" s="1260"/>
      <c r="M1" s="1261"/>
      <c r="N1" s="7"/>
      <c r="O1" s="7"/>
      <c r="P1" s="7"/>
    </row>
    <row r="2" spans="1:16" s="11" customFormat="1" ht="9.75" customHeight="1" thickBot="1" x14ac:dyDescent="0.25">
      <c r="A2" s="9"/>
      <c r="B2" s="9"/>
      <c r="C2" s="10"/>
      <c r="D2" s="10"/>
      <c r="E2" s="10"/>
      <c r="F2" s="10"/>
      <c r="G2" s="10"/>
      <c r="H2" s="10"/>
      <c r="K2" s="12"/>
      <c r="M2" s="7"/>
    </row>
    <row r="3" spans="1:16" s="12" customFormat="1" ht="35.25" customHeight="1" thickBot="1" x14ac:dyDescent="0.25">
      <c r="A3" s="13" t="s">
        <v>17</v>
      </c>
      <c r="B3" s="14" t="s">
        <v>55</v>
      </c>
      <c r="C3" s="15" t="s">
        <v>209</v>
      </c>
      <c r="D3" s="15" t="s">
        <v>56</v>
      </c>
      <c r="E3" s="15" t="s">
        <v>8</v>
      </c>
      <c r="F3" s="16" t="s">
        <v>18</v>
      </c>
      <c r="G3" s="16" t="s">
        <v>297</v>
      </c>
      <c r="H3" s="17" t="s">
        <v>24</v>
      </c>
      <c r="I3" s="1262"/>
      <c r="J3" s="1263"/>
      <c r="K3" s="11"/>
      <c r="M3" s="7"/>
    </row>
    <row r="4" spans="1:16" s="11" customFormat="1" ht="32.25" customHeight="1" thickBot="1" x14ac:dyDescent="0.25">
      <c r="A4" s="18" t="e">
        <f>VLOOKUP($I$3,'DATOS %'!B7:J29,2,FALSE)</f>
        <v>#N/A</v>
      </c>
      <c r="B4" s="212" t="e">
        <f>VLOOKUP($I$3,'DATOS %'!$B$7:$J$29,3,FALSE)</f>
        <v>#N/A</v>
      </c>
      <c r="C4" s="19" t="e">
        <f>VLOOKUP($I$3,'DATOS %'!$B$7:$J$29,8,FALSE)</f>
        <v>#N/A</v>
      </c>
      <c r="D4" s="19" t="e">
        <f>VLOOKUP($I$3,'DATOS %'!$B$7:$J$29,6,FALSE)</f>
        <v>#N/A</v>
      </c>
      <c r="E4" s="212" t="e">
        <f>VLOOKUP($I$3,'DATOS %'!$B$7:$J$29,7,FALSE)</f>
        <v>#N/A</v>
      </c>
      <c r="F4" s="18" t="e">
        <f>VLOOKUP($I$3,'DATOS %'!$B$7:$J$29,4,FALSE)</f>
        <v>#N/A</v>
      </c>
      <c r="G4" s="18" t="e">
        <f>VLOOKUP($I$3,'DATOS %'!$B$7:$J$29,5,FALSE)</f>
        <v>#N/A</v>
      </c>
      <c r="H4" s="19" t="e">
        <f>VLOOKUP($I$3,'DATOS %'!$B$7:$J$29,9,FALSE)</f>
        <v>#N/A</v>
      </c>
      <c r="I4" s="1264"/>
      <c r="J4" s="1265"/>
      <c r="K4" s="8"/>
      <c r="L4" s="20"/>
      <c r="M4" s="20"/>
    </row>
    <row r="5" spans="1:16" s="22" customFormat="1" ht="6.75" customHeight="1" thickBot="1" x14ac:dyDescent="0.25">
      <c r="A5" s="21"/>
      <c r="B5" s="21"/>
      <c r="C5" s="21"/>
      <c r="F5" s="21"/>
      <c r="G5" s="21"/>
      <c r="H5" s="21"/>
      <c r="K5" s="8"/>
    </row>
    <row r="6" spans="1:16" ht="31.5" customHeight="1" thickBot="1" x14ac:dyDescent="0.25">
      <c r="A6" s="1266" t="s">
        <v>19</v>
      </c>
      <c r="B6" s="1267"/>
      <c r="C6" s="1267"/>
      <c r="D6" s="1268"/>
      <c r="E6" s="4"/>
      <c r="F6" s="1266" t="s">
        <v>20</v>
      </c>
      <c r="G6" s="1267"/>
      <c r="H6" s="1267"/>
      <c r="I6" s="1268"/>
      <c r="J6" s="402">
        <f>I3</f>
        <v>0</v>
      </c>
    </row>
    <row r="7" spans="1:16" ht="31.5" customHeight="1" x14ac:dyDescent="0.2">
      <c r="A7" s="23" t="s">
        <v>21</v>
      </c>
      <c r="B7" s="24" t="e">
        <f>VLOOKUP($E$6,'DATOS %'!N11:AA113,2,FALSE)</f>
        <v>#N/A</v>
      </c>
      <c r="C7" s="25" t="s">
        <v>10</v>
      </c>
      <c r="D7" s="26" t="e">
        <f>VLOOKUP($E$6,'DATOS %'!N11:AA113,3,FALSE)</f>
        <v>#N/A</v>
      </c>
      <c r="E7" s="27"/>
      <c r="F7" s="23" t="s">
        <v>21</v>
      </c>
      <c r="G7" s="24" t="e">
        <f>VLOOKUP($J$6,'DATOS %'!B47:I79,2,FALSE)</f>
        <v>#N/A</v>
      </c>
      <c r="H7" s="28" t="s">
        <v>10</v>
      </c>
      <c r="I7" s="26" t="e">
        <f>VLOOKUP($J$6,'DATOS %'!B47:I79,3,FALSE)</f>
        <v>#N/A</v>
      </c>
      <c r="J7" s="29"/>
    </row>
    <row r="8" spans="1:16" ht="31.5" customHeight="1" x14ac:dyDescent="0.2">
      <c r="A8" s="30" t="s">
        <v>22</v>
      </c>
      <c r="B8" s="31" t="e">
        <f>VLOOKUP($E$6,'DATOS %'!N11:AA113,4,FALSE)</f>
        <v>#N/A</v>
      </c>
      <c r="C8" s="32" t="s">
        <v>23</v>
      </c>
      <c r="D8" s="33" t="e">
        <f>VLOOKUP($E$6,'DATOS %'!N11:AA113,5,FALSE)</f>
        <v>#N/A</v>
      </c>
      <c r="E8" s="27"/>
      <c r="F8" s="30" t="s">
        <v>22</v>
      </c>
      <c r="G8" s="31" t="e">
        <f>VLOOKUP($J$6,'DATOS %'!B47:I79,4,FALSE)</f>
        <v>#N/A</v>
      </c>
      <c r="H8" s="32" t="s">
        <v>23</v>
      </c>
      <c r="I8" s="297" t="e">
        <f>VLOOKUP($J$6,'DATOS %'!B47:I79,5,FALSE)</f>
        <v>#N/A</v>
      </c>
      <c r="J8" s="29"/>
    </row>
    <row r="9" spans="1:16" ht="31.5" customHeight="1" x14ac:dyDescent="0.2">
      <c r="A9" s="34" t="s">
        <v>24</v>
      </c>
      <c r="B9" s="31" t="e">
        <f>VLOOKUP($E$6,'DATOS %'!N11:AA113,6,FALSE)</f>
        <v>#N/A</v>
      </c>
      <c r="C9" s="35" t="s">
        <v>15</v>
      </c>
      <c r="D9" s="36" t="e">
        <f>VLOOKUP($E$6,'DATOS %'!N11:AA113,7,FALSE)</f>
        <v>#N/A</v>
      </c>
      <c r="F9" s="1252" t="s">
        <v>62</v>
      </c>
      <c r="G9" s="1253"/>
      <c r="H9" s="926" t="e">
        <f>(VLOOKUP($J$6,'DATOS %'!B47:I79,6,FALSE))/1000</f>
        <v>#N/A</v>
      </c>
      <c r="I9" s="33" t="s">
        <v>1</v>
      </c>
      <c r="J9" s="29"/>
      <c r="K9" s="208"/>
    </row>
    <row r="10" spans="1:16" s="38" customFormat="1" ht="31.5" customHeight="1" x14ac:dyDescent="0.25">
      <c r="A10" s="1252" t="s">
        <v>63</v>
      </c>
      <c r="B10" s="1253"/>
      <c r="C10" s="926" t="e">
        <f>(VLOOKUP($E$6,'DATOS %'!N11:AA113,8,FALSE))/1000</f>
        <v>#N/A</v>
      </c>
      <c r="D10" s="33" t="s">
        <v>1</v>
      </c>
      <c r="F10" s="1252" t="s">
        <v>64</v>
      </c>
      <c r="G10" s="1253"/>
      <c r="H10" s="213" t="e">
        <f>VLOOKUP($J$6,'DATOS %'!B47:I79,7,FALSE)</f>
        <v>#N/A</v>
      </c>
      <c r="I10" s="33" t="s">
        <v>76</v>
      </c>
      <c r="J10" s="39"/>
    </row>
    <row r="11" spans="1:16" s="38" customFormat="1" ht="31.5" customHeight="1" thickBot="1" x14ac:dyDescent="0.3">
      <c r="A11" s="1252" t="s">
        <v>65</v>
      </c>
      <c r="B11" s="1253"/>
      <c r="C11" s="31" t="e">
        <f>VLOOKUP($E$6,'DATOS %'!N11:AA113,9,FALSE)</f>
        <v>#N/A</v>
      </c>
      <c r="D11" s="33" t="s">
        <v>3</v>
      </c>
      <c r="E11" s="40"/>
      <c r="F11" s="1271" t="s">
        <v>66</v>
      </c>
      <c r="G11" s="1272"/>
      <c r="H11" s="41" t="e">
        <f>VLOOKUP($J$6,'DATOS %'!B47:I79,8,FALSE)</f>
        <v>#N/A</v>
      </c>
      <c r="I11" s="45" t="s">
        <v>76</v>
      </c>
      <c r="J11" s="39"/>
    </row>
    <row r="12" spans="1:16" s="38" customFormat="1" ht="31.5" customHeight="1" thickBot="1" x14ac:dyDescent="0.3">
      <c r="A12" s="1252" t="s">
        <v>67</v>
      </c>
      <c r="B12" s="1253"/>
      <c r="C12" s="31" t="e">
        <f>VLOOKUP($E$6,'DATOS %'!N11:AA113,10,FALSE)</f>
        <v>#N/A</v>
      </c>
      <c r="D12" s="33" t="s">
        <v>3</v>
      </c>
      <c r="E12" s="39"/>
      <c r="F12" s="39"/>
      <c r="G12" s="39"/>
      <c r="H12" s="39"/>
    </row>
    <row r="13" spans="1:16" s="38" customFormat="1" ht="31.5" customHeight="1" thickBot="1" x14ac:dyDescent="0.3">
      <c r="A13" s="1252" t="s">
        <v>68</v>
      </c>
      <c r="B13" s="1253"/>
      <c r="C13" s="213" t="e">
        <f>VLOOKUP($E$6,'DATOS %'!N11:AA113,11,FALSE)</f>
        <v>#N/A</v>
      </c>
      <c r="D13" s="33" t="s">
        <v>76</v>
      </c>
      <c r="E13" s="39"/>
      <c r="F13" s="1254" t="s">
        <v>559</v>
      </c>
      <c r="G13" s="1255"/>
      <c r="H13" s="1255"/>
      <c r="I13" s="1256"/>
      <c r="J13" s="5"/>
    </row>
    <row r="14" spans="1:16" s="38" customFormat="1" ht="31.5" customHeight="1" x14ac:dyDescent="0.2">
      <c r="A14" s="1252" t="s">
        <v>305</v>
      </c>
      <c r="B14" s="1253"/>
      <c r="C14" s="31" t="e">
        <f>VLOOKUP($E$6,'DATOS %'!N11:AA113,12,FALSE)</f>
        <v>#N/A</v>
      </c>
      <c r="D14" s="33" t="s">
        <v>76</v>
      </c>
      <c r="E14" s="39"/>
      <c r="F14" s="23" t="s">
        <v>10</v>
      </c>
      <c r="G14" s="24" t="e">
        <f>VLOOKUP($J$13,'DATOS %'!$V$119:$Y$126,2,FALSE)</f>
        <v>#N/A</v>
      </c>
      <c r="H14" s="28" t="s">
        <v>22</v>
      </c>
      <c r="I14" s="24" t="e">
        <f>VLOOKUP($J$13,'DATOS %'!$V$119:$Z$126,3,FALSE)</f>
        <v>#N/A</v>
      </c>
      <c r="J14" s="42"/>
      <c r="K14" s="8"/>
    </row>
    <row r="15" spans="1:16" ht="31.5" customHeight="1" thickBot="1" x14ac:dyDescent="0.25">
      <c r="A15" s="1277" t="s">
        <v>69</v>
      </c>
      <c r="B15" s="1278"/>
      <c r="C15" s="31" t="e">
        <f>VLOOKUP($E$6,'DATOS %'!N11:AA113,13,FALSE)</f>
        <v>#N/A</v>
      </c>
      <c r="D15" s="33" t="s">
        <v>76</v>
      </c>
      <c r="E15" s="29"/>
      <c r="F15" s="43" t="s">
        <v>61</v>
      </c>
      <c r="G15" s="41" t="e">
        <f>VLOOKUP($J$13,'DATOS %'!$V$119:$Y$126,4,FALSE)</f>
        <v>#N/A</v>
      </c>
      <c r="H15" s="41" t="s">
        <v>1</v>
      </c>
      <c r="I15" s="243" t="s">
        <v>210</v>
      </c>
      <c r="J15" s="45" t="e">
        <f>VLOOKUP($J$13,'DATOS %'!$V$119:$Z$126,5,FALSE)</f>
        <v>#N/A</v>
      </c>
      <c r="K15" s="22"/>
    </row>
    <row r="16" spans="1:16" ht="30.95" customHeight="1" thickBot="1" x14ac:dyDescent="0.25">
      <c r="A16" s="1279" t="s">
        <v>210</v>
      </c>
      <c r="B16" s="1280"/>
      <c r="C16" s="1281" t="e">
        <f>VLOOKUP($E$6,'DATOS %'!N11:AA113,14,FALSE)</f>
        <v>#N/A</v>
      </c>
      <c r="D16" s="1282"/>
      <c r="E16" s="29"/>
      <c r="F16" s="8"/>
      <c r="G16" s="8"/>
      <c r="H16" s="8"/>
      <c r="I16" s="8"/>
      <c r="J16" s="8"/>
    </row>
    <row r="17" spans="1:11" s="22" customFormat="1" ht="30.95" customHeight="1" thickBot="1" x14ac:dyDescent="0.25">
      <c r="A17" s="29"/>
      <c r="B17" s="29"/>
      <c r="C17" s="29"/>
      <c r="D17" s="29"/>
      <c r="E17" s="29"/>
      <c r="F17" s="29"/>
      <c r="G17" s="29"/>
      <c r="H17" s="29"/>
      <c r="I17" s="29"/>
      <c r="J17" s="29"/>
      <c r="K17" s="8"/>
    </row>
    <row r="18" spans="1:11" ht="31.5" customHeight="1" thickBot="1" x14ac:dyDescent="0.25">
      <c r="A18" s="1331" t="s">
        <v>26</v>
      </c>
      <c r="B18" s="1332"/>
      <c r="C18" s="1332"/>
      <c r="D18" s="1332"/>
      <c r="E18" s="1332"/>
      <c r="F18" s="1332"/>
      <c r="G18" s="1332"/>
      <c r="H18" s="1332"/>
      <c r="I18" s="1332"/>
      <c r="J18" s="1333"/>
    </row>
    <row r="19" spans="1:11" ht="46.5" customHeight="1" thickBot="1" x14ac:dyDescent="0.25">
      <c r="A19" s="407" t="s">
        <v>10</v>
      </c>
      <c r="B19" s="101" t="e">
        <f>VLOOKUP(J19,'DATOS %'!J174:W180,2,FALSE)</f>
        <v>#N/A</v>
      </c>
      <c r="C19" s="95" t="s">
        <v>7</v>
      </c>
      <c r="D19" s="408" t="e">
        <f>VLOOKUP(J19,'DATOS %'!J174:W180,3,FALSE)</f>
        <v>#N/A</v>
      </c>
      <c r="E19" s="409" t="s">
        <v>24</v>
      </c>
      <c r="F19" s="1286" t="e">
        <f>VLOOKUP(J19,'DATOS %'!J174:W180,5,FALSE)</f>
        <v>#N/A</v>
      </c>
      <c r="G19" s="1287"/>
      <c r="H19" s="95" t="s">
        <v>25</v>
      </c>
      <c r="I19" s="212" t="e">
        <f>VLOOKUP(J19,'DATOS %'!J174:W180,4,FALSE)</f>
        <v>#N/A</v>
      </c>
      <c r="J19" s="1374"/>
    </row>
    <row r="20" spans="1:11" ht="31.5" customHeight="1" thickBot="1" x14ac:dyDescent="0.25">
      <c r="A20" s="1290" t="s">
        <v>316</v>
      </c>
      <c r="B20" s="1291"/>
      <c r="C20" s="94" t="s">
        <v>27</v>
      </c>
      <c r="D20" s="101" t="e">
        <f>VLOOKUP(J19,'DATOS %'!J174:W180,6,FALSE)</f>
        <v>#N/A</v>
      </c>
      <c r="E20" s="1292" t="s">
        <v>307</v>
      </c>
      <c r="F20" s="1293"/>
      <c r="G20" s="101" t="e">
        <f>VLOOKUP(J19,'DATOS %'!J174:W180,7,FALSE)</f>
        <v>#N/A</v>
      </c>
      <c r="H20" s="95" t="s">
        <v>9</v>
      </c>
      <c r="I20" s="214" t="e">
        <f>VLOOKUP(J19,'DATOS %'!J174:W180,8,FALSE)</f>
        <v>#N/A</v>
      </c>
      <c r="J20" s="1289"/>
    </row>
    <row r="21" spans="1:11" s="46" customFormat="1" ht="15" customHeight="1" thickBot="1" x14ac:dyDescent="0.25">
      <c r="A21" s="47"/>
      <c r="B21" s="47"/>
      <c r="C21" s="47"/>
      <c r="D21" s="47"/>
      <c r="E21" s="47"/>
      <c r="F21" s="47"/>
      <c r="G21" s="47"/>
      <c r="H21" s="47"/>
      <c r="I21" s="47"/>
      <c r="J21" s="47"/>
      <c r="K21" s="8"/>
    </row>
    <row r="22" spans="1:11" s="48" customFormat="1" ht="31.5" customHeight="1" thickBot="1" x14ac:dyDescent="0.25">
      <c r="A22" s="1294" t="s">
        <v>28</v>
      </c>
      <c r="B22" s="1295"/>
      <c r="C22" s="1295"/>
      <c r="D22" s="1295"/>
      <c r="E22" s="1295"/>
      <c r="F22" s="1295"/>
      <c r="G22" s="1295"/>
      <c r="H22" s="1295"/>
      <c r="I22" s="1295"/>
      <c r="J22" s="1296"/>
      <c r="K22" s="47"/>
    </row>
    <row r="23" spans="1:11" s="47" customFormat="1" ht="2.25" customHeight="1" thickBot="1" x14ac:dyDescent="0.25">
      <c r="A23" s="49"/>
      <c r="B23" s="50"/>
      <c r="C23" s="50"/>
      <c r="D23" s="50"/>
      <c r="E23" s="50"/>
      <c r="F23" s="50"/>
      <c r="G23" s="50"/>
      <c r="H23" s="50"/>
      <c r="I23" s="50"/>
      <c r="J23" s="51"/>
      <c r="K23" s="48"/>
    </row>
    <row r="24" spans="1:11" s="48" customFormat="1" ht="31.5" customHeight="1" thickBot="1" x14ac:dyDescent="0.25">
      <c r="A24" s="52" t="s">
        <v>29</v>
      </c>
      <c r="B24" s="916"/>
      <c r="C24" s="1297" t="s">
        <v>27</v>
      </c>
      <c r="D24" s="1298"/>
      <c r="E24" s="1"/>
      <c r="F24" s="1299" t="s">
        <v>307</v>
      </c>
      <c r="G24" s="1300"/>
      <c r="H24" s="2"/>
      <c r="I24" s="224" t="s">
        <v>9</v>
      </c>
      <c r="J24" s="215"/>
      <c r="K24" s="46"/>
    </row>
    <row r="25" spans="1:11" s="46" customFormat="1" ht="15" customHeight="1" thickBot="1" x14ac:dyDescent="0.25">
      <c r="A25" s="47"/>
      <c r="B25" s="47"/>
      <c r="C25" s="47"/>
      <c r="D25" s="47"/>
      <c r="E25" s="47"/>
      <c r="F25" s="47"/>
      <c r="G25" s="47"/>
      <c r="H25" s="6"/>
      <c r="I25" s="47"/>
      <c r="K25" s="48"/>
    </row>
    <row r="26" spans="1:11" s="48" customFormat="1" ht="29.25" customHeight="1" thickBot="1" x14ac:dyDescent="0.25">
      <c r="A26" s="115" t="s">
        <v>129</v>
      </c>
      <c r="B26" s="105">
        <v>4</v>
      </c>
      <c r="C26" s="1301" t="s">
        <v>30</v>
      </c>
      <c r="D26" s="1302"/>
      <c r="E26" s="1302"/>
      <c r="F26" s="1303"/>
      <c r="G26" s="1304" t="s">
        <v>211</v>
      </c>
      <c r="H26" s="1305"/>
    </row>
    <row r="27" spans="1:11" s="48" customFormat="1" ht="31.5" customHeight="1" thickBot="1" x14ac:dyDescent="0.25">
      <c r="A27" s="1273" t="s">
        <v>31</v>
      </c>
      <c r="B27" s="1274"/>
      <c r="C27" s="525">
        <v>1</v>
      </c>
      <c r="D27" s="525">
        <v>2</v>
      </c>
      <c r="E27" s="525">
        <v>3</v>
      </c>
      <c r="F27" s="129">
        <v>4</v>
      </c>
      <c r="G27" s="1275" t="e">
        <f>VLOOKUP($H$25,'DATOS %'!$V$161:$AA$165,2,FALSE)</f>
        <v>#N/A</v>
      </c>
      <c r="H27" s="1276"/>
    </row>
    <row r="28" spans="1:11" s="48" customFormat="1" ht="31.5" customHeight="1" x14ac:dyDescent="0.2">
      <c r="A28" s="1310" t="s">
        <v>32</v>
      </c>
      <c r="B28" s="141" t="s">
        <v>0</v>
      </c>
      <c r="C28" s="142"/>
      <c r="D28" s="142"/>
      <c r="E28" s="142"/>
      <c r="F28" s="143"/>
      <c r="G28" s="47"/>
      <c r="H28" s="47"/>
      <c r="I28" s="47"/>
      <c r="J28" s="47"/>
    </row>
    <row r="29" spans="1:11" s="48" customFormat="1" ht="31.5" customHeight="1" x14ac:dyDescent="0.2">
      <c r="A29" s="1311"/>
      <c r="B29" s="104" t="s">
        <v>2</v>
      </c>
      <c r="C29" s="127"/>
      <c r="D29" s="127"/>
      <c r="E29" s="127"/>
      <c r="F29" s="128"/>
      <c r="G29" s="47"/>
      <c r="H29" s="47"/>
      <c r="I29" s="47"/>
      <c r="J29" s="47"/>
    </row>
    <row r="30" spans="1:11" s="48" customFormat="1" ht="31.5" customHeight="1" x14ac:dyDescent="0.2">
      <c r="A30" s="1311"/>
      <c r="B30" s="104" t="s">
        <v>2</v>
      </c>
      <c r="C30" s="127"/>
      <c r="D30" s="127"/>
      <c r="E30" s="127"/>
      <c r="F30" s="128"/>
      <c r="G30" s="47"/>
      <c r="H30" s="47"/>
      <c r="I30" s="47"/>
      <c r="J30" s="47"/>
    </row>
    <row r="31" spans="1:11" s="48" customFormat="1" ht="31.5" customHeight="1" thickBot="1" x14ac:dyDescent="0.25">
      <c r="A31" s="1312"/>
      <c r="B31" s="53" t="s">
        <v>0</v>
      </c>
      <c r="C31" s="144"/>
      <c r="D31" s="144"/>
      <c r="E31" s="144"/>
      <c r="F31" s="145"/>
      <c r="G31" s="47"/>
      <c r="H31" s="47"/>
      <c r="I31" s="47"/>
      <c r="J31" s="47"/>
      <c r="K31" s="46"/>
    </row>
    <row r="32" spans="1:11" s="46" customFormat="1" ht="15" customHeight="1" thickBot="1" x14ac:dyDescent="0.25">
      <c r="A32" s="47"/>
      <c r="B32" s="47"/>
      <c r="C32" s="47"/>
      <c r="D32" s="47"/>
      <c r="E32" s="47"/>
      <c r="F32" s="47"/>
      <c r="G32" s="47"/>
      <c r="H32" s="47"/>
      <c r="I32" s="47"/>
      <c r="J32" s="47"/>
      <c r="K32" s="48"/>
    </row>
    <row r="33" spans="1:11" s="48" customFormat="1" ht="31.5" customHeight="1" thickBot="1" x14ac:dyDescent="0.25">
      <c r="A33" s="54" t="s">
        <v>33</v>
      </c>
      <c r="B33" s="916"/>
      <c r="C33" s="1297" t="s">
        <v>27</v>
      </c>
      <c r="D33" s="1298"/>
      <c r="E33" s="1"/>
      <c r="F33" s="1299" t="s">
        <v>307</v>
      </c>
      <c r="G33" s="1300"/>
      <c r="H33" s="2"/>
      <c r="I33" s="225" t="s">
        <v>9</v>
      </c>
      <c r="J33" s="3"/>
      <c r="K33" s="46"/>
    </row>
    <row r="34" spans="1:11" s="46" customFormat="1" ht="12" customHeight="1" x14ac:dyDescent="0.2">
      <c r="A34" s="55"/>
      <c r="B34" s="55"/>
      <c r="C34" s="55"/>
      <c r="D34" s="55"/>
      <c r="E34" s="55"/>
      <c r="F34" s="55"/>
      <c r="G34" s="55"/>
      <c r="H34" s="55"/>
      <c r="I34" s="55"/>
      <c r="J34" s="55"/>
      <c r="K34" s="48"/>
    </row>
    <row r="35" spans="1:11" s="48" customFormat="1" ht="15" customHeight="1" thickBot="1" x14ac:dyDescent="0.25">
      <c r="A35" s="56"/>
      <c r="B35" s="56"/>
      <c r="C35" s="56"/>
      <c r="D35" s="56"/>
      <c r="E35" s="56"/>
      <c r="F35" s="56"/>
      <c r="G35" s="56"/>
      <c r="H35" s="56"/>
      <c r="I35" s="56"/>
      <c r="J35" s="56"/>
    </row>
    <row r="36" spans="1:11" s="48" customFormat="1" ht="32.25" customHeight="1" thickBot="1" x14ac:dyDescent="0.25">
      <c r="A36" s="1294" t="s">
        <v>34</v>
      </c>
      <c r="B36" s="1295"/>
      <c r="C36" s="1295"/>
      <c r="D36" s="1295"/>
      <c r="E36" s="1295"/>
      <c r="F36" s="1295"/>
      <c r="G36" s="1295"/>
      <c r="H36" s="1295"/>
      <c r="I36" s="1295"/>
      <c r="J36" s="1296"/>
    </row>
    <row r="37" spans="1:11" s="48" customFormat="1" ht="3.75" customHeight="1" thickBot="1" x14ac:dyDescent="0.25">
      <c r="A37" s="55"/>
      <c r="B37" s="47"/>
      <c r="C37" s="47"/>
      <c r="D37" s="47"/>
      <c r="E37" s="47"/>
      <c r="F37" s="47"/>
      <c r="G37" s="47"/>
      <c r="H37" s="47"/>
      <c r="I37" s="47"/>
      <c r="J37" s="55"/>
    </row>
    <row r="38" spans="1:11" s="48" customFormat="1" ht="31.5" customHeight="1" thickBot="1" x14ac:dyDescent="0.25">
      <c r="A38" s="47"/>
      <c r="B38" s="1316" t="s">
        <v>35</v>
      </c>
      <c r="C38" s="1317"/>
      <c r="D38" s="1317"/>
      <c r="E38" s="1317"/>
      <c r="F38" s="1318"/>
      <c r="G38" s="47"/>
      <c r="H38" s="1319" t="s">
        <v>236</v>
      </c>
      <c r="I38" s="1320"/>
      <c r="J38" s="1321"/>
    </row>
    <row r="39" spans="1:11" s="48" customFormat="1" ht="31.5" customHeight="1" thickBot="1" x14ac:dyDescent="0.25">
      <c r="A39" s="47"/>
      <c r="B39" s="57" t="s">
        <v>31</v>
      </c>
      <c r="C39" s="203">
        <v>1</v>
      </c>
      <c r="D39" s="141">
        <v>2</v>
      </c>
      <c r="E39" s="141">
        <v>3</v>
      </c>
      <c r="F39" s="204">
        <v>4</v>
      </c>
      <c r="G39" s="47"/>
      <c r="H39" s="1322"/>
      <c r="I39" s="1323"/>
      <c r="J39" s="1324"/>
    </row>
    <row r="40" spans="1:11" s="48" customFormat="1" ht="31.5" customHeight="1" x14ac:dyDescent="0.2">
      <c r="A40" s="58"/>
      <c r="B40" s="59"/>
      <c r="C40" s="121" t="e">
        <f>+AVERAGE(C28,C31)</f>
        <v>#DIV/0!</v>
      </c>
      <c r="D40" s="122" t="e">
        <f>+AVERAGE(D28,D31)</f>
        <v>#DIV/0!</v>
      </c>
      <c r="E40" s="122" t="e">
        <f>+AVERAGE(E28,E31)</f>
        <v>#DIV/0!</v>
      </c>
      <c r="F40" s="205" t="e">
        <f>+AVERAGE(F28,F31)</f>
        <v>#DIV/0!</v>
      </c>
      <c r="G40" s="47"/>
      <c r="H40" s="1325"/>
      <c r="I40" s="1326"/>
      <c r="J40" s="1327"/>
    </row>
    <row r="41" spans="1:11" s="48" customFormat="1" ht="31.5" customHeight="1" x14ac:dyDescent="0.2">
      <c r="A41" s="58"/>
      <c r="B41" s="60"/>
      <c r="C41" s="123" t="e">
        <f>+AVERAGE(C29:C30)</f>
        <v>#DIV/0!</v>
      </c>
      <c r="D41" s="61" t="e">
        <f>+AVERAGE(D29:D30)</f>
        <v>#DIV/0!</v>
      </c>
      <c r="E41" s="61" t="e">
        <f>+AVERAGE(E29:E30)</f>
        <v>#DIV/0!</v>
      </c>
      <c r="F41" s="206" t="e">
        <f>+AVERAGE(F29:F30)</f>
        <v>#DIV/0!</v>
      </c>
      <c r="G41" s="47"/>
      <c r="H41" s="1325"/>
      <c r="I41" s="1326"/>
      <c r="J41" s="1327"/>
    </row>
    <row r="42" spans="1:11" s="48" customFormat="1" ht="31.5" customHeight="1" thickBot="1" x14ac:dyDescent="0.25">
      <c r="A42" s="58"/>
      <c r="B42" s="62"/>
      <c r="C42" s="124" t="e">
        <f>+C41-C40</f>
        <v>#DIV/0!</v>
      </c>
      <c r="D42" s="125" t="e">
        <f>+D41-D40</f>
        <v>#DIV/0!</v>
      </c>
      <c r="E42" s="125" t="e">
        <f>+E41-E40</f>
        <v>#DIV/0!</v>
      </c>
      <c r="F42" s="207" t="e">
        <f>+F41-F40</f>
        <v>#DIV/0!</v>
      </c>
      <c r="G42" s="47"/>
      <c r="H42" s="1328"/>
      <c r="I42" s="1329"/>
      <c r="J42" s="1330"/>
    </row>
    <row r="43" spans="1:11" s="48" customFormat="1" ht="31.5" customHeight="1" thickBot="1" x14ac:dyDescent="0.25">
      <c r="A43" s="47"/>
      <c r="B43" s="63" t="s">
        <v>36</v>
      </c>
      <c r="C43" s="286" t="e">
        <f>+AVERAGE(C42:F42)</f>
        <v>#DIV/0!</v>
      </c>
      <c r="D43" s="47"/>
      <c r="E43" s="47"/>
      <c r="F43" s="47"/>
      <c r="G43" s="47"/>
      <c r="H43" s="47"/>
      <c r="I43" s="47"/>
      <c r="J43" s="47"/>
    </row>
    <row r="44" spans="1:11" s="48" customFormat="1" ht="31.5" customHeight="1" thickBot="1" x14ac:dyDescent="0.25">
      <c r="A44" s="47"/>
      <c r="B44" s="64" t="s">
        <v>77</v>
      </c>
      <c r="C44" s="287" t="e">
        <f>+STDEV(C42:F42)</f>
        <v>#DIV/0!</v>
      </c>
      <c r="D44" s="47"/>
      <c r="E44" s="47"/>
      <c r="F44" s="47"/>
      <c r="G44" s="47"/>
      <c r="H44" s="47"/>
      <c r="I44" s="47"/>
      <c r="J44" s="47"/>
      <c r="K44" s="46"/>
    </row>
    <row r="45" spans="1:11" s="46" customFormat="1" ht="15" customHeight="1" thickBot="1" x14ac:dyDescent="0.25">
      <c r="A45" s="47"/>
      <c r="B45" s="47"/>
      <c r="C45" s="47"/>
      <c r="D45" s="47"/>
      <c r="E45" s="47"/>
      <c r="F45" s="47"/>
      <c r="G45" s="65"/>
      <c r="H45" s="47"/>
      <c r="I45" s="47"/>
      <c r="J45" s="47"/>
      <c r="K45" s="48"/>
    </row>
    <row r="46" spans="1:11" s="48" customFormat="1" ht="31.5" customHeight="1" thickBot="1" x14ac:dyDescent="0.25">
      <c r="A46" s="1331" t="s">
        <v>37</v>
      </c>
      <c r="B46" s="1332"/>
      <c r="C46" s="1284"/>
      <c r="D46" s="1284"/>
      <c r="E46" s="1284"/>
      <c r="F46" s="1332"/>
      <c r="G46" s="1332"/>
      <c r="H46" s="1332"/>
      <c r="I46" s="1332"/>
      <c r="J46" s="1333"/>
    </row>
    <row r="47" spans="1:11" s="48" customFormat="1" ht="31.5" customHeight="1" thickBot="1" x14ac:dyDescent="0.25">
      <c r="A47" s="1375" t="s">
        <v>321</v>
      </c>
      <c r="B47" s="1376"/>
      <c r="C47" s="1338" t="s">
        <v>38</v>
      </c>
      <c r="D47" s="1339"/>
      <c r="E47" s="1340"/>
      <c r="F47" s="47"/>
      <c r="G47" s="47"/>
      <c r="H47" s="47"/>
      <c r="I47" s="47"/>
      <c r="J47" s="47"/>
    </row>
    <row r="48" spans="1:11" s="48" customFormat="1" ht="36.75" customHeight="1" thickBot="1" x14ac:dyDescent="0.25">
      <c r="A48" s="1377"/>
      <c r="B48" s="1378"/>
      <c r="C48" s="82" t="s">
        <v>27</v>
      </c>
      <c r="D48" s="93" t="s">
        <v>307</v>
      </c>
      <c r="E48" s="83" t="s">
        <v>9</v>
      </c>
      <c r="G48" s="1341" t="s">
        <v>70</v>
      </c>
      <c r="H48" s="1342"/>
      <c r="I48" s="102" t="e">
        <f>+(0.34848*E50-0.009*D50*EXP(0.061*C50))/(273.15+C50)</f>
        <v>#DIV/0!</v>
      </c>
      <c r="J48" s="103" t="s">
        <v>73</v>
      </c>
    </row>
    <row r="49" spans="1:21" s="48" customFormat="1" ht="33" customHeight="1" thickBot="1" x14ac:dyDescent="0.25">
      <c r="A49" s="1306" t="s">
        <v>39</v>
      </c>
      <c r="B49" s="1307"/>
      <c r="C49" s="90" t="e">
        <f>+AVERAGE(E33,E24)</f>
        <v>#DIV/0!</v>
      </c>
      <c r="D49" s="91" t="e">
        <f>+AVERAGE(H33,H24)</f>
        <v>#DIV/0!</v>
      </c>
      <c r="E49" s="92" t="e">
        <f>+AVERAGE(J33,J24)</f>
        <v>#DIV/0!</v>
      </c>
      <c r="G49" s="1308" t="s">
        <v>71</v>
      </c>
      <c r="H49" s="1309"/>
      <c r="I49" s="422" t="e">
        <f>I48*((0.0001)^2+(0.001*I20/2)^2+(-0.0034*D20/2)^2+(-0.01*G20/2)^2)^0.5</f>
        <v>#DIV/0!</v>
      </c>
      <c r="J49" s="66" t="s">
        <v>73</v>
      </c>
    </row>
    <row r="50" spans="1:21" s="48" customFormat="1" ht="36.75" customHeight="1" thickBot="1" x14ac:dyDescent="0.25">
      <c r="A50" s="1343" t="s">
        <v>322</v>
      </c>
      <c r="B50" s="1344"/>
      <c r="C50" s="84" t="e">
        <f>C49+(VLOOKUP(J19,'DATOS %'!J174:W180,9,FALSE))*C49+(VLOOKUP(J19,'DATOS %'!J174:W180,10,FALSE))</f>
        <v>#DIV/0!</v>
      </c>
      <c r="D50" s="85" t="e">
        <f>D49+(VLOOKUP(J19,'DATOS %'!J174:W180,11,FALSE))*D49+(VLOOKUP(J19,'DATOS %'!J174:W180,12,FALSE))</f>
        <v>#DIV/0!</v>
      </c>
      <c r="E50" s="86" t="e">
        <f>E49+(VLOOKUP(J19,'DATOS %'!J174:W180,13,FALSE))*E49+(VLOOKUP(J19,'DATOS %'!J174:W180,14,FALSE))</f>
        <v>#DIV/0!</v>
      </c>
      <c r="G50" s="1341" t="s">
        <v>72</v>
      </c>
      <c r="H50" s="1342"/>
      <c r="I50" s="67">
        <v>1.2</v>
      </c>
      <c r="J50" s="66" t="s">
        <v>73</v>
      </c>
    </row>
    <row r="51" spans="1:21" s="46" customFormat="1" ht="15" customHeight="1" thickBot="1" x14ac:dyDescent="0.25">
      <c r="A51" s="47"/>
      <c r="B51" s="47"/>
      <c r="C51" s="47"/>
      <c r="D51" s="47"/>
      <c r="E51" s="47"/>
      <c r="F51" s="47"/>
      <c r="G51" s="47"/>
      <c r="H51" s="47"/>
      <c r="I51" s="47"/>
      <c r="J51" s="47"/>
      <c r="K51" s="48"/>
    </row>
    <row r="52" spans="1:21" s="48" customFormat="1" ht="31.5" customHeight="1" thickBot="1" x14ac:dyDescent="0.25">
      <c r="A52" s="1331" t="s">
        <v>40</v>
      </c>
      <c r="B52" s="1332"/>
      <c r="C52" s="1332"/>
      <c r="D52" s="1332"/>
      <c r="E52" s="1332"/>
      <c r="F52" s="1332"/>
      <c r="G52" s="1332"/>
      <c r="H52" s="1332"/>
      <c r="I52" s="1332"/>
      <c r="J52" s="1333"/>
    </row>
    <row r="53" spans="1:21" s="48" customFormat="1" ht="31.5" customHeight="1" x14ac:dyDescent="0.35">
      <c r="A53" s="47"/>
      <c r="B53" s="68" t="s">
        <v>41</v>
      </c>
      <c r="C53" s="69"/>
      <c r="D53" s="1345" t="s">
        <v>74</v>
      </c>
      <c r="E53" s="1345"/>
      <c r="F53" s="70" t="s">
        <v>42</v>
      </c>
      <c r="G53" s="71" t="s">
        <v>43</v>
      </c>
      <c r="H53" s="1346" t="s">
        <v>44</v>
      </c>
      <c r="I53" s="1347"/>
      <c r="J53" s="47"/>
    </row>
    <row r="54" spans="1:21" s="48" customFormat="1" ht="31.5" customHeight="1" thickBot="1" x14ac:dyDescent="0.25">
      <c r="A54" s="47"/>
      <c r="B54" s="72" t="e">
        <f>+C43</f>
        <v>#DIV/0!</v>
      </c>
      <c r="C54" s="73" t="s">
        <v>3</v>
      </c>
      <c r="D54" s="74" t="e">
        <f>+C10+C11/1000</f>
        <v>#N/A</v>
      </c>
      <c r="E54" s="73" t="s">
        <v>3</v>
      </c>
      <c r="F54" s="939" t="e">
        <f>+(I48-I50)*(1/H10-1/C13)</f>
        <v>#DIV/0!</v>
      </c>
      <c r="G54" s="75"/>
      <c r="H54" s="938" t="e">
        <f>+(B54+D54*F54)*1000</f>
        <v>#DIV/0!</v>
      </c>
      <c r="I54" s="66" t="s">
        <v>3</v>
      </c>
      <c r="J54" s="47"/>
      <c r="K54" s="46"/>
    </row>
    <row r="55" spans="1:21" s="46" customFormat="1" ht="15" customHeight="1" x14ac:dyDescent="0.2">
      <c r="A55" s="47"/>
      <c r="B55" s="47"/>
      <c r="C55" s="47"/>
      <c r="D55" s="47"/>
      <c r="E55" s="47"/>
      <c r="F55" s="47"/>
      <c r="G55" s="47"/>
      <c r="H55" s="47"/>
      <c r="I55" s="47"/>
      <c r="J55" s="47"/>
      <c r="K55" s="48"/>
    </row>
    <row r="56" spans="1:21" s="48" customFormat="1" ht="31.5" customHeight="1" x14ac:dyDescent="0.2">
      <c r="A56" s="1348" t="s">
        <v>45</v>
      </c>
      <c r="B56" s="1349"/>
      <c r="C56" s="1349"/>
      <c r="D56" s="1349"/>
      <c r="E56" s="1349"/>
      <c r="F56" s="1349"/>
      <c r="G56" s="1349"/>
      <c r="H56" s="1349"/>
      <c r="I56" s="1349"/>
      <c r="J56" s="1349"/>
      <c r="K56" s="46"/>
    </row>
    <row r="57" spans="1:21" s="46" customFormat="1" ht="15" customHeight="1" thickBot="1" x14ac:dyDescent="0.25">
      <c r="A57" s="47"/>
      <c r="B57" s="47"/>
      <c r="C57" s="47"/>
      <c r="D57" s="47"/>
      <c r="E57" s="47"/>
      <c r="K57" s="48"/>
    </row>
    <row r="58" spans="1:21" s="48" customFormat="1" ht="31.5" customHeight="1" thickBot="1" x14ac:dyDescent="0.25">
      <c r="A58" s="1350" t="s">
        <v>38</v>
      </c>
      <c r="B58" s="1351"/>
      <c r="C58" s="1352" t="s">
        <v>46</v>
      </c>
      <c r="D58" s="1353"/>
      <c r="E58" s="1354" t="s">
        <v>238</v>
      </c>
      <c r="F58" s="1379"/>
      <c r="G58" s="1061" t="s">
        <v>553</v>
      </c>
      <c r="J58" s="114"/>
      <c r="L58" s="46"/>
      <c r="Q58" s="47"/>
      <c r="R58" s="47"/>
      <c r="S58" s="47"/>
      <c r="T58" s="47"/>
      <c r="U58" s="47"/>
    </row>
    <row r="59" spans="1:21" s="48" customFormat="1" ht="57.95" customHeight="1" thickBot="1" x14ac:dyDescent="0.25">
      <c r="A59" s="1024" t="s">
        <v>47</v>
      </c>
      <c r="B59" s="1025"/>
      <c r="C59" s="1026" t="e">
        <f>+C44/B26^0.5*1000</f>
        <v>#DIV/0!</v>
      </c>
      <c r="D59" s="1017" t="s">
        <v>3</v>
      </c>
      <c r="E59" s="1027" t="s">
        <v>240</v>
      </c>
      <c r="F59" s="139">
        <f>$B$26-1</f>
        <v>3</v>
      </c>
      <c r="G59" s="1111" t="e">
        <f>(C59/$G$70)^2</f>
        <v>#DIV/0!</v>
      </c>
      <c r="H59" s="47"/>
      <c r="K59" s="156">
        <v>0.3</v>
      </c>
      <c r="L59" s="157">
        <v>1.65</v>
      </c>
      <c r="M59" s="113"/>
    </row>
    <row r="60" spans="1:21" s="48" customFormat="1" ht="57.95" customHeight="1" thickBot="1" x14ac:dyDescent="0.25">
      <c r="A60" s="1019" t="s">
        <v>343</v>
      </c>
      <c r="B60" s="1020" t="s">
        <v>48</v>
      </c>
      <c r="C60" s="1021" t="e">
        <f>+C12/2</f>
        <v>#N/A</v>
      </c>
      <c r="D60" s="1022" t="s">
        <v>3</v>
      </c>
      <c r="E60" s="1023" t="s">
        <v>239</v>
      </c>
      <c r="F60" s="146" t="s">
        <v>265</v>
      </c>
      <c r="G60" s="1112"/>
      <c r="H60" s="1380" t="s">
        <v>241</v>
      </c>
      <c r="I60" s="1356"/>
      <c r="J60" s="1356"/>
      <c r="K60" s="1356"/>
      <c r="L60" s="1356"/>
      <c r="M60" s="1357"/>
    </row>
    <row r="61" spans="1:21" s="48" customFormat="1" ht="57.95" customHeight="1" thickBot="1" x14ac:dyDescent="0.25">
      <c r="A61" s="1028" t="s">
        <v>344</v>
      </c>
      <c r="B61" s="1029"/>
      <c r="C61" s="1030" t="e">
        <f>+C12/3^0.5</f>
        <v>#N/A</v>
      </c>
      <c r="D61" s="1031" t="s">
        <v>3</v>
      </c>
      <c r="E61" s="1032" t="s">
        <v>239</v>
      </c>
      <c r="F61" s="147" t="s">
        <v>265</v>
      </c>
      <c r="G61" s="1112"/>
      <c r="H61" s="132" t="s">
        <v>243</v>
      </c>
      <c r="I61" s="1015" t="e">
        <f>MAX(C59:C62,C66:C67,C68)</f>
        <v>#DIV/0!</v>
      </c>
      <c r="J61" s="151" t="e">
        <f>IF((I62)&lt;=(K59),"1,65","2")</f>
        <v>#DIV/0!</v>
      </c>
      <c r="K61" s="152" t="s">
        <v>242</v>
      </c>
      <c r="L61" s="153" t="s">
        <v>237</v>
      </c>
      <c r="M61" s="360" t="s">
        <v>328</v>
      </c>
    </row>
    <row r="62" spans="1:21" s="48" customFormat="1" ht="57.95" customHeight="1" thickBot="1" x14ac:dyDescent="0.3">
      <c r="A62" s="1024" t="s">
        <v>49</v>
      </c>
      <c r="B62" s="1035"/>
      <c r="C62" s="1036" t="e">
        <f>+SQRT(SUMSQ(C60:C61))</f>
        <v>#N/A</v>
      </c>
      <c r="D62" s="1017" t="s">
        <v>3</v>
      </c>
      <c r="E62" s="1037" t="s">
        <v>240</v>
      </c>
      <c r="F62" s="139">
        <v>200</v>
      </c>
      <c r="G62" s="1112" t="e">
        <f t="shared" ref="G62:G68" si="0">(C62/$G$70)^2</f>
        <v>#N/A</v>
      </c>
      <c r="H62" s="133" t="s">
        <v>244</v>
      </c>
      <c r="I62" s="150" t="e">
        <f>SQRT((C59)^2+(C66)^2+(C67)^2+(C68)^2)/I61</f>
        <v>#DIV/0!</v>
      </c>
      <c r="J62" s="126"/>
      <c r="K62" s="154" t="s">
        <v>242</v>
      </c>
      <c r="L62" s="155" t="s">
        <v>252</v>
      </c>
      <c r="M62" s="361" t="s">
        <v>329</v>
      </c>
    </row>
    <row r="63" spans="1:21" s="48" customFormat="1" ht="57.95" customHeight="1" x14ac:dyDescent="0.2">
      <c r="A63" s="1019" t="s">
        <v>345</v>
      </c>
      <c r="B63" s="1020"/>
      <c r="C63" s="1033" t="e">
        <f>+I49</f>
        <v>#DIV/0!</v>
      </c>
      <c r="D63" s="1021" t="s">
        <v>73</v>
      </c>
      <c r="E63" s="1034" t="s">
        <v>239</v>
      </c>
      <c r="F63" s="146" t="s">
        <v>265</v>
      </c>
      <c r="G63" s="1112"/>
      <c r="L63" s="46"/>
      <c r="T63" s="46"/>
      <c r="U63" s="46"/>
    </row>
    <row r="64" spans="1:21" s="48" customFormat="1" ht="57.95" customHeight="1" x14ac:dyDescent="0.2">
      <c r="A64" s="426" t="s">
        <v>50</v>
      </c>
      <c r="B64" s="1018"/>
      <c r="C64" s="425" t="e">
        <f>+H11/2</f>
        <v>#N/A</v>
      </c>
      <c r="D64" s="424" t="s">
        <v>73</v>
      </c>
      <c r="E64" s="423" t="s">
        <v>239</v>
      </c>
      <c r="F64" s="148" t="s">
        <v>265</v>
      </c>
      <c r="G64" s="1112"/>
      <c r="H64" s="130"/>
      <c r="J64" s="130"/>
      <c r="K64" s="130"/>
      <c r="L64" s="130"/>
      <c r="M64" s="130"/>
      <c r="Q64" s="47"/>
      <c r="R64" s="47"/>
      <c r="S64" s="47"/>
      <c r="T64" s="47"/>
      <c r="U64" s="47"/>
    </row>
    <row r="65" spans="1:21" s="48" customFormat="1" ht="57.95" customHeight="1" thickBot="1" x14ac:dyDescent="0.25">
      <c r="A65" s="1028" t="s">
        <v>346</v>
      </c>
      <c r="B65" s="1038"/>
      <c r="C65" s="1039" t="e">
        <f>+C14/2</f>
        <v>#N/A</v>
      </c>
      <c r="D65" s="1031" t="s">
        <v>73</v>
      </c>
      <c r="E65" s="1040" t="s">
        <v>239</v>
      </c>
      <c r="F65" s="147" t="s">
        <v>265</v>
      </c>
      <c r="G65" s="1112"/>
      <c r="H65" s="130"/>
      <c r="I65" s="130"/>
      <c r="J65" s="130"/>
      <c r="K65" s="130"/>
      <c r="L65" s="130"/>
      <c r="M65" s="130"/>
      <c r="Q65" s="46"/>
      <c r="R65" s="46"/>
      <c r="S65" s="46"/>
      <c r="T65" s="46"/>
      <c r="U65" s="46"/>
    </row>
    <row r="66" spans="1:21" s="48" customFormat="1" ht="57.95" customHeight="1" thickBot="1" x14ac:dyDescent="0.3">
      <c r="A66" s="1024" t="s">
        <v>347</v>
      </c>
      <c r="B66" s="1035"/>
      <c r="C66" s="1036" t="e">
        <f>+SQRT(ABS(((C10/1000+C11/1000000)*(C13-H10)/(C13*H10)*C63)^2+((C10/1000+C11/1000000)*(I48-I50))^2*C64^2/H10^4+(C10/1000+C11/1000000)^2*(I48-I50)*((I48-I50)-2*(C15-I50))*C65^2/C13^4))*1000000</f>
        <v>#N/A</v>
      </c>
      <c r="D66" s="1051" t="s">
        <v>3</v>
      </c>
      <c r="E66" s="1037" t="s">
        <v>240</v>
      </c>
      <c r="F66" s="139">
        <v>200</v>
      </c>
      <c r="G66" s="1112" t="e">
        <f t="shared" si="0"/>
        <v>#N/A</v>
      </c>
      <c r="H66" s="130"/>
      <c r="I66" s="1093" t="s">
        <v>554</v>
      </c>
      <c r="J66" s="1095" t="s">
        <v>556</v>
      </c>
      <c r="K66" s="1094" t="s">
        <v>555</v>
      </c>
      <c r="L66" s="130"/>
      <c r="M66" s="130"/>
      <c r="Q66" s="47"/>
      <c r="R66" s="47"/>
      <c r="S66" s="47"/>
      <c r="T66" s="47"/>
      <c r="U66" s="47"/>
    </row>
    <row r="67" spans="1:21" s="48" customFormat="1" ht="57.95" customHeight="1" thickBot="1" x14ac:dyDescent="0.3">
      <c r="A67" s="1047" t="s">
        <v>52</v>
      </c>
      <c r="B67" s="1048"/>
      <c r="C67" s="1049" t="e">
        <f>+(G15/2/3^0.5)*2^0.5*1000</f>
        <v>#N/A</v>
      </c>
      <c r="D67" s="1044" t="s">
        <v>3</v>
      </c>
      <c r="E67" s="1045" t="s">
        <v>239</v>
      </c>
      <c r="F67" s="1050">
        <v>200</v>
      </c>
      <c r="G67" s="1112" t="e">
        <f t="shared" si="0"/>
        <v>#N/A</v>
      </c>
      <c r="H67" s="130"/>
      <c r="I67" s="1096" t="e">
        <f>G70^4/((C59^4/F59)+(C62^4/F62)+(C66^4/F66)+(C67^4/F67)+(C68^4/F68))</f>
        <v>#DIV/0!</v>
      </c>
      <c r="J67" s="1097" t="e">
        <f>TINV(0.05,I67)</f>
        <v>#DIV/0!</v>
      </c>
      <c r="K67" s="1098" t="e">
        <f>1-TDIST(J67,I67,2)</f>
        <v>#DIV/0!</v>
      </c>
      <c r="L67" s="130"/>
      <c r="M67" s="130"/>
    </row>
    <row r="68" spans="1:21" s="46" customFormat="1" ht="65.25" customHeight="1" thickBot="1" x14ac:dyDescent="0.3">
      <c r="A68" s="1041" t="s">
        <v>552</v>
      </c>
      <c r="B68" s="1042"/>
      <c r="C68" s="1043">
        <f>0.01/SQRT(45)</f>
        <v>1.4907119849998597E-3</v>
      </c>
      <c r="D68" s="1044" t="s">
        <v>3</v>
      </c>
      <c r="E68" s="1045" t="s">
        <v>240</v>
      </c>
      <c r="F68" s="1046">
        <v>50</v>
      </c>
      <c r="G68" s="1113" t="e">
        <f t="shared" si="0"/>
        <v>#DIV/0!</v>
      </c>
      <c r="H68" s="130"/>
      <c r="I68" s="130"/>
      <c r="J68" s="130"/>
      <c r="K68" s="130"/>
      <c r="L68" s="130"/>
      <c r="M68" s="130"/>
      <c r="S68" s="48"/>
      <c r="T68" s="48"/>
      <c r="U68" s="48"/>
    </row>
    <row r="69" spans="1:21" s="46" customFormat="1" ht="65.25" customHeight="1" thickBot="1" x14ac:dyDescent="0.25">
      <c r="A69" s="130"/>
      <c r="B69" s="130"/>
      <c r="C69" s="130"/>
      <c r="D69" s="130"/>
      <c r="E69" s="130"/>
      <c r="F69" s="130"/>
      <c r="G69" s="1114" t="e">
        <f>SUM(G59,G62,G66,G67,G68)</f>
        <v>#DIV/0!</v>
      </c>
      <c r="H69" s="130"/>
      <c r="I69" s="130"/>
      <c r="J69" s="130"/>
      <c r="K69" s="130"/>
      <c r="L69" s="130"/>
      <c r="M69" s="130"/>
      <c r="S69" s="48"/>
      <c r="T69" s="48"/>
      <c r="U69" s="48"/>
    </row>
    <row r="70" spans="1:21" s="106" customFormat="1" ht="51.75" customHeight="1" thickBot="1" x14ac:dyDescent="0.3">
      <c r="D70" s="1306" t="s">
        <v>51</v>
      </c>
      <c r="E70" s="1307"/>
      <c r="F70" s="134"/>
      <c r="G70" s="140" t="e">
        <f>+SQRT(SUMSQ(C59,C62,C66,C67,C68))</f>
        <v>#DIV/0!</v>
      </c>
      <c r="H70" s="136" t="s">
        <v>3</v>
      </c>
      <c r="K70" s="130"/>
      <c r="L70" s="130"/>
      <c r="M70" s="130"/>
      <c r="S70" s="48"/>
      <c r="T70" s="48"/>
      <c r="U70" s="48"/>
    </row>
    <row r="71" spans="1:21" s="106" customFormat="1" ht="35.1" customHeight="1" thickBot="1" x14ac:dyDescent="0.25">
      <c r="D71" s="1306" t="s">
        <v>53</v>
      </c>
      <c r="E71" s="1307"/>
      <c r="F71" s="135"/>
      <c r="G71" s="140" t="e">
        <f>+G70*2</f>
        <v>#DIV/0!</v>
      </c>
      <c r="H71" s="137" t="s">
        <v>3</v>
      </c>
      <c r="K71" s="110"/>
      <c r="L71" s="107"/>
      <c r="O71" s="48"/>
      <c r="P71" s="48"/>
      <c r="Q71" s="48"/>
      <c r="R71" s="48"/>
      <c r="S71" s="48"/>
      <c r="T71" s="48"/>
      <c r="U71" s="48"/>
    </row>
    <row r="72" spans="1:21" s="106" customFormat="1" ht="33.75" customHeight="1" thickBot="1" x14ac:dyDescent="4.45">
      <c r="B72" s="1313" t="s">
        <v>54</v>
      </c>
      <c r="C72" s="1314"/>
      <c r="D72" s="1314"/>
      <c r="E72" s="1314"/>
      <c r="F72" s="1314"/>
      <c r="G72" s="1314"/>
      <c r="H72" s="1314"/>
      <c r="I72" s="1314"/>
      <c r="J72" s="1314"/>
      <c r="K72" s="1315"/>
      <c r="L72" s="117"/>
      <c r="O72" s="48"/>
      <c r="P72" s="48"/>
      <c r="Q72" s="48"/>
      <c r="R72" s="48"/>
      <c r="S72" s="48"/>
      <c r="T72" s="48"/>
      <c r="U72" s="48"/>
    </row>
    <row r="73" spans="1:21" s="106" customFormat="1" ht="35.1" customHeight="1" thickBot="1" x14ac:dyDescent="0.25">
      <c r="B73" s="1368" t="s">
        <v>255</v>
      </c>
      <c r="C73" s="1369"/>
      <c r="D73" s="1369"/>
      <c r="E73" s="1370"/>
      <c r="F73" s="79"/>
      <c r="G73" s="80"/>
      <c r="H73" s="1371"/>
      <c r="I73" s="1372"/>
      <c r="J73" s="1372"/>
      <c r="K73" s="1373"/>
      <c r="O73" s="48"/>
      <c r="P73" s="48"/>
      <c r="Q73" s="48"/>
      <c r="R73" s="48"/>
      <c r="S73" s="48"/>
      <c r="T73" s="48"/>
      <c r="U73" s="48"/>
    </row>
    <row r="74" spans="1:21" s="106" customFormat="1" ht="40.5" customHeight="1" x14ac:dyDescent="0.2">
      <c r="B74" s="118"/>
      <c r="C74" s="362" t="s">
        <v>348</v>
      </c>
      <c r="D74" s="119" t="s">
        <v>253</v>
      </c>
      <c r="E74" s="120"/>
      <c r="F74" s="1358"/>
      <c r="G74" s="1358"/>
      <c r="H74" s="1359" t="s">
        <v>266</v>
      </c>
      <c r="I74" s="1381" t="s">
        <v>254</v>
      </c>
      <c r="J74" s="1381"/>
      <c r="K74" s="1382"/>
      <c r="O74" s="48"/>
      <c r="P74" s="48"/>
      <c r="Q74" s="48"/>
      <c r="R74" s="48"/>
      <c r="S74" s="48"/>
      <c r="T74" s="48"/>
      <c r="U74" s="48"/>
    </row>
    <row r="75" spans="1:21" s="106" customFormat="1" ht="35.1" customHeight="1" x14ac:dyDescent="0.2">
      <c r="B75" s="927" t="e">
        <f>C10</f>
        <v>#N/A</v>
      </c>
      <c r="C75" s="77" t="e">
        <f>C11</f>
        <v>#N/A</v>
      </c>
      <c r="D75" s="78" t="e">
        <f>H54</f>
        <v>#DIV/0!</v>
      </c>
      <c r="E75" s="940" t="e">
        <f>B75+(C75/1000)+(D75/1000)</f>
        <v>#N/A</v>
      </c>
      <c r="F75" s="264" t="e">
        <f>E75*1000-B75*1000</f>
        <v>#N/A</v>
      </c>
      <c r="G75" s="61"/>
      <c r="H75" s="1360"/>
      <c r="I75" s="285" t="e">
        <f>G71</f>
        <v>#DIV/0!</v>
      </c>
      <c r="J75" s="1364"/>
      <c r="K75" s="1365"/>
      <c r="O75" s="48"/>
      <c r="P75" s="48"/>
      <c r="Q75" s="48"/>
      <c r="R75" s="48"/>
      <c r="S75" s="48"/>
      <c r="T75" s="48"/>
      <c r="U75" s="48"/>
    </row>
    <row r="76" spans="1:21" s="106" customFormat="1" ht="35.1" customHeight="1" thickBot="1" x14ac:dyDescent="0.25">
      <c r="B76" s="928" t="e">
        <f>B75</f>
        <v>#N/A</v>
      </c>
      <c r="C76" s="88" t="e">
        <f>C75</f>
        <v>#N/A</v>
      </c>
      <c r="D76" s="88" t="e">
        <f>D75</f>
        <v>#DIV/0!</v>
      </c>
      <c r="E76" s="262" t="e">
        <f>B76+(C76/1000)+(D76/1000)</f>
        <v>#N/A</v>
      </c>
      <c r="F76" s="283" t="e">
        <f>F75/1000</f>
        <v>#N/A</v>
      </c>
      <c r="G76" s="89"/>
      <c r="H76" s="1361"/>
      <c r="I76" s="284" t="e">
        <f>I75/1000</f>
        <v>#DIV/0!</v>
      </c>
      <c r="J76" s="1366"/>
      <c r="K76" s="1367"/>
      <c r="O76" s="48"/>
      <c r="P76" s="48"/>
      <c r="Q76" s="48"/>
      <c r="R76" s="48"/>
      <c r="S76" s="48"/>
      <c r="T76" s="48"/>
      <c r="U76" s="48"/>
    </row>
    <row r="77" spans="1:21" s="106" customFormat="1" ht="35.1" customHeight="1" x14ac:dyDescent="0.2">
      <c r="G77" s="47"/>
      <c r="H77" s="47"/>
      <c r="I77" s="47"/>
      <c r="J77" s="47"/>
      <c r="O77" s="48"/>
      <c r="P77" s="48"/>
      <c r="Q77" s="48"/>
      <c r="R77" s="48"/>
      <c r="S77" s="48"/>
      <c r="T77" s="48"/>
      <c r="U77" s="48"/>
    </row>
    <row r="78" spans="1:21" s="106" customFormat="1" ht="35.1" customHeight="1" x14ac:dyDescent="0.2">
      <c r="G78" s="47"/>
      <c r="H78" s="47"/>
      <c r="I78" s="47"/>
      <c r="J78" s="47"/>
      <c r="O78" s="48"/>
      <c r="P78" s="48"/>
      <c r="Q78" s="48"/>
      <c r="R78" s="48"/>
      <c r="S78" s="48"/>
      <c r="T78" s="48"/>
      <c r="U78" s="48"/>
    </row>
    <row r="79" spans="1:21" s="106" customFormat="1" ht="35.1" customHeight="1" x14ac:dyDescent="0.2">
      <c r="G79" s="47"/>
      <c r="H79" s="47"/>
      <c r="I79" s="47"/>
      <c r="J79" s="47"/>
    </row>
    <row r="80" spans="1:21" s="107" customFormat="1" ht="9.9499999999999993" customHeight="1" x14ac:dyDescent="0.2">
      <c r="A80" s="109"/>
      <c r="B80" s="106"/>
      <c r="C80" s="106"/>
      <c r="D80" s="106"/>
      <c r="E80" s="106"/>
      <c r="F80" s="106"/>
      <c r="G80" s="47"/>
      <c r="H80" s="47"/>
    </row>
    <row r="81" spans="2:11" s="111" customFormat="1" ht="35.1" customHeight="1" x14ac:dyDescent="0.2">
      <c r="B81" s="106"/>
      <c r="C81" s="106"/>
      <c r="D81" s="106"/>
      <c r="E81" s="106"/>
      <c r="F81" s="106"/>
      <c r="G81" s="47"/>
      <c r="H81" s="47"/>
    </row>
    <row r="82" spans="2:11" s="106" customFormat="1" ht="61.5" customHeight="1" x14ac:dyDescent="0.2">
      <c r="H82" s="111"/>
      <c r="I82" s="111"/>
      <c r="J82" s="111"/>
      <c r="K82" s="108"/>
    </row>
    <row r="83" spans="2:11" s="106" customFormat="1" ht="35.1" customHeight="1" x14ac:dyDescent="0.2">
      <c r="G83" s="111"/>
      <c r="H83" s="111"/>
      <c r="I83" s="111"/>
      <c r="J83" s="111"/>
      <c r="K83" s="108"/>
    </row>
    <row r="84" spans="2:11" s="106" customFormat="1" ht="35.1" customHeight="1" x14ac:dyDescent="0.2">
      <c r="G84" s="111"/>
      <c r="H84" s="111"/>
      <c r="I84" s="111"/>
      <c r="J84" s="111"/>
      <c r="K84" s="108"/>
    </row>
    <row r="85" spans="2:11" s="106" customFormat="1" ht="35.1" customHeight="1" x14ac:dyDescent="0.2">
      <c r="F85" s="107"/>
      <c r="K85" s="108"/>
    </row>
    <row r="86" spans="2:11" s="106" customFormat="1" ht="50.1" customHeight="1" x14ac:dyDescent="0.2"/>
    <row r="87" spans="2:11" s="106" customFormat="1" ht="57.75" customHeight="1" x14ac:dyDescent="0.2">
      <c r="C87" s="112"/>
      <c r="D87" s="112"/>
      <c r="E87" s="112"/>
    </row>
    <row r="88" spans="2:11" s="106" customFormat="1" ht="35.1" customHeight="1" x14ac:dyDescent="0.2"/>
    <row r="89" spans="2:11" s="106" customFormat="1" ht="35.1" customHeight="1" x14ac:dyDescent="0.2">
      <c r="F89" s="108"/>
      <c r="G89" s="108"/>
      <c r="H89" s="108"/>
      <c r="I89" s="108"/>
      <c r="J89" s="108"/>
    </row>
    <row r="90" spans="2:11" s="106" customFormat="1" ht="35.1" customHeight="1" x14ac:dyDescent="0.2"/>
    <row r="91" spans="2:11" s="106" customFormat="1" ht="50.1" customHeight="1" x14ac:dyDescent="0.2">
      <c r="J91" s="47"/>
    </row>
    <row r="92" spans="2:11" s="106" customFormat="1" ht="55.5" customHeight="1" x14ac:dyDescent="0.2">
      <c r="J92" s="111"/>
    </row>
    <row r="93" spans="2:11" s="106" customFormat="1" ht="50.1" customHeight="1" x14ac:dyDescent="0.2">
      <c r="J93" s="111"/>
    </row>
    <row r="94" spans="2:11" s="107" customFormat="1" ht="31.5" customHeight="1" x14ac:dyDescent="0.2">
      <c r="J94" s="111"/>
    </row>
    <row r="95" spans="2:11" s="106" customFormat="1" ht="35.1" customHeight="1" x14ac:dyDescent="0.2">
      <c r="G95" s="111"/>
      <c r="H95" s="111"/>
      <c r="I95" s="111"/>
      <c r="J95" s="111"/>
    </row>
    <row r="96" spans="2:11" s="106" customFormat="1" ht="35.1" customHeight="1" x14ac:dyDescent="0.2">
      <c r="G96" s="111"/>
      <c r="H96" s="111"/>
      <c r="I96" s="111"/>
      <c r="J96" s="111"/>
    </row>
    <row r="97" spans="1:12" s="106" customFormat="1" ht="9.9499999999999993" customHeight="1" x14ac:dyDescent="0.2">
      <c r="G97" s="108"/>
      <c r="H97" s="108"/>
      <c r="I97" s="108"/>
      <c r="J97" s="108"/>
    </row>
    <row r="98" spans="1:12" s="106" customFormat="1" ht="35.1" customHeight="1" x14ac:dyDescent="0.2">
      <c r="J98" s="108"/>
      <c r="K98" s="108"/>
      <c r="L98" s="108"/>
    </row>
    <row r="99" spans="1:12" s="46" customFormat="1" ht="15" customHeight="1" x14ac:dyDescent="0.2">
      <c r="A99" s="47"/>
      <c r="G99" s="47"/>
      <c r="H99" s="47"/>
      <c r="I99" s="47"/>
      <c r="J99" s="47"/>
      <c r="K99" s="48"/>
    </row>
    <row r="100" spans="1:12" s="48" customFormat="1" ht="31.5" customHeight="1" x14ac:dyDescent="0.2">
      <c r="A100" s="47"/>
      <c r="B100" s="47"/>
      <c r="C100" s="47"/>
      <c r="D100" s="47"/>
      <c r="E100" s="47"/>
      <c r="F100" s="47"/>
      <c r="G100" s="47"/>
      <c r="H100" s="47"/>
      <c r="I100" s="47"/>
      <c r="J100" s="47"/>
    </row>
    <row r="101" spans="1:12" s="48" customFormat="1" ht="31.5" customHeight="1" x14ac:dyDescent="0.2"/>
    <row r="102" spans="1:12" s="48" customFormat="1" ht="31.5" customHeight="1" x14ac:dyDescent="0.2"/>
    <row r="103" spans="1:12" s="48" customFormat="1" ht="52.5" customHeight="1" x14ac:dyDescent="0.2"/>
    <row r="104" spans="1:12" s="48" customFormat="1" ht="31.5" customHeight="1" x14ac:dyDescent="0.2">
      <c r="K104" s="8"/>
    </row>
    <row r="105" spans="1:12" s="48" customFormat="1" ht="31.5" customHeight="1" x14ac:dyDescent="0.2">
      <c r="K105" s="8"/>
    </row>
    <row r="106" spans="1:12" ht="31.5" customHeight="1" x14ac:dyDescent="0.2">
      <c r="G106" s="76"/>
    </row>
    <row r="107" spans="1:12" ht="51" customHeight="1" x14ac:dyDescent="0.2"/>
    <row r="109" spans="1:12" ht="31.5" customHeight="1" x14ac:dyDescent="0.2">
      <c r="B109" s="29"/>
      <c r="C109" s="29"/>
      <c r="D109" s="29"/>
      <c r="E109" s="29"/>
      <c r="F109" s="29"/>
      <c r="G109" s="29"/>
      <c r="H109" s="29"/>
      <c r="I109" s="29"/>
      <c r="J109" s="29"/>
    </row>
    <row r="110" spans="1:12" ht="31.5" customHeight="1" x14ac:dyDescent="0.2">
      <c r="B110" s="29"/>
      <c r="C110" s="29"/>
      <c r="D110" s="29"/>
      <c r="E110" s="29"/>
      <c r="F110" s="29"/>
      <c r="G110" s="29"/>
      <c r="H110" s="29"/>
      <c r="I110" s="29"/>
      <c r="J110" s="29"/>
    </row>
    <row r="111" spans="1:12" ht="31.5" customHeight="1" x14ac:dyDescent="0.2">
      <c r="B111" s="29"/>
      <c r="C111" s="29"/>
      <c r="D111" s="29"/>
      <c r="E111" s="29"/>
      <c r="F111" s="29"/>
      <c r="G111" s="29"/>
      <c r="H111" s="29"/>
      <c r="I111" s="29"/>
      <c r="J111" s="29"/>
    </row>
    <row r="112" spans="1:12" ht="31.5" customHeight="1" x14ac:dyDescent="0.2">
      <c r="B112" s="29"/>
      <c r="C112" s="29"/>
      <c r="D112" s="29"/>
      <c r="E112" s="29"/>
      <c r="F112" s="29"/>
      <c r="G112" s="29"/>
      <c r="H112" s="29"/>
      <c r="I112" s="29"/>
      <c r="J112" s="29"/>
    </row>
    <row r="113" spans="2:10" ht="31.5" customHeight="1" x14ac:dyDescent="0.2">
      <c r="B113" s="29"/>
      <c r="C113" s="29"/>
      <c r="D113" s="29"/>
      <c r="E113" s="29"/>
      <c r="F113" s="29"/>
      <c r="G113" s="29"/>
      <c r="H113" s="29"/>
      <c r="I113" s="29"/>
      <c r="J113" s="29"/>
    </row>
    <row r="114" spans="2:10" ht="31.5" customHeight="1" x14ac:dyDescent="0.2">
      <c r="B114" s="29"/>
      <c r="C114" s="29"/>
      <c r="D114" s="29"/>
      <c r="E114" s="29"/>
      <c r="F114" s="29"/>
      <c r="G114" s="29"/>
      <c r="H114" s="29"/>
      <c r="I114" s="29"/>
      <c r="J114" s="29"/>
    </row>
    <row r="115" spans="2:10" ht="31.5" customHeight="1" x14ac:dyDescent="0.2">
      <c r="B115" s="29"/>
      <c r="C115" s="29"/>
      <c r="D115" s="29"/>
      <c r="E115" s="29"/>
      <c r="F115" s="29"/>
      <c r="G115" s="29"/>
      <c r="H115" s="29"/>
      <c r="I115" s="29"/>
      <c r="J115" s="29"/>
    </row>
  </sheetData>
  <sheetProtection password="CF5C" sheet="1" objects="1" scenarios="1"/>
  <mergeCells count="62">
    <mergeCell ref="D70:E70"/>
    <mergeCell ref="D71:E71"/>
    <mergeCell ref="B72:K72"/>
    <mergeCell ref="B73:E73"/>
    <mergeCell ref="H73:K73"/>
    <mergeCell ref="F74:G74"/>
    <mergeCell ref="H74:H76"/>
    <mergeCell ref="I74:K74"/>
    <mergeCell ref="J75:K75"/>
    <mergeCell ref="J76:K76"/>
    <mergeCell ref="A56:J56"/>
    <mergeCell ref="A58:B58"/>
    <mergeCell ref="C58:D58"/>
    <mergeCell ref="E58:F58"/>
    <mergeCell ref="H60:M60"/>
    <mergeCell ref="A50:B50"/>
    <mergeCell ref="G50:H50"/>
    <mergeCell ref="A52:J52"/>
    <mergeCell ref="D53:E53"/>
    <mergeCell ref="H53:I53"/>
    <mergeCell ref="A49:B49"/>
    <mergeCell ref="G49:H49"/>
    <mergeCell ref="A28:A31"/>
    <mergeCell ref="C33:D33"/>
    <mergeCell ref="F33:G33"/>
    <mergeCell ref="A36:J36"/>
    <mergeCell ref="B38:F38"/>
    <mergeCell ref="H38:J38"/>
    <mergeCell ref="H39:J42"/>
    <mergeCell ref="A46:J46"/>
    <mergeCell ref="A47:B48"/>
    <mergeCell ref="C47:E47"/>
    <mergeCell ref="G48:H48"/>
    <mergeCell ref="A27:B27"/>
    <mergeCell ref="G27:H27"/>
    <mergeCell ref="A14:B14"/>
    <mergeCell ref="A15:B15"/>
    <mergeCell ref="A16:B16"/>
    <mergeCell ref="C16:D16"/>
    <mergeCell ref="A18:J18"/>
    <mergeCell ref="F19:G19"/>
    <mergeCell ref="J19:J20"/>
    <mergeCell ref="A20:B20"/>
    <mergeCell ref="E20:F20"/>
    <mergeCell ref="A22:J22"/>
    <mergeCell ref="C24:D24"/>
    <mergeCell ref="F24:G24"/>
    <mergeCell ref="C26:F26"/>
    <mergeCell ref="G26:H26"/>
    <mergeCell ref="A13:B13"/>
    <mergeCell ref="F13:I13"/>
    <mergeCell ref="A1:B1"/>
    <mergeCell ref="C1:M1"/>
    <mergeCell ref="I3:J4"/>
    <mergeCell ref="A6:D6"/>
    <mergeCell ref="F6:I6"/>
    <mergeCell ref="F9:G9"/>
    <mergeCell ref="A10:B10"/>
    <mergeCell ref="F10:G10"/>
    <mergeCell ref="A11:B11"/>
    <mergeCell ref="F11:G11"/>
    <mergeCell ref="A12:B12"/>
  </mergeCells>
  <printOptions horizontalCentered="1"/>
  <pageMargins left="0.70866141732283472" right="0.70866141732283472" top="0.74803149606299213" bottom="0.74803149606299213" header="0.31496062992125984" footer="0.31496062992125984"/>
  <pageSetup scale="13" orientation="portrait" r:id="rId1"/>
  <headerFooter>
    <oddHeader xml:space="preserve">&amp;C
&amp;16   
</oddHeader>
    <oddFooter xml:space="preserve">&amp;RRT03-F13 Vr.14 (2021-05-21)
</oddFooter>
  </headerFooter>
  <rowBreaks count="1" manualBreakCount="1">
    <brk id="34" max="16383" man="1"/>
  </rowBreaks>
  <drawing r:id="rId2"/>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0700-000000000000}">
          <x14:formula1>
            <xm:f>'DATOS %'!$B$7:$B$40</xm:f>
          </x14:formula1>
          <xm:sqref>I3:J4</xm:sqref>
        </x14:dataValidation>
        <x14:dataValidation type="list" allowBlank="1" showInputMessage="1" showErrorMessage="1" xr:uid="{00000000-0002-0000-0700-000001000000}">
          <x14:formula1>
            <xm:f>'DATOS %'!$J$174:$J$179</xm:f>
          </x14:formula1>
          <xm:sqref>J19:J20</xm:sqref>
        </x14:dataValidation>
        <x14:dataValidation type="list" allowBlank="1" showInputMessage="1" showErrorMessage="1" xr:uid="{00000000-0002-0000-0700-000002000000}">
          <x14:formula1>
            <xm:f>'DATOS %'!$N$121:$N$166</xm:f>
          </x14:formula1>
          <xm:sqref>F48</xm:sqref>
        </x14:dataValidation>
        <x14:dataValidation type="list" allowBlank="1" showInputMessage="1" showErrorMessage="1" xr:uid="{00000000-0002-0000-0700-000003000000}">
          <x14:formula1>
            <xm:f>'DATOS %'!$N$29:$N$113</xm:f>
          </x14:formula1>
          <xm:sqref>E6</xm:sqref>
        </x14:dataValidation>
        <x14:dataValidation type="list" allowBlank="1" showInputMessage="1" showErrorMessage="1" xr:uid="{00000000-0002-0000-0700-000004000000}">
          <x14:formula1>
            <xm:f>'DATOS %'!$V$120:$V$126</xm:f>
          </x14:formula1>
          <xm:sqref>J13</xm:sqref>
        </x14:dataValidation>
        <x14:dataValidation type="list" allowBlank="1" showInputMessage="1" showErrorMessage="1" xr:uid="{00000000-0002-0000-0700-000005000000}">
          <x14:formula1>
            <xm:f>'DATOS %'!$V$161:$V$165</xm:f>
          </x14:formula1>
          <xm:sqref>H25</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FF00"/>
  </sheetPr>
  <dimension ref="A1:U115"/>
  <sheetViews>
    <sheetView showGridLines="0" view="pageBreakPreview" topLeftCell="A13" zoomScale="80" zoomScaleNormal="60" zoomScaleSheetLayoutView="80" workbookViewId="0">
      <selection activeCell="C65" sqref="C65"/>
    </sheetView>
  </sheetViews>
  <sheetFormatPr baseColWidth="10" defaultColWidth="11.42578125" defaultRowHeight="31.5" customHeight="1" x14ac:dyDescent="0.2"/>
  <cols>
    <col min="1" max="1" width="14.7109375" style="37" customWidth="1"/>
    <col min="2" max="2" width="12" style="37" customWidth="1"/>
    <col min="3" max="3" width="15.7109375" style="37" customWidth="1"/>
    <col min="4" max="4" width="17" style="37" customWidth="1"/>
    <col min="5" max="5" width="15.5703125" style="37" customWidth="1"/>
    <col min="6" max="6" width="18.5703125" style="37" customWidth="1"/>
    <col min="7" max="7" width="15.7109375" style="37" customWidth="1"/>
    <col min="8" max="8" width="24.42578125" style="37" bestFit="1" customWidth="1"/>
    <col min="9" max="9" width="13.85546875" style="37" bestFit="1" customWidth="1"/>
    <col min="10" max="10" width="13.7109375" style="37" customWidth="1"/>
    <col min="11" max="19" width="11.42578125" style="8"/>
    <col min="20" max="20" width="15.85546875" style="8" bestFit="1" customWidth="1"/>
    <col min="21" max="21" width="14.42578125" style="8" bestFit="1" customWidth="1"/>
    <col min="22" max="16384" width="11.42578125" style="8"/>
  </cols>
  <sheetData>
    <row r="1" spans="1:16" ht="60" customHeight="1" thickBot="1" x14ac:dyDescent="0.25">
      <c r="A1" s="1257"/>
      <c r="B1" s="1258"/>
      <c r="C1" s="1259" t="s">
        <v>57</v>
      </c>
      <c r="D1" s="1260"/>
      <c r="E1" s="1260"/>
      <c r="F1" s="1260"/>
      <c r="G1" s="1260"/>
      <c r="H1" s="1260"/>
      <c r="I1" s="1260"/>
      <c r="J1" s="1260"/>
      <c r="K1" s="1260"/>
      <c r="L1" s="1260"/>
      <c r="M1" s="1261"/>
      <c r="N1" s="7"/>
      <c r="O1" s="7"/>
      <c r="P1" s="7"/>
    </row>
    <row r="2" spans="1:16" s="11" customFormat="1" ht="9.75" customHeight="1" thickBot="1" x14ac:dyDescent="0.25">
      <c r="A2" s="9"/>
      <c r="B2" s="9"/>
      <c r="C2" s="10"/>
      <c r="D2" s="10"/>
      <c r="E2" s="10"/>
      <c r="F2" s="10"/>
      <c r="G2" s="10"/>
      <c r="H2" s="10"/>
      <c r="K2" s="12"/>
      <c r="M2" s="7"/>
    </row>
    <row r="3" spans="1:16" s="12" customFormat="1" ht="35.25" customHeight="1" thickBot="1" x14ac:dyDescent="0.25">
      <c r="A3" s="13" t="s">
        <v>17</v>
      </c>
      <c r="B3" s="14" t="s">
        <v>55</v>
      </c>
      <c r="C3" s="15" t="s">
        <v>209</v>
      </c>
      <c r="D3" s="15" t="s">
        <v>56</v>
      </c>
      <c r="E3" s="15" t="s">
        <v>8</v>
      </c>
      <c r="F3" s="16" t="s">
        <v>18</v>
      </c>
      <c r="G3" s="16" t="s">
        <v>297</v>
      </c>
      <c r="H3" s="17" t="s">
        <v>24</v>
      </c>
      <c r="I3" s="1262"/>
      <c r="J3" s="1263"/>
      <c r="K3" s="11"/>
      <c r="M3" s="7"/>
    </row>
    <row r="4" spans="1:16" s="11" customFormat="1" ht="32.25" customHeight="1" thickBot="1" x14ac:dyDescent="0.25">
      <c r="A4" s="18" t="e">
        <f>VLOOKUP($I$3,'DATOS %'!B7:J29,2,FALSE)</f>
        <v>#N/A</v>
      </c>
      <c r="B4" s="212" t="e">
        <f>VLOOKUP($I$3,'DATOS %'!$B$7:$J$29,3,FALSE)</f>
        <v>#N/A</v>
      </c>
      <c r="C4" s="19" t="e">
        <f>VLOOKUP($I$3,'DATOS %'!$B$7:$J$29,8,FALSE)</f>
        <v>#N/A</v>
      </c>
      <c r="D4" s="19" t="e">
        <f>VLOOKUP($I$3,'DATOS %'!$B$7:$J$29,6,FALSE)</f>
        <v>#N/A</v>
      </c>
      <c r="E4" s="212" t="e">
        <f>VLOOKUP($I$3,'DATOS %'!$B$7:$J$29,7,FALSE)</f>
        <v>#N/A</v>
      </c>
      <c r="F4" s="18" t="e">
        <f>VLOOKUP($I$3,'DATOS %'!$B$7:$J$29,4,FALSE)</f>
        <v>#N/A</v>
      </c>
      <c r="G4" s="18" t="e">
        <f>VLOOKUP($I$3,'DATOS %'!$B$7:$J$29,5,FALSE)</f>
        <v>#N/A</v>
      </c>
      <c r="H4" s="19" t="e">
        <f>VLOOKUP($I$3,'DATOS %'!$B$7:$J$29,9,FALSE)</f>
        <v>#N/A</v>
      </c>
      <c r="I4" s="1264"/>
      <c r="J4" s="1265"/>
      <c r="K4" s="8"/>
      <c r="L4" s="20"/>
      <c r="M4" s="20"/>
    </row>
    <row r="5" spans="1:16" s="22" customFormat="1" ht="6.75" customHeight="1" thickBot="1" x14ac:dyDescent="0.25">
      <c r="A5" s="21"/>
      <c r="B5" s="21"/>
      <c r="C5" s="21"/>
      <c r="F5" s="21"/>
      <c r="G5" s="21"/>
      <c r="H5" s="21"/>
      <c r="K5" s="8"/>
    </row>
    <row r="6" spans="1:16" ht="31.5" customHeight="1" thickBot="1" x14ac:dyDescent="0.25">
      <c r="A6" s="1266" t="s">
        <v>19</v>
      </c>
      <c r="B6" s="1267"/>
      <c r="C6" s="1267"/>
      <c r="D6" s="1268"/>
      <c r="E6" s="4"/>
      <c r="F6" s="1266" t="s">
        <v>20</v>
      </c>
      <c r="G6" s="1267"/>
      <c r="H6" s="1267"/>
      <c r="I6" s="1268"/>
      <c r="J6" s="402">
        <f>I3</f>
        <v>0</v>
      </c>
    </row>
    <row r="7" spans="1:16" ht="31.5" customHeight="1" x14ac:dyDescent="0.2">
      <c r="A7" s="23" t="s">
        <v>21</v>
      </c>
      <c r="B7" s="24" t="e">
        <f>VLOOKUP($E$6,'DATOS %'!N11:AA113,2,FALSE)</f>
        <v>#N/A</v>
      </c>
      <c r="C7" s="25" t="s">
        <v>10</v>
      </c>
      <c r="D7" s="26" t="e">
        <f>VLOOKUP($E$6,'DATOS %'!N11:AA113,3,FALSE)</f>
        <v>#N/A</v>
      </c>
      <c r="E7" s="27"/>
      <c r="F7" s="23" t="s">
        <v>21</v>
      </c>
      <c r="G7" s="24" t="e">
        <f>VLOOKUP($J$6,'DATOS %'!B47:I79,2,FALSE)</f>
        <v>#N/A</v>
      </c>
      <c r="H7" s="28" t="s">
        <v>10</v>
      </c>
      <c r="I7" s="26" t="e">
        <f>VLOOKUP($J$6,'DATOS %'!B47:I79,3,FALSE)</f>
        <v>#N/A</v>
      </c>
      <c r="J7" s="29"/>
    </row>
    <row r="8" spans="1:16" ht="31.5" customHeight="1" x14ac:dyDescent="0.2">
      <c r="A8" s="30" t="s">
        <v>22</v>
      </c>
      <c r="B8" s="31" t="e">
        <f>VLOOKUP($E$6,'DATOS %'!N11:AA113,4,FALSE)</f>
        <v>#N/A</v>
      </c>
      <c r="C8" s="32" t="s">
        <v>23</v>
      </c>
      <c r="D8" s="33" t="e">
        <f>VLOOKUP($E$6,'DATOS %'!N11:AA113,5,FALSE)</f>
        <v>#N/A</v>
      </c>
      <c r="E8" s="27"/>
      <c r="F8" s="30" t="s">
        <v>22</v>
      </c>
      <c r="G8" s="31" t="e">
        <f>VLOOKUP($J$6,'DATOS %'!B47:I79,4,FALSE)</f>
        <v>#N/A</v>
      </c>
      <c r="H8" s="32" t="s">
        <v>23</v>
      </c>
      <c r="I8" s="297" t="e">
        <f>VLOOKUP($J$6,'DATOS %'!B47:I79,5,FALSE)</f>
        <v>#N/A</v>
      </c>
      <c r="J8" s="29"/>
    </row>
    <row r="9" spans="1:16" ht="31.5" customHeight="1" x14ac:dyDescent="0.2">
      <c r="A9" s="34" t="s">
        <v>24</v>
      </c>
      <c r="B9" s="31" t="e">
        <f>VLOOKUP($E$6,'DATOS %'!N11:AA113,6,FALSE)</f>
        <v>#N/A</v>
      </c>
      <c r="C9" s="35" t="s">
        <v>15</v>
      </c>
      <c r="D9" s="36" t="e">
        <f>VLOOKUP($E$6,'DATOS %'!N11:AA113,7,FALSE)</f>
        <v>#N/A</v>
      </c>
      <c r="F9" s="1252" t="s">
        <v>62</v>
      </c>
      <c r="G9" s="1253"/>
      <c r="H9" s="926" t="e">
        <f>(VLOOKUP($J$6,'DATOS %'!B47:I79,6,FALSE))/1000</f>
        <v>#N/A</v>
      </c>
      <c r="I9" s="33" t="s">
        <v>1</v>
      </c>
      <c r="J9" s="29"/>
      <c r="K9" s="208"/>
    </row>
    <row r="10" spans="1:16" s="38" customFormat="1" ht="31.5" customHeight="1" x14ac:dyDescent="0.25">
      <c r="A10" s="1252" t="s">
        <v>63</v>
      </c>
      <c r="B10" s="1253"/>
      <c r="C10" s="926" t="e">
        <f>(VLOOKUP($E$6,'DATOS %'!N11:AA113,8,FALSE))/1000</f>
        <v>#N/A</v>
      </c>
      <c r="D10" s="33" t="s">
        <v>1</v>
      </c>
      <c r="F10" s="1252" t="s">
        <v>64</v>
      </c>
      <c r="G10" s="1253"/>
      <c r="H10" s="213" t="e">
        <f>VLOOKUP($J$6,'DATOS %'!B47:I79,7,FALSE)</f>
        <v>#N/A</v>
      </c>
      <c r="I10" s="33" t="s">
        <v>76</v>
      </c>
      <c r="J10" s="39"/>
    </row>
    <row r="11" spans="1:16" s="38" customFormat="1" ht="31.5" customHeight="1" thickBot="1" x14ac:dyDescent="0.3">
      <c r="A11" s="1252" t="s">
        <v>65</v>
      </c>
      <c r="B11" s="1253"/>
      <c r="C11" s="31" t="e">
        <f>VLOOKUP($E$6,'DATOS %'!N11:AA113,9,FALSE)</f>
        <v>#N/A</v>
      </c>
      <c r="D11" s="33" t="s">
        <v>3</v>
      </c>
      <c r="E11" s="40"/>
      <c r="F11" s="1271" t="s">
        <v>66</v>
      </c>
      <c r="G11" s="1272"/>
      <c r="H11" s="41" t="e">
        <f>VLOOKUP($J$6,'DATOS %'!B47:I79,8,FALSE)</f>
        <v>#N/A</v>
      </c>
      <c r="I11" s="45" t="s">
        <v>76</v>
      </c>
      <c r="J11" s="39"/>
    </row>
    <row r="12" spans="1:16" s="38" customFormat="1" ht="31.5" customHeight="1" thickBot="1" x14ac:dyDescent="0.3">
      <c r="A12" s="1252" t="s">
        <v>67</v>
      </c>
      <c r="B12" s="1253"/>
      <c r="C12" s="31" t="e">
        <f>VLOOKUP($E$6,'DATOS %'!N11:AA113,10,FALSE)</f>
        <v>#N/A</v>
      </c>
      <c r="D12" s="33" t="s">
        <v>3</v>
      </c>
      <c r="E12" s="39"/>
      <c r="F12" s="39"/>
      <c r="G12" s="39"/>
      <c r="H12" s="39"/>
    </row>
    <row r="13" spans="1:16" s="38" customFormat="1" ht="31.5" customHeight="1" thickBot="1" x14ac:dyDescent="0.3">
      <c r="A13" s="1252" t="s">
        <v>68</v>
      </c>
      <c r="B13" s="1253"/>
      <c r="C13" s="213" t="e">
        <f>VLOOKUP($E$6,'DATOS %'!N11:AA113,11,FALSE)</f>
        <v>#N/A</v>
      </c>
      <c r="D13" s="33" t="s">
        <v>76</v>
      </c>
      <c r="E13" s="39"/>
      <c r="F13" s="1254" t="s">
        <v>559</v>
      </c>
      <c r="G13" s="1255"/>
      <c r="H13" s="1255"/>
      <c r="I13" s="1256"/>
      <c r="J13" s="5"/>
    </row>
    <row r="14" spans="1:16" s="38" customFormat="1" ht="31.5" customHeight="1" x14ac:dyDescent="0.2">
      <c r="A14" s="1252" t="s">
        <v>305</v>
      </c>
      <c r="B14" s="1253"/>
      <c r="C14" s="31" t="e">
        <f>VLOOKUP($E$6,'DATOS %'!N11:AA113,12,FALSE)</f>
        <v>#N/A</v>
      </c>
      <c r="D14" s="33" t="s">
        <v>76</v>
      </c>
      <c r="E14" s="39"/>
      <c r="F14" s="23" t="s">
        <v>10</v>
      </c>
      <c r="G14" s="24" t="e">
        <f>VLOOKUP($J$13,'DATOS %'!$V$119:$Y$126,2,FALSE)</f>
        <v>#N/A</v>
      </c>
      <c r="H14" s="28" t="s">
        <v>22</v>
      </c>
      <c r="I14" s="24" t="e">
        <f>VLOOKUP($J$13,'DATOS %'!$V$119:$Z$126,3,FALSE)</f>
        <v>#N/A</v>
      </c>
      <c r="J14" s="42"/>
      <c r="K14" s="8"/>
    </row>
    <row r="15" spans="1:16" ht="31.5" customHeight="1" thickBot="1" x14ac:dyDescent="0.25">
      <c r="A15" s="1277" t="s">
        <v>69</v>
      </c>
      <c r="B15" s="1278"/>
      <c r="C15" s="31" t="e">
        <f>VLOOKUP($E$6,'DATOS %'!N11:AA113,13,FALSE)</f>
        <v>#N/A</v>
      </c>
      <c r="D15" s="33" t="s">
        <v>76</v>
      </c>
      <c r="E15" s="29"/>
      <c r="F15" s="43" t="s">
        <v>61</v>
      </c>
      <c r="G15" s="41" t="e">
        <f>VLOOKUP($J$13,'DATOS %'!$V$119:$Y$126,4,FALSE)</f>
        <v>#N/A</v>
      </c>
      <c r="H15" s="41" t="s">
        <v>1</v>
      </c>
      <c r="I15" s="243" t="s">
        <v>210</v>
      </c>
      <c r="J15" s="45" t="e">
        <f>VLOOKUP($J$13,'DATOS %'!$V$119:$Z$126,5,FALSE)</f>
        <v>#N/A</v>
      </c>
      <c r="K15" s="22"/>
    </row>
    <row r="16" spans="1:16" ht="30.95" customHeight="1" thickBot="1" x14ac:dyDescent="0.25">
      <c r="A16" s="1279" t="s">
        <v>210</v>
      </c>
      <c r="B16" s="1280"/>
      <c r="C16" s="1281" t="e">
        <f>VLOOKUP($E$6,'DATOS %'!N11:AA113,14,FALSE)</f>
        <v>#N/A</v>
      </c>
      <c r="D16" s="1282"/>
      <c r="E16" s="29"/>
      <c r="F16" s="8"/>
      <c r="G16" s="8"/>
      <c r="H16" s="8"/>
      <c r="I16" s="8"/>
      <c r="J16" s="8"/>
    </row>
    <row r="17" spans="1:11" s="22" customFormat="1" ht="30.95" customHeight="1" thickBot="1" x14ac:dyDescent="0.25">
      <c r="A17" s="29"/>
      <c r="B17" s="29"/>
      <c r="C17" s="29"/>
      <c r="D17" s="29"/>
      <c r="E17" s="29"/>
      <c r="F17" s="29"/>
      <c r="G17" s="29"/>
      <c r="H17" s="29"/>
      <c r="I17" s="29"/>
      <c r="J17" s="29"/>
      <c r="K17" s="8"/>
    </row>
    <row r="18" spans="1:11" ht="31.5" customHeight="1" thickBot="1" x14ac:dyDescent="0.25">
      <c r="A18" s="1331" t="s">
        <v>26</v>
      </c>
      <c r="B18" s="1332"/>
      <c r="C18" s="1332"/>
      <c r="D18" s="1332"/>
      <c r="E18" s="1332"/>
      <c r="F18" s="1332"/>
      <c r="G18" s="1332"/>
      <c r="H18" s="1332"/>
      <c r="I18" s="1332"/>
      <c r="J18" s="1333"/>
    </row>
    <row r="19" spans="1:11" ht="46.5" customHeight="1" thickBot="1" x14ac:dyDescent="0.25">
      <c r="A19" s="407" t="s">
        <v>10</v>
      </c>
      <c r="B19" s="101" t="e">
        <f>VLOOKUP(J19,'DATOS %'!J174:W180,2,FALSE)</f>
        <v>#N/A</v>
      </c>
      <c r="C19" s="95" t="s">
        <v>7</v>
      </c>
      <c r="D19" s="408" t="e">
        <f>VLOOKUP(J19,'DATOS %'!J174:W180,3,FALSE)</f>
        <v>#N/A</v>
      </c>
      <c r="E19" s="409" t="s">
        <v>24</v>
      </c>
      <c r="F19" s="1286" t="e">
        <f>VLOOKUP(J19,'DATOS %'!J174:W180,5,FALSE)</f>
        <v>#N/A</v>
      </c>
      <c r="G19" s="1287"/>
      <c r="H19" s="95" t="s">
        <v>25</v>
      </c>
      <c r="I19" s="212" t="e">
        <f>VLOOKUP(J19,'DATOS %'!J174:W180,4,FALSE)</f>
        <v>#N/A</v>
      </c>
      <c r="J19" s="1374"/>
    </row>
    <row r="20" spans="1:11" ht="31.5" customHeight="1" thickBot="1" x14ac:dyDescent="0.25">
      <c r="A20" s="1290" t="s">
        <v>316</v>
      </c>
      <c r="B20" s="1291"/>
      <c r="C20" s="94" t="s">
        <v>27</v>
      </c>
      <c r="D20" s="101" t="e">
        <f>VLOOKUP(J19,'DATOS %'!J174:W180,6,FALSE)</f>
        <v>#N/A</v>
      </c>
      <c r="E20" s="1292" t="s">
        <v>307</v>
      </c>
      <c r="F20" s="1293"/>
      <c r="G20" s="101" t="e">
        <f>VLOOKUP(J19,'DATOS %'!J174:W180,7,FALSE)</f>
        <v>#N/A</v>
      </c>
      <c r="H20" s="95" t="s">
        <v>9</v>
      </c>
      <c r="I20" s="214" t="e">
        <f>VLOOKUP(J19,'DATOS %'!J174:W180,8,FALSE)</f>
        <v>#N/A</v>
      </c>
      <c r="J20" s="1289"/>
    </row>
    <row r="21" spans="1:11" s="46" customFormat="1" ht="15" customHeight="1" thickBot="1" x14ac:dyDescent="0.25">
      <c r="A21" s="47"/>
      <c r="B21" s="47"/>
      <c r="C21" s="47"/>
      <c r="D21" s="47"/>
      <c r="E21" s="47"/>
      <c r="F21" s="47"/>
      <c r="G21" s="47"/>
      <c r="H21" s="47"/>
      <c r="I21" s="47"/>
      <c r="J21" s="47"/>
      <c r="K21" s="8"/>
    </row>
    <row r="22" spans="1:11" s="48" customFormat="1" ht="31.5" customHeight="1" thickBot="1" x14ac:dyDescent="0.25">
      <c r="A22" s="1294" t="s">
        <v>28</v>
      </c>
      <c r="B22" s="1295"/>
      <c r="C22" s="1295"/>
      <c r="D22" s="1295"/>
      <c r="E22" s="1295"/>
      <c r="F22" s="1295"/>
      <c r="G22" s="1295"/>
      <c r="H22" s="1295"/>
      <c r="I22" s="1295"/>
      <c r="J22" s="1296"/>
      <c r="K22" s="47"/>
    </row>
    <row r="23" spans="1:11" s="47" customFormat="1" ht="2.25" customHeight="1" thickBot="1" x14ac:dyDescent="0.25">
      <c r="A23" s="49"/>
      <c r="B23" s="50"/>
      <c r="C23" s="50"/>
      <c r="D23" s="50"/>
      <c r="E23" s="50"/>
      <c r="F23" s="50"/>
      <c r="G23" s="50"/>
      <c r="H23" s="50"/>
      <c r="I23" s="50"/>
      <c r="J23" s="51"/>
      <c r="K23" s="48"/>
    </row>
    <row r="24" spans="1:11" s="48" customFormat="1" ht="31.5" customHeight="1" thickBot="1" x14ac:dyDescent="0.25">
      <c r="A24" s="52" t="s">
        <v>29</v>
      </c>
      <c r="B24" s="916"/>
      <c r="C24" s="1297" t="s">
        <v>27</v>
      </c>
      <c r="D24" s="1298"/>
      <c r="E24" s="1"/>
      <c r="F24" s="1299" t="s">
        <v>307</v>
      </c>
      <c r="G24" s="1300"/>
      <c r="H24" s="2"/>
      <c r="I24" s="224" t="s">
        <v>9</v>
      </c>
      <c r="J24" s="215"/>
      <c r="K24" s="46"/>
    </row>
    <row r="25" spans="1:11" s="46" customFormat="1" ht="15" customHeight="1" thickBot="1" x14ac:dyDescent="0.25">
      <c r="A25" s="47"/>
      <c r="B25" s="47"/>
      <c r="C25" s="47"/>
      <c r="D25" s="47"/>
      <c r="E25" s="47"/>
      <c r="F25" s="47"/>
      <c r="G25" s="47"/>
      <c r="H25" s="6"/>
      <c r="I25" s="47"/>
      <c r="K25" s="48"/>
    </row>
    <row r="26" spans="1:11" s="48" customFormat="1" ht="29.25" customHeight="1" thickBot="1" x14ac:dyDescent="0.25">
      <c r="A26" s="115" t="s">
        <v>129</v>
      </c>
      <c r="B26" s="105">
        <v>4</v>
      </c>
      <c r="C26" s="1301" t="s">
        <v>30</v>
      </c>
      <c r="D26" s="1302"/>
      <c r="E26" s="1302"/>
      <c r="F26" s="1303"/>
      <c r="G26" s="1304" t="s">
        <v>211</v>
      </c>
      <c r="H26" s="1305"/>
    </row>
    <row r="27" spans="1:11" s="48" customFormat="1" ht="31.5" customHeight="1" thickBot="1" x14ac:dyDescent="0.25">
      <c r="A27" s="1273" t="s">
        <v>31</v>
      </c>
      <c r="B27" s="1274"/>
      <c r="C27" s="525">
        <v>1</v>
      </c>
      <c r="D27" s="525">
        <v>2</v>
      </c>
      <c r="E27" s="525">
        <v>3</v>
      </c>
      <c r="F27" s="129">
        <v>4</v>
      </c>
      <c r="G27" s="1275" t="e">
        <f>VLOOKUP($H$25,'DATOS %'!$V$161:$AA$165,2,FALSE)</f>
        <v>#N/A</v>
      </c>
      <c r="H27" s="1276"/>
    </row>
    <row r="28" spans="1:11" s="48" customFormat="1" ht="31.5" customHeight="1" x14ac:dyDescent="0.2">
      <c r="A28" s="1310" t="s">
        <v>32</v>
      </c>
      <c r="B28" s="141" t="s">
        <v>0</v>
      </c>
      <c r="C28" s="142"/>
      <c r="D28" s="142"/>
      <c r="E28" s="142"/>
      <c r="F28" s="143"/>
      <c r="G28" s="47"/>
      <c r="H28" s="47"/>
      <c r="I28" s="47"/>
      <c r="J28" s="47"/>
    </row>
    <row r="29" spans="1:11" s="48" customFormat="1" ht="31.5" customHeight="1" x14ac:dyDescent="0.2">
      <c r="A29" s="1311"/>
      <c r="B29" s="104" t="s">
        <v>2</v>
      </c>
      <c r="C29" s="127"/>
      <c r="D29" s="127"/>
      <c r="E29" s="127"/>
      <c r="F29" s="128"/>
      <c r="G29" s="47"/>
      <c r="H29" s="47"/>
      <c r="I29" s="47"/>
      <c r="J29" s="47"/>
    </row>
    <row r="30" spans="1:11" s="48" customFormat="1" ht="31.5" customHeight="1" x14ac:dyDescent="0.2">
      <c r="A30" s="1311"/>
      <c r="B30" s="104" t="s">
        <v>2</v>
      </c>
      <c r="C30" s="127"/>
      <c r="D30" s="127"/>
      <c r="E30" s="127"/>
      <c r="F30" s="128"/>
      <c r="G30" s="47"/>
      <c r="H30" s="47"/>
      <c r="I30" s="47"/>
      <c r="J30" s="47"/>
    </row>
    <row r="31" spans="1:11" s="48" customFormat="1" ht="31.5" customHeight="1" thickBot="1" x14ac:dyDescent="0.25">
      <c r="A31" s="1312"/>
      <c r="B31" s="53" t="s">
        <v>0</v>
      </c>
      <c r="C31" s="144"/>
      <c r="D31" s="144"/>
      <c r="E31" s="144"/>
      <c r="F31" s="145"/>
      <c r="G31" s="47"/>
      <c r="H31" s="47"/>
      <c r="I31" s="47"/>
      <c r="J31" s="47"/>
      <c r="K31" s="46"/>
    </row>
    <row r="32" spans="1:11" s="46" customFormat="1" ht="15" customHeight="1" thickBot="1" x14ac:dyDescent="0.25">
      <c r="A32" s="47"/>
      <c r="B32" s="47"/>
      <c r="C32" s="47"/>
      <c r="D32" s="47"/>
      <c r="E32" s="47"/>
      <c r="F32" s="47"/>
      <c r="G32" s="47"/>
      <c r="H32" s="47"/>
      <c r="I32" s="47"/>
      <c r="J32" s="47"/>
      <c r="K32" s="48"/>
    </row>
    <row r="33" spans="1:11" s="48" customFormat="1" ht="31.5" customHeight="1" thickBot="1" x14ac:dyDescent="0.25">
      <c r="A33" s="54" t="s">
        <v>33</v>
      </c>
      <c r="B33" s="916"/>
      <c r="C33" s="1297" t="s">
        <v>27</v>
      </c>
      <c r="D33" s="1298"/>
      <c r="E33" s="1"/>
      <c r="F33" s="1299" t="s">
        <v>307</v>
      </c>
      <c r="G33" s="1300"/>
      <c r="H33" s="2"/>
      <c r="I33" s="225" t="s">
        <v>9</v>
      </c>
      <c r="J33" s="3"/>
      <c r="K33" s="46"/>
    </row>
    <row r="34" spans="1:11" s="46" customFormat="1" ht="12" customHeight="1" x14ac:dyDescent="0.2">
      <c r="A34" s="55"/>
      <c r="B34" s="55"/>
      <c r="C34" s="55"/>
      <c r="D34" s="55"/>
      <c r="E34" s="55"/>
      <c r="F34" s="55"/>
      <c r="G34" s="55"/>
      <c r="H34" s="55"/>
      <c r="I34" s="55"/>
      <c r="J34" s="55"/>
      <c r="K34" s="48"/>
    </row>
    <row r="35" spans="1:11" s="48" customFormat="1" ht="15" customHeight="1" thickBot="1" x14ac:dyDescent="0.25">
      <c r="A35" s="56"/>
      <c r="B35" s="56"/>
      <c r="C35" s="56"/>
      <c r="D35" s="56"/>
      <c r="E35" s="56"/>
      <c r="F35" s="56"/>
      <c r="G35" s="56"/>
      <c r="H35" s="56"/>
      <c r="I35" s="56"/>
      <c r="J35" s="56"/>
    </row>
    <row r="36" spans="1:11" s="48" customFormat="1" ht="32.25" customHeight="1" thickBot="1" x14ac:dyDescent="0.25">
      <c r="A36" s="1294" t="s">
        <v>34</v>
      </c>
      <c r="B36" s="1295"/>
      <c r="C36" s="1295"/>
      <c r="D36" s="1295"/>
      <c r="E36" s="1295"/>
      <c r="F36" s="1295"/>
      <c r="G36" s="1295"/>
      <c r="H36" s="1295"/>
      <c r="I36" s="1295"/>
      <c r="J36" s="1296"/>
    </row>
    <row r="37" spans="1:11" s="48" customFormat="1" ht="3.75" customHeight="1" thickBot="1" x14ac:dyDescent="0.25">
      <c r="A37" s="55"/>
      <c r="B37" s="47"/>
      <c r="C37" s="47"/>
      <c r="D37" s="47"/>
      <c r="E37" s="47"/>
      <c r="F37" s="47"/>
      <c r="G37" s="47"/>
      <c r="H37" s="47"/>
      <c r="I37" s="47"/>
      <c r="J37" s="55"/>
    </row>
    <row r="38" spans="1:11" s="48" customFormat="1" ht="31.5" customHeight="1" thickBot="1" x14ac:dyDescent="0.25">
      <c r="A38" s="47"/>
      <c r="B38" s="1316" t="s">
        <v>35</v>
      </c>
      <c r="C38" s="1317"/>
      <c r="D38" s="1317"/>
      <c r="E38" s="1317"/>
      <c r="F38" s="1318"/>
      <c r="G38" s="47"/>
      <c r="H38" s="1319" t="s">
        <v>236</v>
      </c>
      <c r="I38" s="1320"/>
      <c r="J38" s="1321"/>
    </row>
    <row r="39" spans="1:11" s="48" customFormat="1" ht="31.5" customHeight="1" thickBot="1" x14ac:dyDescent="0.25">
      <c r="A39" s="47"/>
      <c r="B39" s="57" t="s">
        <v>31</v>
      </c>
      <c r="C39" s="203">
        <v>1</v>
      </c>
      <c r="D39" s="141">
        <v>2</v>
      </c>
      <c r="E39" s="141">
        <v>3</v>
      </c>
      <c r="F39" s="204">
        <v>4</v>
      </c>
      <c r="G39" s="47"/>
      <c r="H39" s="1322"/>
      <c r="I39" s="1323"/>
      <c r="J39" s="1324"/>
    </row>
    <row r="40" spans="1:11" s="48" customFormat="1" ht="31.5" customHeight="1" x14ac:dyDescent="0.2">
      <c r="A40" s="58"/>
      <c r="B40" s="59"/>
      <c r="C40" s="121" t="e">
        <f>+AVERAGE(C28,C31)</f>
        <v>#DIV/0!</v>
      </c>
      <c r="D40" s="122" t="e">
        <f>+AVERAGE(D28,D31)</f>
        <v>#DIV/0!</v>
      </c>
      <c r="E40" s="122" t="e">
        <f>+AVERAGE(E28,E31)</f>
        <v>#DIV/0!</v>
      </c>
      <c r="F40" s="205" t="e">
        <f>+AVERAGE(F28,F31)</f>
        <v>#DIV/0!</v>
      </c>
      <c r="G40" s="47"/>
      <c r="H40" s="1325"/>
      <c r="I40" s="1326"/>
      <c r="J40" s="1327"/>
    </row>
    <row r="41" spans="1:11" s="48" customFormat="1" ht="31.5" customHeight="1" x14ac:dyDescent="0.2">
      <c r="A41" s="58"/>
      <c r="B41" s="60"/>
      <c r="C41" s="123" t="e">
        <f>+AVERAGE(C29:C30)</f>
        <v>#DIV/0!</v>
      </c>
      <c r="D41" s="61" t="e">
        <f>+AVERAGE(D29:D30)</f>
        <v>#DIV/0!</v>
      </c>
      <c r="E41" s="61" t="e">
        <f>+AVERAGE(E29:E30)</f>
        <v>#DIV/0!</v>
      </c>
      <c r="F41" s="206" t="e">
        <f>+AVERAGE(F29:F30)</f>
        <v>#DIV/0!</v>
      </c>
      <c r="G41" s="47"/>
      <c r="H41" s="1325"/>
      <c r="I41" s="1326"/>
      <c r="J41" s="1327"/>
    </row>
    <row r="42" spans="1:11" s="48" customFormat="1" ht="31.5" customHeight="1" thickBot="1" x14ac:dyDescent="0.25">
      <c r="A42" s="58"/>
      <c r="B42" s="62"/>
      <c r="C42" s="124" t="e">
        <f>+C41-C40</f>
        <v>#DIV/0!</v>
      </c>
      <c r="D42" s="125" t="e">
        <f>+D41-D40</f>
        <v>#DIV/0!</v>
      </c>
      <c r="E42" s="125" t="e">
        <f>+E41-E40</f>
        <v>#DIV/0!</v>
      </c>
      <c r="F42" s="207" t="e">
        <f>+F41-F40</f>
        <v>#DIV/0!</v>
      </c>
      <c r="G42" s="47"/>
      <c r="H42" s="1328"/>
      <c r="I42" s="1329"/>
      <c r="J42" s="1330"/>
    </row>
    <row r="43" spans="1:11" s="48" customFormat="1" ht="31.5" customHeight="1" thickBot="1" x14ac:dyDescent="0.25">
      <c r="A43" s="47"/>
      <c r="B43" s="63" t="s">
        <v>36</v>
      </c>
      <c r="C43" s="286" t="e">
        <f>+AVERAGE(C42:F42)</f>
        <v>#DIV/0!</v>
      </c>
      <c r="D43" s="47"/>
      <c r="E43" s="47"/>
      <c r="F43" s="47"/>
      <c r="G43" s="47"/>
      <c r="H43" s="47"/>
      <c r="I43" s="47"/>
      <c r="J43" s="47"/>
    </row>
    <row r="44" spans="1:11" s="48" customFormat="1" ht="31.5" customHeight="1" thickBot="1" x14ac:dyDescent="0.25">
      <c r="A44" s="47"/>
      <c r="B44" s="64" t="s">
        <v>77</v>
      </c>
      <c r="C44" s="287" t="e">
        <f>+STDEV(C42:F42)</f>
        <v>#DIV/0!</v>
      </c>
      <c r="D44" s="47"/>
      <c r="E44" s="47"/>
      <c r="F44" s="47"/>
      <c r="G44" s="47"/>
      <c r="H44" s="47"/>
      <c r="I44" s="47"/>
      <c r="J44" s="47"/>
      <c r="K44" s="46"/>
    </row>
    <row r="45" spans="1:11" s="46" customFormat="1" ht="15" customHeight="1" thickBot="1" x14ac:dyDescent="0.25">
      <c r="A45" s="47"/>
      <c r="B45" s="47"/>
      <c r="C45" s="47"/>
      <c r="D45" s="47"/>
      <c r="E45" s="47"/>
      <c r="F45" s="47"/>
      <c r="G45" s="65"/>
      <c r="H45" s="47"/>
      <c r="I45" s="47"/>
      <c r="J45" s="47"/>
      <c r="K45" s="48"/>
    </row>
    <row r="46" spans="1:11" s="48" customFormat="1" ht="31.5" customHeight="1" thickBot="1" x14ac:dyDescent="0.25">
      <c r="A46" s="1331" t="s">
        <v>37</v>
      </c>
      <c r="B46" s="1332"/>
      <c r="C46" s="1284"/>
      <c r="D46" s="1284"/>
      <c r="E46" s="1284"/>
      <c r="F46" s="1332"/>
      <c r="G46" s="1332"/>
      <c r="H46" s="1332"/>
      <c r="I46" s="1332"/>
      <c r="J46" s="1333"/>
    </row>
    <row r="47" spans="1:11" s="48" customFormat="1" ht="31.5" customHeight="1" thickBot="1" x14ac:dyDescent="0.25">
      <c r="A47" s="1375" t="s">
        <v>321</v>
      </c>
      <c r="B47" s="1376"/>
      <c r="C47" s="1338" t="s">
        <v>38</v>
      </c>
      <c r="D47" s="1339"/>
      <c r="E47" s="1340"/>
      <c r="F47" s="47"/>
      <c r="G47" s="47"/>
      <c r="H47" s="47"/>
      <c r="I47" s="47"/>
      <c r="J47" s="47"/>
    </row>
    <row r="48" spans="1:11" s="48" customFormat="1" ht="36.75" customHeight="1" thickBot="1" x14ac:dyDescent="0.25">
      <c r="A48" s="1377"/>
      <c r="B48" s="1378"/>
      <c r="C48" s="82" t="s">
        <v>27</v>
      </c>
      <c r="D48" s="93" t="s">
        <v>307</v>
      </c>
      <c r="E48" s="83" t="s">
        <v>9</v>
      </c>
      <c r="G48" s="1341" t="s">
        <v>70</v>
      </c>
      <c r="H48" s="1342"/>
      <c r="I48" s="102" t="e">
        <f>+(0.34848*E50-0.009*D50*EXP(0.061*C50))/(273.15+C50)</f>
        <v>#DIV/0!</v>
      </c>
      <c r="J48" s="103" t="s">
        <v>73</v>
      </c>
    </row>
    <row r="49" spans="1:21" s="48" customFormat="1" ht="33" customHeight="1" thickBot="1" x14ac:dyDescent="0.25">
      <c r="A49" s="1306" t="s">
        <v>39</v>
      </c>
      <c r="B49" s="1307"/>
      <c r="C49" s="90" t="e">
        <f>+AVERAGE(E33,E24)</f>
        <v>#DIV/0!</v>
      </c>
      <c r="D49" s="91" t="e">
        <f>+AVERAGE(H33,H24)</f>
        <v>#DIV/0!</v>
      </c>
      <c r="E49" s="92" t="e">
        <f>+AVERAGE(J33,J24)</f>
        <v>#DIV/0!</v>
      </c>
      <c r="G49" s="1308" t="s">
        <v>71</v>
      </c>
      <c r="H49" s="1309"/>
      <c r="I49" s="422" t="e">
        <f>I48*((0.0001)^2+(0.001*I20/2)^2+(-0.0034*D20/2)^2+(-0.01*G20/2)^2)^0.5</f>
        <v>#DIV/0!</v>
      </c>
      <c r="J49" s="66" t="s">
        <v>73</v>
      </c>
    </row>
    <row r="50" spans="1:21" s="48" customFormat="1" ht="36.75" customHeight="1" thickBot="1" x14ac:dyDescent="0.25">
      <c r="A50" s="1343" t="s">
        <v>322</v>
      </c>
      <c r="B50" s="1344"/>
      <c r="C50" s="84" t="e">
        <f>C49+(VLOOKUP(J19,'DATOS %'!J174:W180,9,FALSE))*C49+(VLOOKUP(J19,'DATOS %'!J174:W180,10,FALSE))</f>
        <v>#DIV/0!</v>
      </c>
      <c r="D50" s="85" t="e">
        <f>D49+(VLOOKUP(J19,'DATOS %'!J174:W180,11,FALSE))*D49+(VLOOKUP(J19,'DATOS %'!J174:W180,12,FALSE))</f>
        <v>#DIV/0!</v>
      </c>
      <c r="E50" s="86" t="e">
        <f>E49+(VLOOKUP(J19,'DATOS %'!J174:W180,13,FALSE))*E49+(VLOOKUP(J19,'DATOS %'!J174:W180,14,FALSE))</f>
        <v>#DIV/0!</v>
      </c>
      <c r="G50" s="1341" t="s">
        <v>72</v>
      </c>
      <c r="H50" s="1342"/>
      <c r="I50" s="67">
        <v>1.2</v>
      </c>
      <c r="J50" s="66" t="s">
        <v>73</v>
      </c>
    </row>
    <row r="51" spans="1:21" s="46" customFormat="1" ht="15" customHeight="1" thickBot="1" x14ac:dyDescent="0.25">
      <c r="A51" s="47"/>
      <c r="B51" s="47"/>
      <c r="C51" s="47"/>
      <c r="D51" s="47"/>
      <c r="E51" s="47"/>
      <c r="F51" s="47"/>
      <c r="G51" s="47"/>
      <c r="H51" s="47"/>
      <c r="I51" s="47"/>
      <c r="J51" s="47"/>
      <c r="K51" s="48"/>
    </row>
    <row r="52" spans="1:21" s="48" customFormat="1" ht="31.5" customHeight="1" thickBot="1" x14ac:dyDescent="0.25">
      <c r="A52" s="1331" t="s">
        <v>40</v>
      </c>
      <c r="B52" s="1332"/>
      <c r="C52" s="1332"/>
      <c r="D52" s="1332"/>
      <c r="E52" s="1332"/>
      <c r="F52" s="1332"/>
      <c r="G52" s="1332"/>
      <c r="H52" s="1332"/>
      <c r="I52" s="1332"/>
      <c r="J52" s="1333"/>
    </row>
    <row r="53" spans="1:21" s="48" customFormat="1" ht="31.5" customHeight="1" x14ac:dyDescent="0.35">
      <c r="A53" s="47"/>
      <c r="B53" s="68" t="s">
        <v>41</v>
      </c>
      <c r="C53" s="69"/>
      <c r="D53" s="1345" t="s">
        <v>74</v>
      </c>
      <c r="E53" s="1345"/>
      <c r="F53" s="70" t="s">
        <v>42</v>
      </c>
      <c r="G53" s="71" t="s">
        <v>43</v>
      </c>
      <c r="H53" s="1346" t="s">
        <v>44</v>
      </c>
      <c r="I53" s="1347"/>
      <c r="J53" s="47"/>
    </row>
    <row r="54" spans="1:21" s="48" customFormat="1" ht="31.5" customHeight="1" thickBot="1" x14ac:dyDescent="0.25">
      <c r="A54" s="47"/>
      <c r="B54" s="72" t="e">
        <f>+C43</f>
        <v>#DIV/0!</v>
      </c>
      <c r="C54" s="73" t="s">
        <v>3</v>
      </c>
      <c r="D54" s="74" t="e">
        <f>+C10+C11/1000</f>
        <v>#N/A</v>
      </c>
      <c r="E54" s="73" t="s">
        <v>3</v>
      </c>
      <c r="F54" s="939" t="e">
        <f>+(I48-I50)*(1/H10-1/C13)</f>
        <v>#DIV/0!</v>
      </c>
      <c r="G54" s="75"/>
      <c r="H54" s="938" t="e">
        <f>+(B54+D54*F54)*1000</f>
        <v>#DIV/0!</v>
      </c>
      <c r="I54" s="66" t="s">
        <v>3</v>
      </c>
      <c r="J54" s="47"/>
      <c r="K54" s="46"/>
    </row>
    <row r="55" spans="1:21" s="46" customFormat="1" ht="15" customHeight="1" x14ac:dyDescent="0.2">
      <c r="A55" s="47"/>
      <c r="B55" s="47"/>
      <c r="C55" s="47"/>
      <c r="D55" s="47"/>
      <c r="E55" s="47"/>
      <c r="F55" s="47"/>
      <c r="G55" s="47"/>
      <c r="H55" s="47"/>
      <c r="I55" s="47"/>
      <c r="J55" s="47"/>
      <c r="K55" s="48"/>
    </row>
    <row r="56" spans="1:21" s="48" customFormat="1" ht="31.5" customHeight="1" x14ac:dyDescent="0.2">
      <c r="A56" s="1348" t="s">
        <v>45</v>
      </c>
      <c r="B56" s="1349"/>
      <c r="C56" s="1349"/>
      <c r="D56" s="1349"/>
      <c r="E56" s="1349"/>
      <c r="F56" s="1349"/>
      <c r="G56" s="1349"/>
      <c r="H56" s="1349"/>
      <c r="I56" s="1349"/>
      <c r="J56" s="1349"/>
      <c r="K56" s="46"/>
    </row>
    <row r="57" spans="1:21" s="46" customFormat="1" ht="15" customHeight="1" thickBot="1" x14ac:dyDescent="0.25">
      <c r="A57" s="47"/>
      <c r="B57" s="47"/>
      <c r="C57" s="47"/>
      <c r="D57" s="47"/>
      <c r="E57" s="47"/>
      <c r="K57" s="48"/>
    </row>
    <row r="58" spans="1:21" s="48" customFormat="1" ht="31.5" customHeight="1" thickBot="1" x14ac:dyDescent="0.25">
      <c r="A58" s="1350" t="s">
        <v>38</v>
      </c>
      <c r="B58" s="1351"/>
      <c r="C58" s="1352" t="s">
        <v>46</v>
      </c>
      <c r="D58" s="1353"/>
      <c r="E58" s="1354" t="s">
        <v>238</v>
      </c>
      <c r="F58" s="1379"/>
      <c r="G58" s="1061" t="s">
        <v>553</v>
      </c>
      <c r="J58" s="114"/>
      <c r="L58" s="46"/>
      <c r="Q58" s="47"/>
      <c r="R58" s="47"/>
      <c r="S58" s="47"/>
      <c r="T58" s="47"/>
      <c r="U58" s="47"/>
    </row>
    <row r="59" spans="1:21" s="48" customFormat="1" ht="57.95" customHeight="1" thickBot="1" x14ac:dyDescent="0.25">
      <c r="A59" s="1024" t="s">
        <v>47</v>
      </c>
      <c r="B59" s="1025"/>
      <c r="C59" s="1026" t="e">
        <f>+C44/B26^0.5*1000</f>
        <v>#DIV/0!</v>
      </c>
      <c r="D59" s="1017" t="s">
        <v>3</v>
      </c>
      <c r="E59" s="1027" t="s">
        <v>240</v>
      </c>
      <c r="F59" s="139">
        <f>$B$26-1</f>
        <v>3</v>
      </c>
      <c r="G59" s="1111" t="e">
        <f>(C59/$G$70)^2</f>
        <v>#DIV/0!</v>
      </c>
      <c r="H59" s="47"/>
      <c r="K59" s="156">
        <v>0.3</v>
      </c>
      <c r="L59" s="157">
        <v>1.65</v>
      </c>
      <c r="M59" s="113"/>
    </row>
    <row r="60" spans="1:21" s="48" customFormat="1" ht="57.95" customHeight="1" thickBot="1" x14ac:dyDescent="0.25">
      <c r="A60" s="1019" t="s">
        <v>343</v>
      </c>
      <c r="B60" s="1020" t="s">
        <v>48</v>
      </c>
      <c r="C60" s="1021" t="e">
        <f>+C12/2</f>
        <v>#N/A</v>
      </c>
      <c r="D60" s="1022" t="s">
        <v>3</v>
      </c>
      <c r="E60" s="1023" t="s">
        <v>239</v>
      </c>
      <c r="F60" s="146" t="s">
        <v>265</v>
      </c>
      <c r="G60" s="1112"/>
      <c r="H60" s="1380" t="s">
        <v>241</v>
      </c>
      <c r="I60" s="1356"/>
      <c r="J60" s="1356"/>
      <c r="K60" s="1356"/>
      <c r="L60" s="1356"/>
      <c r="M60" s="1357"/>
    </row>
    <row r="61" spans="1:21" s="48" customFormat="1" ht="57.95" customHeight="1" thickBot="1" x14ac:dyDescent="0.25">
      <c r="A61" s="1028" t="s">
        <v>344</v>
      </c>
      <c r="B61" s="1029"/>
      <c r="C61" s="1030" t="e">
        <f>+C12/3^0.5</f>
        <v>#N/A</v>
      </c>
      <c r="D61" s="1031" t="s">
        <v>3</v>
      </c>
      <c r="E61" s="1032" t="s">
        <v>239</v>
      </c>
      <c r="F61" s="147" t="s">
        <v>265</v>
      </c>
      <c r="G61" s="1112"/>
      <c r="H61" s="132" t="s">
        <v>243</v>
      </c>
      <c r="I61" s="1015" t="e">
        <f>MAX(C59:C62,C66:C67,C68)</f>
        <v>#DIV/0!</v>
      </c>
      <c r="J61" s="151" t="e">
        <f>IF((I62)&lt;=(K59),"1,65","2")</f>
        <v>#DIV/0!</v>
      </c>
      <c r="K61" s="152" t="s">
        <v>242</v>
      </c>
      <c r="L61" s="153" t="s">
        <v>237</v>
      </c>
      <c r="M61" s="360" t="s">
        <v>328</v>
      </c>
    </row>
    <row r="62" spans="1:21" s="48" customFormat="1" ht="57.95" customHeight="1" thickBot="1" x14ac:dyDescent="0.3">
      <c r="A62" s="1024" t="s">
        <v>49</v>
      </c>
      <c r="B62" s="1035"/>
      <c r="C62" s="1036" t="e">
        <f>+SQRT(SUMSQ(C60:C61))</f>
        <v>#N/A</v>
      </c>
      <c r="D62" s="1017" t="s">
        <v>3</v>
      </c>
      <c r="E62" s="1037" t="s">
        <v>240</v>
      </c>
      <c r="F62" s="139">
        <v>200</v>
      </c>
      <c r="G62" s="1112" t="e">
        <f t="shared" ref="G62:G68" si="0">(C62/$G$70)^2</f>
        <v>#N/A</v>
      </c>
      <c r="H62" s="133" t="s">
        <v>244</v>
      </c>
      <c r="I62" s="150" t="e">
        <f>SQRT((C59)^2+(C66)^2+(C67)^2+(C68)^2)/I61</f>
        <v>#DIV/0!</v>
      </c>
      <c r="J62" s="126"/>
      <c r="K62" s="154" t="s">
        <v>242</v>
      </c>
      <c r="L62" s="155" t="s">
        <v>252</v>
      </c>
      <c r="M62" s="361" t="s">
        <v>329</v>
      </c>
    </row>
    <row r="63" spans="1:21" s="48" customFormat="1" ht="57.95" customHeight="1" x14ac:dyDescent="0.2">
      <c r="A63" s="1019" t="s">
        <v>345</v>
      </c>
      <c r="B63" s="1020"/>
      <c r="C63" s="1033" t="e">
        <f>+I49</f>
        <v>#DIV/0!</v>
      </c>
      <c r="D63" s="1021" t="s">
        <v>73</v>
      </c>
      <c r="E63" s="1034" t="s">
        <v>239</v>
      </c>
      <c r="F63" s="146" t="s">
        <v>265</v>
      </c>
      <c r="G63" s="1112"/>
      <c r="L63" s="46"/>
      <c r="T63" s="46"/>
      <c r="U63" s="46"/>
    </row>
    <row r="64" spans="1:21" s="48" customFormat="1" ht="57.95" customHeight="1" x14ac:dyDescent="0.2">
      <c r="A64" s="426" t="s">
        <v>50</v>
      </c>
      <c r="B64" s="1018"/>
      <c r="C64" s="425" t="e">
        <f>+H11/2</f>
        <v>#N/A</v>
      </c>
      <c r="D64" s="424" t="s">
        <v>73</v>
      </c>
      <c r="E64" s="423" t="s">
        <v>239</v>
      </c>
      <c r="F64" s="148" t="s">
        <v>265</v>
      </c>
      <c r="G64" s="1112"/>
      <c r="H64" s="130"/>
      <c r="J64" s="130"/>
      <c r="K64" s="130"/>
      <c r="L64" s="130"/>
      <c r="M64" s="130"/>
      <c r="Q64" s="47"/>
      <c r="R64" s="47"/>
      <c r="S64" s="47"/>
      <c r="T64" s="47"/>
      <c r="U64" s="47"/>
    </row>
    <row r="65" spans="1:21" s="48" customFormat="1" ht="57.95" customHeight="1" thickBot="1" x14ac:dyDescent="0.25">
      <c r="A65" s="1028" t="s">
        <v>346</v>
      </c>
      <c r="B65" s="1038"/>
      <c r="C65" s="1039" t="e">
        <f>+C14/2</f>
        <v>#N/A</v>
      </c>
      <c r="D65" s="1031" t="s">
        <v>73</v>
      </c>
      <c r="E65" s="1040" t="s">
        <v>239</v>
      </c>
      <c r="F65" s="147" t="s">
        <v>265</v>
      </c>
      <c r="G65" s="1112"/>
      <c r="H65" s="130"/>
      <c r="I65" s="130"/>
      <c r="J65" s="130"/>
      <c r="K65" s="130"/>
      <c r="L65" s="130"/>
      <c r="M65" s="130"/>
      <c r="Q65" s="46"/>
      <c r="R65" s="46"/>
      <c r="S65" s="46"/>
      <c r="T65" s="46"/>
      <c r="U65" s="46"/>
    </row>
    <row r="66" spans="1:21" s="48" customFormat="1" ht="57.95" customHeight="1" thickBot="1" x14ac:dyDescent="0.3">
      <c r="A66" s="1024" t="s">
        <v>347</v>
      </c>
      <c r="B66" s="1035"/>
      <c r="C66" s="1036" t="e">
        <f>+SQRT(ABS(((C10/1000+C11/1000000)*(C13-H10)/(C13*H10)*C63)^2+((C10/1000+C11/1000000)*(I48-I50))^2*C64^2/H10^4+(C10/1000+C11/1000000)^2*(I48-I50)*((I48-I50)-2*(C15-I50))*C65^2/C13^4))*1000000</f>
        <v>#N/A</v>
      </c>
      <c r="D66" s="1051" t="s">
        <v>3</v>
      </c>
      <c r="E66" s="1037" t="s">
        <v>240</v>
      </c>
      <c r="F66" s="139">
        <v>200</v>
      </c>
      <c r="G66" s="1112" t="e">
        <f t="shared" si="0"/>
        <v>#N/A</v>
      </c>
      <c r="H66" s="130"/>
      <c r="I66" s="1093" t="s">
        <v>554</v>
      </c>
      <c r="J66" s="1095" t="s">
        <v>556</v>
      </c>
      <c r="K66" s="1094" t="s">
        <v>555</v>
      </c>
      <c r="L66" s="130"/>
      <c r="M66" s="130"/>
      <c r="Q66" s="47"/>
      <c r="R66" s="47"/>
      <c r="S66" s="47"/>
      <c r="T66" s="47"/>
      <c r="U66" s="47"/>
    </row>
    <row r="67" spans="1:21" s="48" customFormat="1" ht="57.95" customHeight="1" thickBot="1" x14ac:dyDescent="0.3">
      <c r="A67" s="1047" t="s">
        <v>52</v>
      </c>
      <c r="B67" s="1048"/>
      <c r="C67" s="1049" t="e">
        <f>+(G15/2/3^0.5)*2^0.5*1000</f>
        <v>#N/A</v>
      </c>
      <c r="D67" s="1044" t="s">
        <v>3</v>
      </c>
      <c r="E67" s="1045" t="s">
        <v>239</v>
      </c>
      <c r="F67" s="1050">
        <v>200</v>
      </c>
      <c r="G67" s="1112" t="e">
        <f t="shared" si="0"/>
        <v>#N/A</v>
      </c>
      <c r="H67" s="130"/>
      <c r="I67" s="1096" t="e">
        <f>G70^4/((C59^4/F59)+(C62^4/F62)+(C66^4/F66)+(C67^4/F67)+(C68^4/F68))</f>
        <v>#DIV/0!</v>
      </c>
      <c r="J67" s="1097" t="e">
        <f>TINV(0.05,I67)</f>
        <v>#DIV/0!</v>
      </c>
      <c r="K67" s="1098" t="e">
        <f>1-TDIST(J67,I67,2)</f>
        <v>#DIV/0!</v>
      </c>
      <c r="L67" s="130"/>
      <c r="M67" s="130"/>
    </row>
    <row r="68" spans="1:21" s="46" customFormat="1" ht="65.25" customHeight="1" thickBot="1" x14ac:dyDescent="0.3">
      <c r="A68" s="1041" t="s">
        <v>552</v>
      </c>
      <c r="B68" s="1042"/>
      <c r="C68" s="1043">
        <f>0.01/SQRT(45)</f>
        <v>1.4907119849998597E-3</v>
      </c>
      <c r="D68" s="1044" t="s">
        <v>3</v>
      </c>
      <c r="E68" s="1045" t="s">
        <v>240</v>
      </c>
      <c r="F68" s="1046">
        <v>50</v>
      </c>
      <c r="G68" s="1113" t="e">
        <f t="shared" si="0"/>
        <v>#DIV/0!</v>
      </c>
      <c r="H68" s="130"/>
      <c r="I68" s="130"/>
      <c r="J68" s="130"/>
      <c r="K68" s="130"/>
      <c r="L68" s="130"/>
      <c r="M68" s="130"/>
      <c r="S68" s="48"/>
      <c r="T68" s="48"/>
      <c r="U68" s="48"/>
    </row>
    <row r="69" spans="1:21" s="46" customFormat="1" ht="65.25" customHeight="1" thickBot="1" x14ac:dyDescent="0.25">
      <c r="A69" s="130"/>
      <c r="B69" s="130"/>
      <c r="C69" s="130"/>
      <c r="D69" s="130"/>
      <c r="E69" s="130"/>
      <c r="F69" s="130"/>
      <c r="G69" s="1114" t="e">
        <f>SUM(G59,G62,G66,G67,G68)</f>
        <v>#DIV/0!</v>
      </c>
      <c r="H69" s="130"/>
      <c r="I69" s="130"/>
      <c r="J69" s="130"/>
      <c r="K69" s="130"/>
      <c r="L69" s="130"/>
      <c r="M69" s="130"/>
      <c r="S69" s="48"/>
      <c r="T69" s="48"/>
      <c r="U69" s="48"/>
    </row>
    <row r="70" spans="1:21" s="106" customFormat="1" ht="51.75" customHeight="1" thickBot="1" x14ac:dyDescent="0.3">
      <c r="D70" s="1306" t="s">
        <v>51</v>
      </c>
      <c r="E70" s="1307"/>
      <c r="F70" s="134"/>
      <c r="G70" s="140" t="e">
        <f>+SQRT(SUMSQ(C59,C62,C66,C67,C68))</f>
        <v>#DIV/0!</v>
      </c>
      <c r="H70" s="136" t="s">
        <v>3</v>
      </c>
      <c r="K70" s="130"/>
      <c r="L70" s="130"/>
      <c r="M70" s="130"/>
      <c r="S70" s="48"/>
      <c r="T70" s="48"/>
      <c r="U70" s="48"/>
    </row>
    <row r="71" spans="1:21" s="106" customFormat="1" ht="35.1" customHeight="1" thickBot="1" x14ac:dyDescent="0.25">
      <c r="D71" s="1306" t="s">
        <v>53</v>
      </c>
      <c r="E71" s="1307"/>
      <c r="F71" s="135"/>
      <c r="G71" s="140" t="e">
        <f>+G70*2</f>
        <v>#DIV/0!</v>
      </c>
      <c r="H71" s="137" t="s">
        <v>3</v>
      </c>
      <c r="K71" s="110"/>
      <c r="L71" s="107"/>
      <c r="O71" s="48"/>
      <c r="P71" s="48"/>
      <c r="Q71" s="48"/>
      <c r="R71" s="48"/>
      <c r="S71" s="48"/>
      <c r="T71" s="48"/>
      <c r="U71" s="48"/>
    </row>
    <row r="72" spans="1:21" s="106" customFormat="1" ht="33.75" customHeight="1" thickBot="1" x14ac:dyDescent="4.45">
      <c r="B72" s="1313" t="s">
        <v>54</v>
      </c>
      <c r="C72" s="1314"/>
      <c r="D72" s="1314"/>
      <c r="E72" s="1314"/>
      <c r="F72" s="1314"/>
      <c r="G72" s="1314"/>
      <c r="H72" s="1314"/>
      <c r="I72" s="1314"/>
      <c r="J72" s="1314"/>
      <c r="K72" s="1315"/>
      <c r="L72" s="117"/>
      <c r="O72" s="48"/>
      <c r="P72" s="48"/>
      <c r="Q72" s="48"/>
      <c r="R72" s="48"/>
      <c r="S72" s="48"/>
      <c r="T72" s="48"/>
      <c r="U72" s="48"/>
    </row>
    <row r="73" spans="1:21" s="106" customFormat="1" ht="35.1" customHeight="1" thickBot="1" x14ac:dyDescent="0.25">
      <c r="B73" s="1368" t="s">
        <v>255</v>
      </c>
      <c r="C73" s="1369"/>
      <c r="D73" s="1369"/>
      <c r="E73" s="1370"/>
      <c r="F73" s="79"/>
      <c r="G73" s="80"/>
      <c r="H73" s="1371"/>
      <c r="I73" s="1372"/>
      <c r="J73" s="1372"/>
      <c r="K73" s="1373"/>
      <c r="O73" s="48"/>
      <c r="P73" s="48"/>
      <c r="Q73" s="48"/>
      <c r="R73" s="48"/>
      <c r="S73" s="48"/>
      <c r="T73" s="48"/>
      <c r="U73" s="48"/>
    </row>
    <row r="74" spans="1:21" s="106" customFormat="1" ht="40.5" customHeight="1" x14ac:dyDescent="0.2">
      <c r="B74" s="118"/>
      <c r="C74" s="362" t="s">
        <v>348</v>
      </c>
      <c r="D74" s="119" t="s">
        <v>253</v>
      </c>
      <c r="E74" s="120"/>
      <c r="F74" s="1358"/>
      <c r="G74" s="1358"/>
      <c r="H74" s="1359" t="s">
        <v>266</v>
      </c>
      <c r="I74" s="1381" t="s">
        <v>254</v>
      </c>
      <c r="J74" s="1381"/>
      <c r="K74" s="1382"/>
      <c r="O74" s="48"/>
      <c r="P74" s="48"/>
      <c r="Q74" s="48"/>
      <c r="R74" s="48"/>
      <c r="S74" s="48"/>
      <c r="T74" s="48"/>
      <c r="U74" s="48"/>
    </row>
    <row r="75" spans="1:21" s="106" customFormat="1" ht="35.1" customHeight="1" x14ac:dyDescent="0.2">
      <c r="B75" s="927" t="e">
        <f>C10</f>
        <v>#N/A</v>
      </c>
      <c r="C75" s="77" t="e">
        <f>C11</f>
        <v>#N/A</v>
      </c>
      <c r="D75" s="78" t="e">
        <f>H54</f>
        <v>#DIV/0!</v>
      </c>
      <c r="E75" s="940" t="e">
        <f>B75+(C75/1000)+(D75/1000)</f>
        <v>#N/A</v>
      </c>
      <c r="F75" s="264" t="e">
        <f>E75*1000-B75*1000</f>
        <v>#N/A</v>
      </c>
      <c r="G75" s="61"/>
      <c r="H75" s="1360"/>
      <c r="I75" s="285" t="e">
        <f>G71</f>
        <v>#DIV/0!</v>
      </c>
      <c r="J75" s="1364"/>
      <c r="K75" s="1365"/>
      <c r="O75" s="48"/>
      <c r="P75" s="48"/>
      <c r="Q75" s="48"/>
      <c r="R75" s="48"/>
      <c r="S75" s="48"/>
      <c r="T75" s="48"/>
      <c r="U75" s="48"/>
    </row>
    <row r="76" spans="1:21" s="106" customFormat="1" ht="35.1" customHeight="1" thickBot="1" x14ac:dyDescent="0.25">
      <c r="B76" s="928" t="e">
        <f>B75</f>
        <v>#N/A</v>
      </c>
      <c r="C76" s="88" t="e">
        <f>C75</f>
        <v>#N/A</v>
      </c>
      <c r="D76" s="88" t="e">
        <f>D75</f>
        <v>#DIV/0!</v>
      </c>
      <c r="E76" s="262" t="e">
        <f>B76+(C76/1000)+(D76/1000)</f>
        <v>#N/A</v>
      </c>
      <c r="F76" s="283" t="e">
        <f>F75/1000</f>
        <v>#N/A</v>
      </c>
      <c r="G76" s="89"/>
      <c r="H76" s="1361"/>
      <c r="I76" s="284" t="e">
        <f>I75/1000</f>
        <v>#DIV/0!</v>
      </c>
      <c r="J76" s="1366"/>
      <c r="K76" s="1367"/>
      <c r="O76" s="48"/>
      <c r="P76" s="48"/>
      <c r="Q76" s="48"/>
      <c r="R76" s="48"/>
      <c r="S76" s="48"/>
      <c r="T76" s="48"/>
      <c r="U76" s="48"/>
    </row>
    <row r="77" spans="1:21" s="106" customFormat="1" ht="35.1" customHeight="1" x14ac:dyDescent="0.2">
      <c r="G77" s="47"/>
      <c r="H77" s="47"/>
      <c r="I77" s="47"/>
      <c r="J77" s="47"/>
      <c r="O77" s="48"/>
      <c r="P77" s="48"/>
      <c r="Q77" s="48"/>
      <c r="R77" s="48"/>
      <c r="S77" s="48"/>
      <c r="T77" s="48"/>
      <c r="U77" s="48"/>
    </row>
    <row r="78" spans="1:21" s="106" customFormat="1" ht="35.1" customHeight="1" x14ac:dyDescent="0.2">
      <c r="G78" s="47"/>
      <c r="H78" s="47"/>
      <c r="I78" s="47"/>
      <c r="J78" s="47"/>
      <c r="O78" s="48"/>
      <c r="P78" s="48"/>
      <c r="Q78" s="48"/>
      <c r="R78" s="48"/>
      <c r="S78" s="48"/>
      <c r="T78" s="48"/>
      <c r="U78" s="48"/>
    </row>
    <row r="79" spans="1:21" s="106" customFormat="1" ht="35.1" customHeight="1" x14ac:dyDescent="0.2">
      <c r="G79" s="47"/>
      <c r="H79" s="47"/>
      <c r="I79" s="47"/>
      <c r="J79" s="47"/>
    </row>
    <row r="80" spans="1:21" s="107" customFormat="1" ht="9.9499999999999993" customHeight="1" x14ac:dyDescent="0.2">
      <c r="A80" s="109"/>
      <c r="B80" s="106"/>
      <c r="C80" s="106"/>
      <c r="D80" s="106"/>
      <c r="E80" s="106"/>
      <c r="F80" s="106"/>
      <c r="G80" s="47"/>
      <c r="H80" s="47"/>
    </row>
    <row r="81" spans="2:11" s="111" customFormat="1" ht="35.1" customHeight="1" x14ac:dyDescent="0.2">
      <c r="B81" s="106"/>
      <c r="C81" s="106"/>
      <c r="D81" s="106"/>
      <c r="E81" s="106"/>
      <c r="F81" s="106"/>
      <c r="G81" s="47"/>
      <c r="H81" s="47"/>
    </row>
    <row r="82" spans="2:11" s="106" customFormat="1" ht="61.5" customHeight="1" x14ac:dyDescent="0.2">
      <c r="H82" s="111"/>
      <c r="I82" s="111"/>
      <c r="J82" s="111"/>
      <c r="K82" s="108"/>
    </row>
    <row r="83" spans="2:11" s="106" customFormat="1" ht="35.1" customHeight="1" x14ac:dyDescent="0.2">
      <c r="G83" s="111"/>
      <c r="H83" s="111"/>
      <c r="I83" s="111"/>
      <c r="J83" s="111"/>
      <c r="K83" s="108"/>
    </row>
    <row r="84" spans="2:11" s="106" customFormat="1" ht="35.1" customHeight="1" x14ac:dyDescent="0.2">
      <c r="G84" s="111"/>
      <c r="H84" s="111"/>
      <c r="I84" s="111"/>
      <c r="J84" s="111"/>
      <c r="K84" s="108"/>
    </row>
    <row r="85" spans="2:11" s="106" customFormat="1" ht="35.1" customHeight="1" x14ac:dyDescent="0.2">
      <c r="F85" s="107"/>
      <c r="K85" s="108"/>
    </row>
    <row r="86" spans="2:11" s="106" customFormat="1" ht="50.1" customHeight="1" x14ac:dyDescent="0.2"/>
    <row r="87" spans="2:11" s="106" customFormat="1" ht="57.75" customHeight="1" x14ac:dyDescent="0.2">
      <c r="C87" s="112"/>
      <c r="D87" s="112"/>
      <c r="E87" s="112"/>
    </row>
    <row r="88" spans="2:11" s="106" customFormat="1" ht="35.1" customHeight="1" x14ac:dyDescent="0.2"/>
    <row r="89" spans="2:11" s="106" customFormat="1" ht="35.1" customHeight="1" x14ac:dyDescent="0.2">
      <c r="F89" s="108"/>
      <c r="G89" s="108"/>
      <c r="H89" s="108"/>
      <c r="I89" s="108"/>
      <c r="J89" s="108"/>
    </row>
    <row r="90" spans="2:11" s="106" customFormat="1" ht="35.1" customHeight="1" x14ac:dyDescent="0.2"/>
    <row r="91" spans="2:11" s="106" customFormat="1" ht="50.1" customHeight="1" x14ac:dyDescent="0.2">
      <c r="J91" s="47"/>
    </row>
    <row r="92" spans="2:11" s="106" customFormat="1" ht="55.5" customHeight="1" x14ac:dyDescent="0.2">
      <c r="J92" s="111"/>
    </row>
    <row r="93" spans="2:11" s="106" customFormat="1" ht="50.1" customHeight="1" x14ac:dyDescent="0.2">
      <c r="J93" s="111"/>
    </row>
    <row r="94" spans="2:11" s="107" customFormat="1" ht="31.5" customHeight="1" x14ac:dyDescent="0.2">
      <c r="J94" s="111"/>
    </row>
    <row r="95" spans="2:11" s="106" customFormat="1" ht="35.1" customHeight="1" x14ac:dyDescent="0.2">
      <c r="G95" s="111"/>
      <c r="H95" s="111"/>
      <c r="I95" s="111"/>
      <c r="J95" s="111"/>
    </row>
    <row r="96" spans="2:11" s="106" customFormat="1" ht="35.1" customHeight="1" x14ac:dyDescent="0.2">
      <c r="G96" s="111"/>
      <c r="H96" s="111"/>
      <c r="I96" s="111"/>
      <c r="J96" s="111"/>
    </row>
    <row r="97" spans="1:12" s="106" customFormat="1" ht="9.9499999999999993" customHeight="1" x14ac:dyDescent="0.2">
      <c r="G97" s="108"/>
      <c r="H97" s="108"/>
      <c r="I97" s="108"/>
      <c r="J97" s="108"/>
    </row>
    <row r="98" spans="1:12" s="106" customFormat="1" ht="35.1" customHeight="1" x14ac:dyDescent="0.2">
      <c r="J98" s="108"/>
      <c r="K98" s="108"/>
      <c r="L98" s="108"/>
    </row>
    <row r="99" spans="1:12" s="46" customFormat="1" ht="15" customHeight="1" x14ac:dyDescent="0.2">
      <c r="A99" s="47"/>
      <c r="G99" s="47"/>
      <c r="H99" s="47"/>
      <c r="I99" s="47"/>
      <c r="J99" s="47"/>
      <c r="K99" s="48"/>
    </row>
    <row r="100" spans="1:12" s="48" customFormat="1" ht="31.5" customHeight="1" x14ac:dyDescent="0.2">
      <c r="A100" s="47"/>
      <c r="B100" s="47"/>
      <c r="C100" s="47"/>
      <c r="D100" s="47"/>
      <c r="E100" s="47"/>
      <c r="F100" s="47"/>
      <c r="G100" s="47"/>
      <c r="H100" s="47"/>
      <c r="I100" s="47"/>
      <c r="J100" s="47"/>
    </row>
    <row r="101" spans="1:12" s="48" customFormat="1" ht="31.5" customHeight="1" x14ac:dyDescent="0.2"/>
    <row r="102" spans="1:12" s="48" customFormat="1" ht="31.5" customHeight="1" x14ac:dyDescent="0.2"/>
    <row r="103" spans="1:12" s="48" customFormat="1" ht="52.5" customHeight="1" x14ac:dyDescent="0.2"/>
    <row r="104" spans="1:12" s="48" customFormat="1" ht="31.5" customHeight="1" x14ac:dyDescent="0.2">
      <c r="K104" s="8"/>
    </row>
    <row r="105" spans="1:12" s="48" customFormat="1" ht="31.5" customHeight="1" x14ac:dyDescent="0.2">
      <c r="K105" s="8"/>
    </row>
    <row r="106" spans="1:12" ht="31.5" customHeight="1" x14ac:dyDescent="0.2">
      <c r="G106" s="76"/>
    </row>
    <row r="107" spans="1:12" ht="51" customHeight="1" x14ac:dyDescent="0.2"/>
    <row r="109" spans="1:12" ht="31.5" customHeight="1" x14ac:dyDescent="0.2">
      <c r="B109" s="29"/>
      <c r="C109" s="29"/>
      <c r="D109" s="29"/>
      <c r="E109" s="29"/>
      <c r="F109" s="29"/>
      <c r="G109" s="29"/>
      <c r="H109" s="29"/>
      <c r="I109" s="29"/>
      <c r="J109" s="29"/>
    </row>
    <row r="110" spans="1:12" ht="31.5" customHeight="1" x14ac:dyDescent="0.2">
      <c r="B110" s="29"/>
      <c r="C110" s="29"/>
      <c r="D110" s="29"/>
      <c r="E110" s="29"/>
      <c r="F110" s="29"/>
      <c r="G110" s="29"/>
      <c r="H110" s="29"/>
      <c r="I110" s="29"/>
      <c r="J110" s="29"/>
    </row>
    <row r="111" spans="1:12" ht="31.5" customHeight="1" x14ac:dyDescent="0.2">
      <c r="B111" s="29"/>
      <c r="C111" s="29"/>
      <c r="D111" s="29"/>
      <c r="E111" s="29"/>
      <c r="F111" s="29"/>
      <c r="G111" s="29"/>
      <c r="H111" s="29"/>
      <c r="I111" s="29"/>
      <c r="J111" s="29"/>
    </row>
    <row r="112" spans="1:12" ht="31.5" customHeight="1" x14ac:dyDescent="0.2">
      <c r="B112" s="29"/>
      <c r="C112" s="29"/>
      <c r="D112" s="29"/>
      <c r="E112" s="29"/>
      <c r="F112" s="29"/>
      <c r="G112" s="29"/>
      <c r="H112" s="29"/>
      <c r="I112" s="29"/>
      <c r="J112" s="29"/>
    </row>
    <row r="113" spans="2:10" ht="31.5" customHeight="1" x14ac:dyDescent="0.2">
      <c r="B113" s="29"/>
      <c r="C113" s="29"/>
      <c r="D113" s="29"/>
      <c r="E113" s="29"/>
      <c r="F113" s="29"/>
      <c r="G113" s="29"/>
      <c r="H113" s="29"/>
      <c r="I113" s="29"/>
      <c r="J113" s="29"/>
    </row>
    <row r="114" spans="2:10" ht="31.5" customHeight="1" x14ac:dyDescent="0.2">
      <c r="B114" s="29"/>
      <c r="C114" s="29"/>
      <c r="D114" s="29"/>
      <c r="E114" s="29"/>
      <c r="F114" s="29"/>
      <c r="G114" s="29"/>
      <c r="H114" s="29"/>
      <c r="I114" s="29"/>
      <c r="J114" s="29"/>
    </row>
    <row r="115" spans="2:10" ht="31.5" customHeight="1" x14ac:dyDescent="0.2">
      <c r="B115" s="29"/>
      <c r="C115" s="29"/>
      <c r="D115" s="29"/>
      <c r="E115" s="29"/>
      <c r="F115" s="29"/>
      <c r="G115" s="29"/>
      <c r="H115" s="29"/>
      <c r="I115" s="29"/>
      <c r="J115" s="29"/>
    </row>
  </sheetData>
  <sheetProtection password="CF5C" sheet="1" objects="1" scenarios="1"/>
  <mergeCells count="62">
    <mergeCell ref="D70:E70"/>
    <mergeCell ref="D71:E71"/>
    <mergeCell ref="B72:K72"/>
    <mergeCell ref="B73:E73"/>
    <mergeCell ref="H73:K73"/>
    <mergeCell ref="F74:G74"/>
    <mergeCell ref="H74:H76"/>
    <mergeCell ref="I74:K74"/>
    <mergeCell ref="J75:K75"/>
    <mergeCell ref="J76:K76"/>
    <mergeCell ref="A56:J56"/>
    <mergeCell ref="A58:B58"/>
    <mergeCell ref="C58:D58"/>
    <mergeCell ref="E58:F58"/>
    <mergeCell ref="H60:M60"/>
    <mergeCell ref="A50:B50"/>
    <mergeCell ref="G50:H50"/>
    <mergeCell ref="A52:J52"/>
    <mergeCell ref="D53:E53"/>
    <mergeCell ref="H53:I53"/>
    <mergeCell ref="A49:B49"/>
    <mergeCell ref="G49:H49"/>
    <mergeCell ref="A28:A31"/>
    <mergeCell ref="C33:D33"/>
    <mergeCell ref="F33:G33"/>
    <mergeCell ref="A36:J36"/>
    <mergeCell ref="B38:F38"/>
    <mergeCell ref="H38:J38"/>
    <mergeCell ref="H39:J42"/>
    <mergeCell ref="A46:J46"/>
    <mergeCell ref="A47:B48"/>
    <mergeCell ref="C47:E47"/>
    <mergeCell ref="G48:H48"/>
    <mergeCell ref="A27:B27"/>
    <mergeCell ref="G27:H27"/>
    <mergeCell ref="A14:B14"/>
    <mergeCell ref="A15:B15"/>
    <mergeCell ref="A16:B16"/>
    <mergeCell ref="C16:D16"/>
    <mergeCell ref="A18:J18"/>
    <mergeCell ref="F19:G19"/>
    <mergeCell ref="J19:J20"/>
    <mergeCell ref="A20:B20"/>
    <mergeCell ref="E20:F20"/>
    <mergeCell ref="A22:J22"/>
    <mergeCell ref="C24:D24"/>
    <mergeCell ref="F24:G24"/>
    <mergeCell ref="C26:F26"/>
    <mergeCell ref="G26:H26"/>
    <mergeCell ref="A13:B13"/>
    <mergeCell ref="F13:I13"/>
    <mergeCell ref="A1:B1"/>
    <mergeCell ref="C1:M1"/>
    <mergeCell ref="I3:J4"/>
    <mergeCell ref="A6:D6"/>
    <mergeCell ref="F6:I6"/>
    <mergeCell ref="F9:G9"/>
    <mergeCell ref="A10:B10"/>
    <mergeCell ref="F10:G10"/>
    <mergeCell ref="A11:B11"/>
    <mergeCell ref="F11:G11"/>
    <mergeCell ref="A12:B12"/>
  </mergeCells>
  <printOptions horizontalCentered="1"/>
  <pageMargins left="0.70866141732283472" right="0.70866141732283472" top="0.74803149606299213" bottom="0.74803149606299213" header="0.31496062992125984" footer="0.31496062992125984"/>
  <pageSetup scale="13" orientation="portrait" r:id="rId1"/>
  <headerFooter>
    <oddHeader xml:space="preserve">&amp;C
&amp;16   
</oddHeader>
    <oddFooter xml:space="preserve">&amp;RRT03-F13 Vr.14 (2021-05-21)
</oddFooter>
  </headerFooter>
  <rowBreaks count="1" manualBreakCount="1">
    <brk id="34" max="12" man="1"/>
  </rowBreaks>
  <drawing r:id="rId2"/>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0800-000000000000}">
          <x14:formula1>
            <xm:f>'DATOS %'!$B$7:$B$40</xm:f>
          </x14:formula1>
          <xm:sqref>I3:J4</xm:sqref>
        </x14:dataValidation>
        <x14:dataValidation type="list" allowBlank="1" showInputMessage="1" showErrorMessage="1" xr:uid="{00000000-0002-0000-0800-000001000000}">
          <x14:formula1>
            <xm:f>'DATOS %'!$J$174:$J$179</xm:f>
          </x14:formula1>
          <xm:sqref>J19:J20</xm:sqref>
        </x14:dataValidation>
        <x14:dataValidation type="list" allowBlank="1" showInputMessage="1" showErrorMessage="1" xr:uid="{00000000-0002-0000-0800-000002000000}">
          <x14:formula1>
            <xm:f>'DATOS %'!$N$121:$N$166</xm:f>
          </x14:formula1>
          <xm:sqref>F48</xm:sqref>
        </x14:dataValidation>
        <x14:dataValidation type="list" allowBlank="1" showInputMessage="1" showErrorMessage="1" xr:uid="{00000000-0002-0000-0800-000003000000}">
          <x14:formula1>
            <xm:f>'DATOS %'!$N$29:$N$113</xm:f>
          </x14:formula1>
          <xm:sqref>E6</xm:sqref>
        </x14:dataValidation>
        <x14:dataValidation type="list" allowBlank="1" showInputMessage="1" showErrorMessage="1" xr:uid="{00000000-0002-0000-0800-000004000000}">
          <x14:formula1>
            <xm:f>'DATOS %'!$V$120:$V$126</xm:f>
          </x14:formula1>
          <xm:sqref>J13</xm:sqref>
        </x14:dataValidation>
        <x14:dataValidation type="list" allowBlank="1" showInputMessage="1" showErrorMessage="1" xr:uid="{00000000-0002-0000-0800-000005000000}">
          <x14:formula1>
            <xm:f>'DATOS %'!$V$161:$V$165</xm:f>
          </x14:formula1>
          <xm:sqref>H25</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47</vt:i4>
      </vt:variant>
      <vt:variant>
        <vt:lpstr>Rangos con nombre</vt:lpstr>
      </vt:variant>
      <vt:variant>
        <vt:i4>158</vt:i4>
      </vt:variant>
    </vt:vector>
  </HeadingPairs>
  <TitlesOfParts>
    <vt:vector size="205" baseType="lpstr">
      <vt:lpstr>RT03-F13 (mg)% </vt:lpstr>
      <vt:lpstr>1 mg % </vt:lpstr>
      <vt:lpstr>2 mg %</vt:lpstr>
      <vt:lpstr>2 mg + % </vt:lpstr>
      <vt:lpstr>5 mg % </vt:lpstr>
      <vt:lpstr>10 mg % </vt:lpstr>
      <vt:lpstr>20 mg % </vt:lpstr>
      <vt:lpstr>20 mg + % </vt:lpstr>
      <vt:lpstr>50 mg % </vt:lpstr>
      <vt:lpstr>100 mg % </vt:lpstr>
      <vt:lpstr>200 mg % </vt:lpstr>
      <vt:lpstr>200 mg + %</vt:lpstr>
      <vt:lpstr>500 mg % </vt:lpstr>
      <vt:lpstr>mili Max-Min % </vt:lpstr>
      <vt:lpstr>mili Pc % </vt:lpstr>
      <vt:lpstr>Cert juego miligramo</vt:lpstr>
      <vt:lpstr>DATOS %</vt:lpstr>
      <vt:lpstr>1 g %</vt:lpstr>
      <vt:lpstr>2 g %</vt:lpstr>
      <vt:lpstr>2 g + %</vt:lpstr>
      <vt:lpstr>5 g %</vt:lpstr>
      <vt:lpstr>10 g %</vt:lpstr>
      <vt:lpstr>20 g %</vt:lpstr>
      <vt:lpstr>20 g + %</vt:lpstr>
      <vt:lpstr>50 g %</vt:lpstr>
      <vt:lpstr>100 g %</vt:lpstr>
      <vt:lpstr>200 g %</vt:lpstr>
      <vt:lpstr>200 g + %</vt:lpstr>
      <vt:lpstr>500 g %</vt:lpstr>
      <vt:lpstr>1 kg %</vt:lpstr>
      <vt:lpstr>2 kg %</vt:lpstr>
      <vt:lpstr>2 kg + %</vt:lpstr>
      <vt:lpstr>5 kg %</vt:lpstr>
      <vt:lpstr>10 kg %</vt:lpstr>
      <vt:lpstr>RT03-F13 (g) %</vt:lpstr>
      <vt:lpstr>gramo Max-Min %</vt:lpstr>
      <vt:lpstr>Cert Juego gramo %</vt:lpstr>
      <vt:lpstr>gramo Pc %</vt:lpstr>
      <vt:lpstr>5 kg % (C)</vt:lpstr>
      <vt:lpstr> Certi 5 kg (C) &amp;</vt:lpstr>
      <vt:lpstr>10 kg % (C)</vt:lpstr>
      <vt:lpstr>Certi 10 kg &amp; (C)</vt:lpstr>
      <vt:lpstr>20 kg % (C)</vt:lpstr>
      <vt:lpstr>Certi 20 kg &amp; (C)</vt:lpstr>
      <vt:lpstr>RT03-F40 miligramo </vt:lpstr>
      <vt:lpstr>RT03-F40 gramo</vt:lpstr>
      <vt:lpstr>RT03-F19</vt:lpstr>
      <vt:lpstr>' Certi 5 kg (C) &amp;'!Área_de_impresión</vt:lpstr>
      <vt:lpstr>'1 g %'!Área_de_impresión</vt:lpstr>
      <vt:lpstr>'1 kg %'!Área_de_impresión</vt:lpstr>
      <vt:lpstr>'1 mg % '!Área_de_impresión</vt:lpstr>
      <vt:lpstr>'10 g %'!Área_de_impresión</vt:lpstr>
      <vt:lpstr>'10 kg %'!Área_de_impresión</vt:lpstr>
      <vt:lpstr>'10 kg % (C)'!Área_de_impresión</vt:lpstr>
      <vt:lpstr>'10 mg % '!Área_de_impresión</vt:lpstr>
      <vt:lpstr>'100 g %'!Área_de_impresión</vt:lpstr>
      <vt:lpstr>'100 mg % '!Área_de_impresión</vt:lpstr>
      <vt:lpstr>'2 g %'!Área_de_impresión</vt:lpstr>
      <vt:lpstr>'2 g + %'!Área_de_impresión</vt:lpstr>
      <vt:lpstr>'2 kg %'!Área_de_impresión</vt:lpstr>
      <vt:lpstr>'2 kg + %'!Área_de_impresión</vt:lpstr>
      <vt:lpstr>'2 mg %'!Área_de_impresión</vt:lpstr>
      <vt:lpstr>'2 mg + % '!Área_de_impresión</vt:lpstr>
      <vt:lpstr>'20 g %'!Área_de_impresión</vt:lpstr>
      <vt:lpstr>'20 g + %'!Área_de_impresión</vt:lpstr>
      <vt:lpstr>'20 kg % (C)'!Área_de_impresión</vt:lpstr>
      <vt:lpstr>'20 mg % '!Área_de_impresión</vt:lpstr>
      <vt:lpstr>'20 mg + % '!Área_de_impresión</vt:lpstr>
      <vt:lpstr>'200 g %'!Área_de_impresión</vt:lpstr>
      <vt:lpstr>'200 g + %'!Área_de_impresión</vt:lpstr>
      <vt:lpstr>'200 mg % '!Área_de_impresión</vt:lpstr>
      <vt:lpstr>'200 mg + %'!Área_de_impresión</vt:lpstr>
      <vt:lpstr>'5 g %'!Área_de_impresión</vt:lpstr>
      <vt:lpstr>'5 kg %'!Área_de_impresión</vt:lpstr>
      <vt:lpstr>'5 kg % (C)'!Área_de_impresión</vt:lpstr>
      <vt:lpstr>'5 mg % '!Área_de_impresión</vt:lpstr>
      <vt:lpstr>'50 g %'!Área_de_impresión</vt:lpstr>
      <vt:lpstr>'50 mg % '!Área_de_impresión</vt:lpstr>
      <vt:lpstr>'500 g %'!Área_de_impresión</vt:lpstr>
      <vt:lpstr>'500 mg % '!Área_de_impresión</vt:lpstr>
      <vt:lpstr>'Cert Juego gramo %'!Área_de_impresión</vt:lpstr>
      <vt:lpstr>'Cert juego miligramo'!Área_de_impresión</vt:lpstr>
      <vt:lpstr>'Certi 10 kg &amp; (C)'!Área_de_impresión</vt:lpstr>
      <vt:lpstr>'Certi 20 kg &amp; (C)'!Área_de_impresión</vt:lpstr>
      <vt:lpstr>'DATOS %'!Área_de_impresión</vt:lpstr>
      <vt:lpstr>'gramo Max-Min %'!Área_de_impresión</vt:lpstr>
      <vt:lpstr>'gramo Pc %'!Área_de_impresión</vt:lpstr>
      <vt:lpstr>'mili Max-Min % '!Área_de_impresión</vt:lpstr>
      <vt:lpstr>'mili Pc % '!Área_de_impresión</vt:lpstr>
      <vt:lpstr>'RT03-F13 (g) %'!Área_de_impresión</vt:lpstr>
      <vt:lpstr>'RT03-F13 (mg)% '!Área_de_impresión</vt:lpstr>
      <vt:lpstr>'RT03-F19'!Área_de_impresión</vt:lpstr>
      <vt:lpstr>'RT03-F40 gramo'!Área_de_impresión</vt:lpstr>
      <vt:lpstr>'RT03-F40 miligramo '!Área_de_impresión</vt:lpstr>
      <vt:lpstr>' Certi 5 kg (C) &amp;'!Print_Area</vt:lpstr>
      <vt:lpstr>'1 g %'!Print_Area</vt:lpstr>
      <vt:lpstr>'1 kg %'!Print_Area</vt:lpstr>
      <vt:lpstr>'1 mg % '!Print_Area</vt:lpstr>
      <vt:lpstr>'10 g %'!Print_Area</vt:lpstr>
      <vt:lpstr>'10 kg %'!Print_Area</vt:lpstr>
      <vt:lpstr>'10 kg % (C)'!Print_Area</vt:lpstr>
      <vt:lpstr>'10 mg % '!Print_Area</vt:lpstr>
      <vt:lpstr>'100 g %'!Print_Area</vt:lpstr>
      <vt:lpstr>'100 mg % '!Print_Area</vt:lpstr>
      <vt:lpstr>'2 g %'!Print_Area</vt:lpstr>
      <vt:lpstr>'2 g + %'!Print_Area</vt:lpstr>
      <vt:lpstr>'2 kg %'!Print_Area</vt:lpstr>
      <vt:lpstr>'2 kg + %'!Print_Area</vt:lpstr>
      <vt:lpstr>'2 mg %'!Print_Area</vt:lpstr>
      <vt:lpstr>'2 mg + % '!Print_Area</vt:lpstr>
      <vt:lpstr>'20 g %'!Print_Area</vt:lpstr>
      <vt:lpstr>'20 g + %'!Print_Area</vt:lpstr>
      <vt:lpstr>'20 kg % (C)'!Print_Area</vt:lpstr>
      <vt:lpstr>'20 mg % '!Print_Area</vt:lpstr>
      <vt:lpstr>'20 mg + % '!Print_Area</vt:lpstr>
      <vt:lpstr>'200 g %'!Print_Area</vt:lpstr>
      <vt:lpstr>'200 g + %'!Print_Area</vt:lpstr>
      <vt:lpstr>'200 mg % '!Print_Area</vt:lpstr>
      <vt:lpstr>'200 mg + %'!Print_Area</vt:lpstr>
      <vt:lpstr>'5 g %'!Print_Area</vt:lpstr>
      <vt:lpstr>'5 kg %'!Print_Area</vt:lpstr>
      <vt:lpstr>'5 kg % (C)'!Print_Area</vt:lpstr>
      <vt:lpstr>'5 mg % '!Print_Area</vt:lpstr>
      <vt:lpstr>'50 g %'!Print_Area</vt:lpstr>
      <vt:lpstr>'50 mg % '!Print_Area</vt:lpstr>
      <vt:lpstr>'500 g %'!Print_Area</vt:lpstr>
      <vt:lpstr>'500 mg % '!Print_Area</vt:lpstr>
      <vt:lpstr>'Cert Juego gramo %'!Print_Area</vt:lpstr>
      <vt:lpstr>'Cert juego miligramo'!Print_Area</vt:lpstr>
      <vt:lpstr>'Certi 10 kg &amp; (C)'!Print_Area</vt:lpstr>
      <vt:lpstr>'Certi 20 kg &amp; (C)'!Print_Area</vt:lpstr>
      <vt:lpstr>'DATOS %'!Print_Area</vt:lpstr>
      <vt:lpstr>'RT03-F13 (g) %'!Print_Area</vt:lpstr>
      <vt:lpstr>'RT03-F13 (mg)% '!Print_Area</vt:lpstr>
      <vt:lpstr>'RT03-F19'!Print_Area</vt:lpstr>
      <vt:lpstr>'RT03-F40 gramo'!Print_Area</vt:lpstr>
      <vt:lpstr>'RT03-F40 miligramo '!Print_Area</vt:lpstr>
      <vt:lpstr>'1 g %'!Print_Titles</vt:lpstr>
      <vt:lpstr>'1 kg %'!Print_Titles</vt:lpstr>
      <vt:lpstr>'1 mg % '!Print_Titles</vt:lpstr>
      <vt:lpstr>'10 g %'!Print_Titles</vt:lpstr>
      <vt:lpstr>'10 kg %'!Print_Titles</vt:lpstr>
      <vt:lpstr>'10 kg % (C)'!Print_Titles</vt:lpstr>
      <vt:lpstr>'10 mg % '!Print_Titles</vt:lpstr>
      <vt:lpstr>'100 g %'!Print_Titles</vt:lpstr>
      <vt:lpstr>'100 mg % '!Print_Titles</vt:lpstr>
      <vt:lpstr>'2 g %'!Print_Titles</vt:lpstr>
      <vt:lpstr>'2 g + %'!Print_Titles</vt:lpstr>
      <vt:lpstr>'2 kg %'!Print_Titles</vt:lpstr>
      <vt:lpstr>'2 kg + %'!Print_Titles</vt:lpstr>
      <vt:lpstr>'2 mg %'!Print_Titles</vt:lpstr>
      <vt:lpstr>'2 mg + % '!Print_Titles</vt:lpstr>
      <vt:lpstr>'20 g %'!Print_Titles</vt:lpstr>
      <vt:lpstr>'20 g + %'!Print_Titles</vt:lpstr>
      <vt:lpstr>'20 kg % (C)'!Print_Titles</vt:lpstr>
      <vt:lpstr>'20 mg % '!Print_Titles</vt:lpstr>
      <vt:lpstr>'20 mg + % '!Print_Titles</vt:lpstr>
      <vt:lpstr>'200 g %'!Print_Titles</vt:lpstr>
      <vt:lpstr>'200 g + %'!Print_Titles</vt:lpstr>
      <vt:lpstr>'200 mg % '!Print_Titles</vt:lpstr>
      <vt:lpstr>'200 mg + %'!Print_Titles</vt:lpstr>
      <vt:lpstr>'5 g %'!Print_Titles</vt:lpstr>
      <vt:lpstr>'5 kg %'!Print_Titles</vt:lpstr>
      <vt:lpstr>'5 kg % (C)'!Print_Titles</vt:lpstr>
      <vt:lpstr>'5 mg % '!Print_Titles</vt:lpstr>
      <vt:lpstr>'50 g %'!Print_Titles</vt:lpstr>
      <vt:lpstr>'50 mg % '!Print_Titles</vt:lpstr>
      <vt:lpstr>'500 g %'!Print_Titles</vt:lpstr>
      <vt:lpstr>'500 mg % '!Print_Titles</vt:lpstr>
      <vt:lpstr>'RT03-F13 (g) %'!Print_Titles</vt:lpstr>
      <vt:lpstr>'RT03-F13 (mg)% '!Print_Titles</vt:lpstr>
      <vt:lpstr>'1 g %'!Títulos_a_imprimir</vt:lpstr>
      <vt:lpstr>'1 kg %'!Títulos_a_imprimir</vt:lpstr>
      <vt:lpstr>'1 mg % '!Títulos_a_imprimir</vt:lpstr>
      <vt:lpstr>'10 g %'!Títulos_a_imprimir</vt:lpstr>
      <vt:lpstr>'10 kg %'!Títulos_a_imprimir</vt:lpstr>
      <vt:lpstr>'10 kg % (C)'!Títulos_a_imprimir</vt:lpstr>
      <vt:lpstr>'10 mg % '!Títulos_a_imprimir</vt:lpstr>
      <vt:lpstr>'100 g %'!Títulos_a_imprimir</vt:lpstr>
      <vt:lpstr>'100 mg % '!Títulos_a_imprimir</vt:lpstr>
      <vt:lpstr>'2 g %'!Títulos_a_imprimir</vt:lpstr>
      <vt:lpstr>'2 g + %'!Títulos_a_imprimir</vt:lpstr>
      <vt:lpstr>'2 kg %'!Títulos_a_imprimir</vt:lpstr>
      <vt:lpstr>'2 kg + %'!Títulos_a_imprimir</vt:lpstr>
      <vt:lpstr>'2 mg %'!Títulos_a_imprimir</vt:lpstr>
      <vt:lpstr>'2 mg + % '!Títulos_a_imprimir</vt:lpstr>
      <vt:lpstr>'20 g %'!Títulos_a_imprimir</vt:lpstr>
      <vt:lpstr>'20 g + %'!Títulos_a_imprimir</vt:lpstr>
      <vt:lpstr>'20 kg % (C)'!Títulos_a_imprimir</vt:lpstr>
      <vt:lpstr>'20 mg % '!Títulos_a_imprimir</vt:lpstr>
      <vt:lpstr>'20 mg + % '!Títulos_a_imprimir</vt:lpstr>
      <vt:lpstr>'200 g %'!Títulos_a_imprimir</vt:lpstr>
      <vt:lpstr>'200 g + %'!Títulos_a_imprimir</vt:lpstr>
      <vt:lpstr>'200 mg % '!Títulos_a_imprimir</vt:lpstr>
      <vt:lpstr>'200 mg + %'!Títulos_a_imprimir</vt:lpstr>
      <vt:lpstr>'5 g %'!Títulos_a_imprimir</vt:lpstr>
      <vt:lpstr>'5 kg %'!Títulos_a_imprimir</vt:lpstr>
      <vt:lpstr>'5 kg % (C)'!Títulos_a_imprimir</vt:lpstr>
      <vt:lpstr>'5 mg % '!Títulos_a_imprimir</vt:lpstr>
      <vt:lpstr>'50 g %'!Títulos_a_imprimir</vt:lpstr>
      <vt:lpstr>'50 mg % '!Títulos_a_imprimir</vt:lpstr>
      <vt:lpstr>'500 g %'!Títulos_a_imprimir</vt:lpstr>
      <vt:lpstr>'500 mg % '!Títulos_a_imprimir</vt:lpstr>
      <vt:lpstr>'RT03-F13 (g) %'!Títulos_a_imprimir</vt:lpstr>
      <vt:lpstr>'RT03-F13 (mg)% '!Títulos_a_imprimir</vt:lpstr>
    </vt:vector>
  </TitlesOfParts>
  <Company>Toshiba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SIC;Laboratorio de Masa</dc:creator>
  <cp:lastModifiedBy>PERSONAL</cp:lastModifiedBy>
  <cp:lastPrinted>2021-05-12T03:06:01Z</cp:lastPrinted>
  <dcterms:created xsi:type="dcterms:W3CDTF">2016-03-15T18:31:08Z</dcterms:created>
  <dcterms:modified xsi:type="dcterms:W3CDTF">2021-05-24T22:49:22Z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OID">
    <vt:i4>3606252</vt:i4>
  </property>
</Properties>
</file>